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G:\Mon Drive\Writing\Article Umigon FR\Article for RAM\bibliometric analysis\analyses\20230420\"/>
    </mc:Choice>
  </mc:AlternateContent>
  <xr:revisionPtr revIDLastSave="0" documentId="13_ncr:1_{D4D83D44-A111-48DB-9C8D-3E3C674FC101}" xr6:coauthVersionLast="47" xr6:coauthVersionMax="47" xr10:uidLastSave="{00000000-0000-0000-0000-000000000000}"/>
  <bookViews>
    <workbookView xWindow="-110" yWindow="-110" windowWidth="19420" windowHeight="10420" xr2:uid="{EB5F4579-DBB8-4F2C-92C0-EB84D91F643C}"/>
  </bookViews>
  <sheets>
    <sheet name="data" sheetId="1" r:id="rId1"/>
    <sheet name="Sheet1" sheetId="2" r:id="rId2"/>
  </sheets>
  <definedNames>
    <definedName name="_xlnm._FilterDatabase" localSheetId="0" hidden="1">data!$A$1:$BW$791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585" i="1" l="1"/>
  <c r="BF585" i="1"/>
  <c r="BT584" i="1"/>
  <c r="BF584" i="1"/>
  <c r="BT689" i="1"/>
  <c r="BT454" i="1"/>
  <c r="BF454" i="1"/>
  <c r="BT350" i="1"/>
  <c r="BF350" i="1"/>
  <c r="BT583" i="1"/>
  <c r="BF583" i="1"/>
  <c r="BT685" i="1"/>
  <c r="BF685" i="1"/>
  <c r="BT384" i="1"/>
  <c r="BF384" i="1"/>
  <c r="BT150" i="1"/>
  <c r="BF150" i="1"/>
  <c r="BT582" i="1"/>
  <c r="BF582" i="1"/>
  <c r="BT581" i="1"/>
  <c r="BF581" i="1"/>
  <c r="BT517" i="1"/>
  <c r="BF517" i="1"/>
  <c r="BT324" i="1"/>
  <c r="BF324" i="1"/>
  <c r="BT678" i="1"/>
  <c r="BF678" i="1"/>
  <c r="BT691" i="1"/>
  <c r="BF691" i="1"/>
  <c r="BT672" i="1"/>
  <c r="BF672" i="1"/>
  <c r="BT383" i="1"/>
  <c r="BF383" i="1"/>
  <c r="BT516" i="1"/>
  <c r="BF516" i="1"/>
  <c r="BT117" i="1"/>
  <c r="BF117" i="1"/>
  <c r="BT382" i="1"/>
  <c r="BF382" i="1"/>
  <c r="BT349" i="1"/>
  <c r="BF349" i="1"/>
  <c r="BT453" i="1"/>
  <c r="BF453" i="1"/>
  <c r="BT657" i="1"/>
  <c r="BF657" i="1"/>
  <c r="BT656" i="1"/>
  <c r="BF656" i="1"/>
  <c r="BT285" i="1"/>
  <c r="BF285" i="1"/>
  <c r="BT655" i="1"/>
  <c r="BF655" i="1"/>
  <c r="BT451" i="1"/>
  <c r="BF451" i="1"/>
  <c r="BT580" i="1"/>
  <c r="BF580" i="1"/>
  <c r="BT381" i="1"/>
  <c r="BF381" i="1"/>
  <c r="BT654" i="1"/>
  <c r="BF654" i="1"/>
  <c r="BT690" i="1"/>
  <c r="BF690" i="1"/>
  <c r="BT515" i="1"/>
  <c r="BF515" i="1"/>
  <c r="BT653" i="1"/>
  <c r="BF653" i="1"/>
  <c r="BT450" i="1"/>
  <c r="BF450" i="1"/>
  <c r="BT671" i="1"/>
  <c r="BF671" i="1"/>
  <c r="BT670" i="1"/>
  <c r="BF670" i="1"/>
  <c r="BT579" i="1"/>
  <c r="BF579" i="1"/>
  <c r="BT577" i="1"/>
  <c r="BF577" i="1"/>
  <c r="BT669" i="1"/>
  <c r="BF669" i="1"/>
  <c r="BT652" i="1"/>
  <c r="BF652" i="1"/>
  <c r="BT447" i="1"/>
  <c r="BT514" i="1"/>
  <c r="BF514" i="1"/>
  <c r="BT149" i="1"/>
  <c r="BT648" i="1"/>
  <c r="BF648" i="1"/>
  <c r="BT647" i="1"/>
  <c r="BF647" i="1"/>
  <c r="BT646" i="1"/>
  <c r="BF646" i="1"/>
  <c r="BT576" i="1"/>
  <c r="BF576" i="1"/>
  <c r="BT575" i="1"/>
  <c r="BF575" i="1"/>
  <c r="BT513" i="1"/>
  <c r="BF513" i="1"/>
  <c r="BT92" i="1"/>
  <c r="BF92" i="1"/>
  <c r="BT574" i="1"/>
  <c r="BF574" i="1"/>
  <c r="BT640" i="1"/>
  <c r="BF640" i="1"/>
  <c r="BT639" i="1"/>
  <c r="BF639" i="1"/>
  <c r="BT638" i="1"/>
  <c r="BF638" i="1"/>
  <c r="BT446" i="1"/>
  <c r="BF446" i="1"/>
  <c r="BT444" i="1"/>
  <c r="BF444" i="1"/>
  <c r="BT179" i="1"/>
  <c r="BF179" i="1"/>
  <c r="BT443" i="1"/>
  <c r="BF443" i="1"/>
  <c r="BT633" i="1"/>
  <c r="BF633" i="1"/>
  <c r="BT442" i="1"/>
  <c r="BF442" i="1"/>
  <c r="BT688" i="1"/>
  <c r="BF688" i="1"/>
  <c r="BT651" i="1"/>
  <c r="BF651" i="1"/>
  <c r="BT512" i="1"/>
  <c r="BF512" i="1"/>
  <c r="BT41" i="1"/>
  <c r="BF41" i="1"/>
  <c r="BT440" i="1"/>
  <c r="BF440" i="1"/>
  <c r="BT510" i="1"/>
  <c r="BF510" i="1"/>
  <c r="BT650" i="1"/>
  <c r="BF650" i="1"/>
  <c r="BT649" i="1"/>
  <c r="BF649" i="1"/>
  <c r="BT645" i="1"/>
  <c r="BF645" i="1"/>
  <c r="BT573" i="1"/>
  <c r="BF573" i="1"/>
  <c r="BT207" i="1"/>
  <c r="BF207" i="1"/>
  <c r="BT509" i="1"/>
  <c r="BF509" i="1"/>
  <c r="BT439" i="1"/>
  <c r="BF439" i="1"/>
  <c r="BT572" i="1"/>
  <c r="BF572" i="1"/>
  <c r="BT617" i="1"/>
  <c r="BF617" i="1"/>
  <c r="BT323" i="1"/>
  <c r="BF323" i="1"/>
  <c r="BT348" i="1"/>
  <c r="BF348" i="1"/>
  <c r="BT178" i="1"/>
  <c r="BF178" i="1"/>
  <c r="BT644" i="1"/>
  <c r="BF644" i="1"/>
  <c r="BT643" i="1"/>
  <c r="BF643" i="1"/>
  <c r="BT570" i="1"/>
  <c r="BF570" i="1"/>
  <c r="BT687" i="1"/>
  <c r="BF687" i="1"/>
  <c r="BT322" i="1"/>
  <c r="BF322" i="1"/>
  <c r="BT438" i="1"/>
  <c r="BF438" i="1"/>
  <c r="BT347" i="1"/>
  <c r="BF347" i="1"/>
  <c r="BT437" i="1"/>
  <c r="BF437" i="1"/>
  <c r="BT436" i="1"/>
  <c r="BF436" i="1"/>
  <c r="BT569" i="1"/>
  <c r="BF569" i="1"/>
  <c r="BT603" i="1"/>
  <c r="BF603" i="1"/>
  <c r="BT568" i="1"/>
  <c r="BF568" i="1"/>
  <c r="BT435" i="1"/>
  <c r="BF435" i="1"/>
  <c r="BT346" i="1"/>
  <c r="BF346" i="1"/>
  <c r="BT284" i="1"/>
  <c r="BF284" i="1"/>
  <c r="BT116" i="1"/>
  <c r="BF116" i="1"/>
  <c r="BT686" i="1"/>
  <c r="BF686" i="1"/>
  <c r="BT567" i="1"/>
  <c r="BF567" i="1"/>
  <c r="BT595" i="1"/>
  <c r="BF595" i="1"/>
  <c r="BT434" i="1"/>
  <c r="BF434" i="1"/>
  <c r="BT433" i="1"/>
  <c r="BF433" i="1"/>
  <c r="BT592" i="1"/>
  <c r="BF592" i="1"/>
  <c r="BT148" i="1"/>
  <c r="BF148" i="1"/>
  <c r="BT590" i="1"/>
  <c r="BF590" i="1"/>
  <c r="BT589" i="1"/>
  <c r="BF589" i="1"/>
  <c r="BT566" i="1"/>
  <c r="BF566" i="1"/>
  <c r="BT642" i="1"/>
  <c r="BF642" i="1"/>
  <c r="BT565" i="1"/>
  <c r="BF565" i="1"/>
  <c r="BT432" i="1"/>
  <c r="BF432" i="1"/>
  <c r="BT147" i="1"/>
  <c r="BF147" i="1"/>
  <c r="BT668" i="1"/>
  <c r="BF668" i="1"/>
  <c r="BT641" i="1"/>
  <c r="BF641" i="1"/>
  <c r="BT508" i="1"/>
  <c r="BF508" i="1"/>
  <c r="BT345" i="1"/>
  <c r="BF345" i="1"/>
  <c r="BT564" i="1"/>
  <c r="BF564" i="1"/>
  <c r="BT578" i="1"/>
  <c r="BF578" i="1"/>
  <c r="BT563" i="1"/>
  <c r="BF563" i="1"/>
  <c r="BT431" i="1"/>
  <c r="BF431" i="1"/>
  <c r="BT321" i="1"/>
  <c r="BF321" i="1"/>
  <c r="BT637" i="1"/>
  <c r="BF637" i="1"/>
  <c r="BT507" i="1"/>
  <c r="BF507" i="1"/>
  <c r="BT636" i="1"/>
  <c r="BF636" i="1"/>
  <c r="BT571" i="1"/>
  <c r="BF571" i="1"/>
  <c r="BT635" i="1"/>
  <c r="BF635" i="1"/>
  <c r="BT429" i="1"/>
  <c r="BF429" i="1"/>
  <c r="BT562" i="1"/>
  <c r="BF562" i="1"/>
  <c r="BT634" i="1"/>
  <c r="BF634" i="1"/>
  <c r="BT632" i="1"/>
  <c r="BF632" i="1"/>
  <c r="BT561" i="1"/>
  <c r="BF561" i="1"/>
  <c r="BT560" i="1"/>
  <c r="BF560" i="1"/>
  <c r="BT380" i="1"/>
  <c r="BF380" i="1"/>
  <c r="BT559" i="1"/>
  <c r="BF559" i="1"/>
  <c r="BT428" i="1"/>
  <c r="BF428" i="1"/>
  <c r="BT631" i="1"/>
  <c r="BF631" i="1"/>
  <c r="BT630" i="1"/>
  <c r="BF630" i="1"/>
  <c r="BT629" i="1"/>
  <c r="BF629" i="1"/>
  <c r="BT628" i="1"/>
  <c r="BF628" i="1"/>
  <c r="BT667" i="1"/>
  <c r="BF667" i="1"/>
  <c r="BT627" i="1"/>
  <c r="BF627" i="1"/>
  <c r="BT554" i="1"/>
  <c r="BF554" i="1"/>
  <c r="BT553" i="1"/>
  <c r="BF553" i="1"/>
  <c r="BT505" i="1"/>
  <c r="BF505" i="1"/>
  <c r="BT504" i="1"/>
  <c r="BF504" i="1"/>
  <c r="BT320" i="1"/>
  <c r="BF320" i="1"/>
  <c r="BT241" i="1"/>
  <c r="BF241" i="1"/>
  <c r="BT177" i="1"/>
  <c r="BF177" i="1"/>
  <c r="BT547" i="1"/>
  <c r="BF547" i="1"/>
  <c r="BT666" i="1"/>
  <c r="BF666" i="1"/>
  <c r="BT427" i="1"/>
  <c r="BF427" i="1"/>
  <c r="BT283" i="1"/>
  <c r="BF283" i="1"/>
  <c r="BT543" i="1"/>
  <c r="BF543" i="1"/>
  <c r="BT626" i="1"/>
  <c r="BF626" i="1"/>
  <c r="BT541" i="1"/>
  <c r="BF541" i="1"/>
  <c r="BT625" i="1"/>
  <c r="BF625" i="1"/>
  <c r="BT539" i="1"/>
  <c r="BF539" i="1"/>
  <c r="BT665" i="1"/>
  <c r="BF665" i="1"/>
  <c r="BT344" i="1"/>
  <c r="BF344" i="1"/>
  <c r="BT426" i="1"/>
  <c r="BF426" i="1"/>
  <c r="BT684" i="1"/>
  <c r="BF684" i="1"/>
  <c r="BT534" i="1"/>
  <c r="BF534" i="1"/>
  <c r="BT558" i="1"/>
  <c r="BF558" i="1"/>
  <c r="BT557" i="1"/>
  <c r="BF557" i="1"/>
  <c r="BT531" i="1"/>
  <c r="BF531" i="1"/>
  <c r="BT379" i="1"/>
  <c r="BF379" i="1"/>
  <c r="BT378" i="1"/>
  <c r="BF378" i="1"/>
  <c r="BT556" i="1"/>
  <c r="BF556" i="1"/>
  <c r="BT115" i="1"/>
  <c r="BF115" i="1"/>
  <c r="BT683" i="1"/>
  <c r="BF683" i="1"/>
  <c r="BT624" i="1"/>
  <c r="BF624" i="1"/>
  <c r="BT555" i="1"/>
  <c r="BF555" i="1"/>
  <c r="BT664" i="1"/>
  <c r="BF664" i="1"/>
  <c r="BT552" i="1"/>
  <c r="BF552" i="1"/>
  <c r="BT343" i="1"/>
  <c r="BF343" i="1"/>
  <c r="BT503" i="1"/>
  <c r="BF503" i="1"/>
  <c r="BT502" i="1"/>
  <c r="BF502" i="1"/>
  <c r="BT501" i="1"/>
  <c r="BF501" i="1"/>
  <c r="BT499" i="1"/>
  <c r="BF499" i="1"/>
  <c r="BT623" i="1"/>
  <c r="BF623" i="1"/>
  <c r="BT377" i="1"/>
  <c r="BF377" i="1"/>
  <c r="BT425" i="1"/>
  <c r="BF425" i="1"/>
  <c r="BT498" i="1"/>
  <c r="BF498" i="1"/>
  <c r="BT622" i="1"/>
  <c r="BF622" i="1"/>
  <c r="BT511" i="1"/>
  <c r="BF511" i="1"/>
  <c r="BT663" i="1"/>
  <c r="BF663" i="1"/>
  <c r="BT91" i="1"/>
  <c r="BF91" i="1"/>
  <c r="BT319" i="1"/>
  <c r="BF319" i="1"/>
  <c r="BT621" i="1"/>
  <c r="BF621" i="1"/>
  <c r="BT506" i="1"/>
  <c r="BF506" i="1"/>
  <c r="BT424" i="1"/>
  <c r="BF424" i="1"/>
  <c r="BT682" i="1"/>
  <c r="BF682" i="1"/>
  <c r="BT146" i="1"/>
  <c r="BF146" i="1"/>
  <c r="BT620" i="1"/>
  <c r="BF620" i="1"/>
  <c r="BT619" i="1"/>
  <c r="BF619" i="1"/>
  <c r="BT500" i="1"/>
  <c r="BF500" i="1"/>
  <c r="BT114" i="1"/>
  <c r="BF114" i="1"/>
  <c r="BT376" i="1"/>
  <c r="BF376" i="1"/>
  <c r="BT551" i="1"/>
  <c r="BF551" i="1"/>
  <c r="BT318" i="1"/>
  <c r="BF318" i="1"/>
  <c r="BT80" i="1"/>
  <c r="BF80" i="1"/>
  <c r="BT176" i="1"/>
  <c r="BF176" i="1"/>
  <c r="BT550" i="1"/>
  <c r="BF550" i="1"/>
  <c r="BT618" i="1"/>
  <c r="BF618" i="1"/>
  <c r="BT662" i="1"/>
  <c r="BF662" i="1"/>
  <c r="BT497" i="1"/>
  <c r="BF497" i="1"/>
  <c r="BT496" i="1"/>
  <c r="BF496" i="1"/>
  <c r="BT488" i="1"/>
  <c r="BF488" i="1"/>
  <c r="BT113" i="1"/>
  <c r="BF113" i="1"/>
  <c r="BT549" i="1"/>
  <c r="BF549" i="1"/>
  <c r="BT32" i="1"/>
  <c r="BF32" i="1"/>
  <c r="BT495" i="1"/>
  <c r="BF495" i="1"/>
  <c r="BT317" i="1"/>
  <c r="BF317" i="1"/>
  <c r="BT240" i="1"/>
  <c r="BF240" i="1"/>
  <c r="BT616" i="1"/>
  <c r="BF616" i="1"/>
  <c r="BT423" i="1"/>
  <c r="BF423" i="1"/>
  <c r="BT479" i="1"/>
  <c r="BF479" i="1"/>
  <c r="BT615" i="1"/>
  <c r="BF615" i="1"/>
  <c r="BT477" i="1"/>
  <c r="BF477" i="1"/>
  <c r="BT681" i="1"/>
  <c r="BF681" i="1"/>
  <c r="BT614" i="1"/>
  <c r="BF614" i="1"/>
  <c r="BT494" i="1"/>
  <c r="BF494" i="1"/>
  <c r="BT473" i="1"/>
  <c r="BF473" i="1"/>
  <c r="BT472" i="1"/>
  <c r="BF472" i="1"/>
  <c r="BT422" i="1"/>
  <c r="BF422" i="1"/>
  <c r="BT98" i="1"/>
  <c r="BF98" i="1"/>
  <c r="BT493" i="1"/>
  <c r="BF493" i="1"/>
  <c r="BT680" i="1"/>
  <c r="BF680" i="1"/>
  <c r="BT467" i="1"/>
  <c r="BF467" i="1"/>
  <c r="BT679" i="1"/>
  <c r="BF679" i="1"/>
  <c r="BT175" i="1"/>
  <c r="BF175" i="1"/>
  <c r="BT206" i="1"/>
  <c r="BF206" i="1"/>
  <c r="BT463" i="1"/>
  <c r="BF463" i="1"/>
  <c r="BT462" i="1"/>
  <c r="BF462" i="1"/>
  <c r="BT421" i="1"/>
  <c r="BF421" i="1"/>
  <c r="BT492" i="1"/>
  <c r="BF492" i="1"/>
  <c r="BT491" i="1"/>
  <c r="BF491" i="1"/>
  <c r="BT316" i="1"/>
  <c r="BF316" i="1"/>
  <c r="BT174" i="1"/>
  <c r="BF174" i="1"/>
  <c r="BT342" i="1"/>
  <c r="BF342" i="1"/>
  <c r="BT282" i="1"/>
  <c r="BF282" i="1"/>
  <c r="BT490" i="1"/>
  <c r="BF490" i="1"/>
  <c r="BT489" i="1"/>
  <c r="BF489" i="1"/>
  <c r="BT315" i="1"/>
  <c r="BF315" i="1"/>
  <c r="BT420" i="1"/>
  <c r="BF420" i="1"/>
  <c r="BT341" i="1"/>
  <c r="BF341" i="1"/>
  <c r="BT613" i="1"/>
  <c r="BF613" i="1"/>
  <c r="BT419" i="1"/>
  <c r="BF419" i="1"/>
  <c r="BT452" i="1"/>
  <c r="BF452" i="1"/>
  <c r="BT487" i="1"/>
  <c r="BF487" i="1"/>
  <c r="BT486" i="1"/>
  <c r="BF486" i="1"/>
  <c r="BT449" i="1"/>
  <c r="BF449" i="1"/>
  <c r="BT448" i="1"/>
  <c r="BF448" i="1"/>
  <c r="BT548" i="1"/>
  <c r="BF548" i="1"/>
  <c r="BT485" i="1"/>
  <c r="BF485" i="1"/>
  <c r="BT445" i="1"/>
  <c r="BF445" i="1"/>
  <c r="BT612" i="1"/>
  <c r="BF612" i="1"/>
  <c r="BT340" i="1"/>
  <c r="BF340" i="1"/>
  <c r="BT661" i="1"/>
  <c r="BF661" i="1"/>
  <c r="BT441" i="1"/>
  <c r="BF441" i="1"/>
  <c r="BT546" i="1"/>
  <c r="BF546" i="1"/>
  <c r="BT19" i="1"/>
  <c r="BF19" i="1"/>
  <c r="BT314" i="1"/>
  <c r="BF314" i="1"/>
  <c r="BT484" i="1"/>
  <c r="BF484" i="1"/>
  <c r="BT313" i="1"/>
  <c r="BF313" i="1"/>
  <c r="BT660" i="1"/>
  <c r="BF660" i="1"/>
  <c r="BT677" i="1"/>
  <c r="BF677" i="1"/>
  <c r="BT483" i="1"/>
  <c r="BF483" i="1"/>
  <c r="BT482" i="1"/>
  <c r="BF482" i="1"/>
  <c r="BT545" i="1"/>
  <c r="BF545" i="1"/>
  <c r="BT430" i="1"/>
  <c r="BF430" i="1"/>
  <c r="BT611" i="1"/>
  <c r="BF611" i="1"/>
  <c r="BT481" i="1"/>
  <c r="BF481" i="1"/>
  <c r="BT418" i="1"/>
  <c r="BF418" i="1"/>
  <c r="BT417" i="1"/>
  <c r="BF417" i="1"/>
  <c r="BT480" i="1"/>
  <c r="BF480" i="1"/>
  <c r="BT375" i="1"/>
  <c r="BF375" i="1"/>
  <c r="BT374" i="1"/>
  <c r="BF374" i="1"/>
  <c r="BT610" i="1"/>
  <c r="BF610" i="1"/>
  <c r="BT339" i="1"/>
  <c r="BF339" i="1"/>
  <c r="BT478" i="1"/>
  <c r="BF478" i="1"/>
  <c r="BT544" i="1"/>
  <c r="BF544" i="1"/>
  <c r="BT542" i="1"/>
  <c r="BF542" i="1"/>
  <c r="BT476" i="1"/>
  <c r="BF476" i="1"/>
  <c r="BT609" i="1"/>
  <c r="BF609" i="1"/>
  <c r="BT608" i="1"/>
  <c r="BF608" i="1"/>
  <c r="BT540" i="1"/>
  <c r="BF540" i="1"/>
  <c r="BT11" i="1"/>
  <c r="BF11" i="1"/>
  <c r="BT607" i="1"/>
  <c r="BF607" i="1"/>
  <c r="BT173" i="1"/>
  <c r="BF173" i="1"/>
  <c r="BT239" i="1"/>
  <c r="BF239" i="1"/>
  <c r="BT409" i="1"/>
  <c r="BF409" i="1"/>
  <c r="BT145" i="1"/>
  <c r="BF145" i="1"/>
  <c r="BT676" i="1"/>
  <c r="BF676" i="1"/>
  <c r="BT606" i="1"/>
  <c r="BF606" i="1"/>
  <c r="BT605" i="1"/>
  <c r="BF605" i="1"/>
  <c r="BT281" i="1"/>
  <c r="BF281" i="1"/>
  <c r="BT675" i="1"/>
  <c r="BF675" i="1"/>
  <c r="BT238" i="1"/>
  <c r="BF238" i="1"/>
  <c r="BT403" i="1"/>
  <c r="BF403" i="1"/>
  <c r="BT604" i="1"/>
  <c r="BF604" i="1"/>
  <c r="BT3" i="1"/>
  <c r="BT22" i="1"/>
  <c r="BT69" i="1"/>
  <c r="BT79" i="1"/>
  <c r="BF79" i="1"/>
  <c r="BT90" i="1"/>
  <c r="BT112" i="1"/>
  <c r="BT144" i="1"/>
  <c r="BF144" i="1"/>
  <c r="BT172" i="1"/>
  <c r="BF172" i="1"/>
  <c r="BT171" i="1"/>
  <c r="BF171" i="1"/>
  <c r="BT205" i="1"/>
  <c r="BT204" i="1"/>
  <c r="BF204" i="1"/>
  <c r="BT237" i="1"/>
  <c r="BF237" i="1"/>
  <c r="BT236" i="1"/>
  <c r="BF236" i="1"/>
  <c r="BT235" i="1"/>
  <c r="BF235" i="1"/>
  <c r="BT234" i="1"/>
  <c r="BF234" i="1"/>
  <c r="BT280" i="1"/>
  <c r="BT279" i="1"/>
  <c r="BF279" i="1"/>
  <c r="BT402" i="1"/>
  <c r="BF402" i="1"/>
  <c r="BT278" i="1"/>
  <c r="BF278" i="1"/>
  <c r="BT277" i="1"/>
  <c r="BF277" i="1"/>
  <c r="BT276" i="1"/>
  <c r="BF276" i="1"/>
  <c r="BT275" i="1"/>
  <c r="BF275" i="1"/>
  <c r="BT274" i="1"/>
  <c r="BF274" i="1"/>
  <c r="BT312" i="1"/>
  <c r="BF312" i="1"/>
  <c r="BT311" i="1"/>
  <c r="BF311" i="1"/>
  <c r="BT310" i="1"/>
  <c r="BT309" i="1"/>
  <c r="BF309" i="1"/>
  <c r="BT308" i="1"/>
  <c r="BF308" i="1"/>
  <c r="BT307" i="1"/>
  <c r="BT306" i="1"/>
  <c r="BF306" i="1"/>
  <c r="BT338" i="1"/>
  <c r="BF338" i="1"/>
  <c r="BT337" i="1"/>
  <c r="BF337" i="1"/>
  <c r="BT336" i="1"/>
  <c r="BF336" i="1"/>
  <c r="BT335" i="1"/>
  <c r="BF335" i="1"/>
  <c r="BT334" i="1"/>
  <c r="BF334" i="1"/>
  <c r="BT373" i="1"/>
  <c r="BF373" i="1"/>
  <c r="BT372" i="1"/>
  <c r="BF372" i="1"/>
  <c r="BT371" i="1"/>
  <c r="BF371" i="1"/>
  <c r="BT370" i="1"/>
  <c r="BT369" i="1"/>
  <c r="BF369" i="1"/>
  <c r="BT368" i="1"/>
  <c r="BF368" i="1"/>
  <c r="BT367" i="1"/>
  <c r="BF367" i="1"/>
  <c r="BT366" i="1"/>
  <c r="BF366" i="1"/>
  <c r="BT365" i="1"/>
  <c r="BF365" i="1"/>
  <c r="BT364" i="1"/>
  <c r="BF364" i="1"/>
  <c r="BT363" i="1"/>
  <c r="BF363" i="1"/>
  <c r="BT416" i="1"/>
  <c r="BT415" i="1"/>
  <c r="BF415" i="1"/>
  <c r="BT414" i="1"/>
  <c r="BF414" i="1"/>
  <c r="BT413" i="1"/>
  <c r="BT412" i="1"/>
  <c r="BF412" i="1"/>
  <c r="BT411" i="1"/>
  <c r="BF411" i="1"/>
  <c r="BT410" i="1"/>
  <c r="BF410" i="1"/>
  <c r="BT408" i="1"/>
  <c r="BF408" i="1"/>
  <c r="BT407" i="1"/>
  <c r="BT406" i="1"/>
  <c r="BF406" i="1"/>
  <c r="BT405" i="1"/>
  <c r="BF405" i="1"/>
  <c r="BT404" i="1"/>
  <c r="BF404" i="1"/>
  <c r="BT475" i="1"/>
  <c r="BT474" i="1"/>
  <c r="BF474" i="1"/>
  <c r="BT471" i="1"/>
  <c r="BT470" i="1"/>
  <c r="BF470" i="1"/>
  <c r="BT469" i="1"/>
  <c r="BF469" i="1"/>
  <c r="BT468" i="1"/>
  <c r="BF468" i="1"/>
  <c r="BT466" i="1"/>
  <c r="BF466" i="1"/>
  <c r="BT465" i="1"/>
  <c r="BF465" i="1"/>
  <c r="BT464" i="1"/>
  <c r="BF464" i="1"/>
  <c r="BT461" i="1"/>
  <c r="BF461" i="1"/>
  <c r="BT538" i="1"/>
  <c r="BF538" i="1"/>
  <c r="BT460" i="1"/>
  <c r="BF460" i="1"/>
  <c r="BT459" i="1"/>
  <c r="BF459" i="1"/>
  <c r="BT458" i="1"/>
  <c r="BF458" i="1"/>
  <c r="BT457" i="1"/>
  <c r="BF457" i="1"/>
  <c r="BT456" i="1"/>
  <c r="BF456" i="1"/>
  <c r="BT455" i="1"/>
  <c r="BF455" i="1"/>
  <c r="BT537" i="1"/>
  <c r="BT536" i="1"/>
  <c r="BT535" i="1"/>
  <c r="BF535" i="1"/>
  <c r="BT533" i="1"/>
  <c r="BF533" i="1"/>
  <c r="BT532" i="1"/>
  <c r="BF532" i="1"/>
  <c r="BT530" i="1"/>
  <c r="BF530" i="1"/>
  <c r="BT529" i="1"/>
  <c r="BF529" i="1"/>
  <c r="BT528" i="1"/>
  <c r="BF528" i="1"/>
  <c r="BT527" i="1"/>
  <c r="BF527" i="1"/>
  <c r="BT526" i="1"/>
  <c r="BF526" i="1"/>
  <c r="BT525" i="1"/>
  <c r="BF525" i="1"/>
  <c r="BT524" i="1"/>
  <c r="BF524" i="1"/>
  <c r="BT602" i="1"/>
  <c r="BF602" i="1"/>
  <c r="BT523" i="1"/>
  <c r="BF523" i="1"/>
  <c r="BT522" i="1"/>
  <c r="BF522" i="1"/>
  <c r="BT521" i="1"/>
  <c r="BF521" i="1"/>
  <c r="BT520" i="1"/>
  <c r="BF520" i="1"/>
  <c r="BT519" i="1"/>
  <c r="BF519" i="1"/>
  <c r="BT518" i="1"/>
  <c r="BF518" i="1"/>
  <c r="BT601" i="1"/>
  <c r="BF601" i="1"/>
  <c r="BT600" i="1"/>
  <c r="BF600" i="1"/>
  <c r="BT599" i="1"/>
  <c r="BF599" i="1"/>
  <c r="BT598" i="1"/>
  <c r="BF598" i="1"/>
  <c r="BT597" i="1"/>
  <c r="BF597" i="1"/>
  <c r="BT596" i="1"/>
  <c r="BF596" i="1"/>
  <c r="BT659" i="1"/>
  <c r="BF659" i="1"/>
  <c r="BT594" i="1"/>
  <c r="BF594" i="1"/>
  <c r="BT593" i="1"/>
  <c r="BF593" i="1"/>
  <c r="BT591" i="1"/>
  <c r="BF591" i="1"/>
  <c r="BT674" i="1"/>
  <c r="BF674" i="1"/>
  <c r="BT588" i="1"/>
  <c r="BF588" i="1"/>
  <c r="BT587" i="1"/>
  <c r="BF587" i="1"/>
  <c r="BT586" i="1"/>
  <c r="BF586" i="1"/>
  <c r="BT673" i="1"/>
  <c r="BF673" i="1"/>
  <c r="BT658" i="1"/>
  <c r="BF658" i="1"/>
  <c r="BT89" i="1"/>
  <c r="BF89" i="1"/>
  <c r="BT97" i="1"/>
  <c r="BF97" i="1"/>
  <c r="BT111" i="1"/>
  <c r="BF111" i="1"/>
  <c r="BT110" i="1"/>
  <c r="BT143" i="1"/>
  <c r="BF143" i="1"/>
  <c r="BT170" i="1"/>
  <c r="BF170" i="1"/>
  <c r="BT169" i="1"/>
  <c r="BF169" i="1"/>
  <c r="BT203" i="1"/>
  <c r="BF203" i="1"/>
  <c r="BT202" i="1"/>
  <c r="BF202" i="1"/>
  <c r="BT201" i="1"/>
  <c r="BF201" i="1"/>
  <c r="BT200" i="1"/>
  <c r="BF200" i="1"/>
  <c r="BT199" i="1"/>
  <c r="BF199" i="1"/>
  <c r="BT233" i="1"/>
  <c r="BT232" i="1"/>
  <c r="BF232" i="1"/>
  <c r="BT231" i="1"/>
  <c r="BF231" i="1"/>
  <c r="BT230" i="1"/>
  <c r="BF230" i="1"/>
  <c r="BT229" i="1"/>
  <c r="BF229" i="1"/>
  <c r="BT273" i="1"/>
  <c r="BF273" i="1"/>
  <c r="BT272" i="1"/>
  <c r="BF272" i="1"/>
  <c r="BT271" i="1"/>
  <c r="BF271" i="1"/>
  <c r="BT270" i="1"/>
  <c r="BF270" i="1"/>
  <c r="BT305" i="1"/>
  <c r="BF305" i="1"/>
  <c r="BT304" i="1"/>
  <c r="BF304" i="1"/>
  <c r="BT303" i="1"/>
  <c r="BF303" i="1"/>
  <c r="BT302" i="1"/>
  <c r="BF302" i="1"/>
  <c r="BT301" i="1"/>
  <c r="BF301" i="1"/>
  <c r="BT2" i="1"/>
  <c r="BF2" i="1"/>
  <c r="BT4" i="1"/>
  <c r="BF4" i="1"/>
  <c r="BT6" i="1"/>
  <c r="BF6" i="1"/>
  <c r="BT5" i="1"/>
  <c r="BF5" i="1"/>
  <c r="BT10" i="1"/>
  <c r="BF10" i="1"/>
  <c r="BT9" i="1"/>
  <c r="BF9" i="1"/>
  <c r="BT8" i="1"/>
  <c r="BF8" i="1"/>
  <c r="BT16" i="1"/>
  <c r="BF16" i="1"/>
  <c r="BT15" i="1"/>
  <c r="BF15" i="1"/>
  <c r="BT14" i="1"/>
  <c r="BF14" i="1"/>
  <c r="BT13" i="1"/>
  <c r="BF13" i="1"/>
  <c r="BT12" i="1"/>
  <c r="BF12" i="1"/>
  <c r="BT18" i="1"/>
  <c r="BF18" i="1"/>
  <c r="BT17" i="1"/>
  <c r="BF17" i="1"/>
  <c r="BT21" i="1"/>
  <c r="BF21" i="1"/>
  <c r="BT20" i="1"/>
  <c r="BF20" i="1"/>
  <c r="BT25" i="1"/>
  <c r="BF25" i="1"/>
  <c r="BT24" i="1"/>
  <c r="BF24" i="1"/>
  <c r="BT23" i="1"/>
  <c r="BF23" i="1"/>
  <c r="BT31" i="1"/>
  <c r="BF31" i="1"/>
  <c r="BT30" i="1"/>
  <c r="BF30" i="1"/>
  <c r="BT29" i="1"/>
  <c r="BF29" i="1"/>
  <c r="BT36" i="1"/>
  <c r="BF36" i="1"/>
  <c r="BT35" i="1"/>
  <c r="BF35" i="1"/>
  <c r="BT34" i="1"/>
  <c r="BF34" i="1"/>
  <c r="BT33" i="1"/>
  <c r="BF33" i="1"/>
  <c r="BT40" i="1"/>
  <c r="BF40" i="1"/>
  <c r="BT39" i="1"/>
  <c r="BF39" i="1"/>
  <c r="BT38" i="1"/>
  <c r="BF38" i="1"/>
  <c r="BT43" i="1"/>
  <c r="BF43" i="1"/>
  <c r="BT42" i="1"/>
  <c r="BF42" i="1"/>
  <c r="BT48" i="1"/>
  <c r="BT47" i="1"/>
  <c r="BF47" i="1"/>
  <c r="BT46" i="1"/>
  <c r="BF46" i="1"/>
  <c r="BT45" i="1"/>
  <c r="BF45" i="1"/>
  <c r="BT58" i="1"/>
  <c r="BF58" i="1"/>
  <c r="BT57" i="1"/>
  <c r="BF57" i="1"/>
  <c r="BT56" i="1"/>
  <c r="BF56" i="1"/>
  <c r="BT55" i="1"/>
  <c r="BF55" i="1"/>
  <c r="BT54" i="1"/>
  <c r="BF54" i="1"/>
  <c r="BT53" i="1"/>
  <c r="BF53" i="1"/>
  <c r="BT62" i="1"/>
  <c r="BF62" i="1"/>
  <c r="BT68" i="1"/>
  <c r="BT67" i="1"/>
  <c r="BF67" i="1"/>
  <c r="BT66" i="1"/>
  <c r="BF66" i="1"/>
  <c r="BT78" i="1"/>
  <c r="BF78" i="1"/>
  <c r="BT77" i="1"/>
  <c r="BF77" i="1"/>
  <c r="BT76" i="1"/>
  <c r="BF76" i="1"/>
  <c r="BT88" i="1"/>
  <c r="BF88" i="1"/>
  <c r="BT87" i="1"/>
  <c r="BF87" i="1"/>
  <c r="BT86" i="1"/>
  <c r="BF86" i="1"/>
  <c r="BT85" i="1"/>
  <c r="BF85" i="1"/>
  <c r="BT84" i="1"/>
  <c r="BF84" i="1"/>
  <c r="BT83" i="1"/>
  <c r="BF83" i="1"/>
  <c r="BT96" i="1"/>
  <c r="BF96" i="1"/>
  <c r="BT95" i="1"/>
  <c r="BF95" i="1"/>
  <c r="BT94" i="1"/>
  <c r="BF94" i="1"/>
  <c r="BT109" i="1"/>
  <c r="BT108" i="1"/>
  <c r="BF108" i="1"/>
  <c r="BT107" i="1"/>
  <c r="BF107" i="1"/>
  <c r="BT106" i="1"/>
  <c r="BF106" i="1"/>
  <c r="BT105" i="1"/>
  <c r="BF105" i="1"/>
  <c r="BT104" i="1"/>
  <c r="BF104" i="1"/>
  <c r="BT103" i="1"/>
  <c r="BF103" i="1"/>
  <c r="BT102" i="1"/>
  <c r="BF102" i="1"/>
  <c r="BT101" i="1"/>
  <c r="BF101" i="1"/>
  <c r="BT142" i="1"/>
  <c r="BF142" i="1"/>
  <c r="BT141" i="1"/>
  <c r="BF141" i="1"/>
  <c r="BT140" i="1"/>
  <c r="BF140" i="1"/>
  <c r="BT139" i="1"/>
  <c r="BF139" i="1"/>
  <c r="BT138" i="1"/>
  <c r="BF138" i="1"/>
  <c r="BT137" i="1"/>
  <c r="BF137" i="1"/>
  <c r="BT136" i="1"/>
  <c r="BF136" i="1"/>
  <c r="BT135" i="1"/>
  <c r="BF135" i="1"/>
  <c r="BT134" i="1"/>
  <c r="BF134" i="1"/>
  <c r="BT133" i="1"/>
  <c r="BF133" i="1"/>
  <c r="BT132" i="1"/>
  <c r="BF132" i="1"/>
  <c r="BT131" i="1"/>
  <c r="BF131" i="1"/>
  <c r="BT130" i="1"/>
  <c r="BF130" i="1"/>
  <c r="BT129" i="1"/>
  <c r="BF129" i="1"/>
  <c r="BT128" i="1"/>
  <c r="BF128" i="1"/>
  <c r="BT127" i="1"/>
  <c r="BF127" i="1"/>
  <c r="BT168" i="1"/>
  <c r="BF168" i="1"/>
  <c r="BT167" i="1"/>
  <c r="BF167" i="1"/>
  <c r="BT166" i="1"/>
  <c r="BF166" i="1"/>
  <c r="BT165" i="1"/>
  <c r="BF165" i="1"/>
  <c r="BT164" i="1"/>
  <c r="BF164" i="1"/>
  <c r="BT163" i="1"/>
  <c r="BF163" i="1"/>
  <c r="BT162" i="1"/>
  <c r="BF162" i="1"/>
  <c r="BT161" i="1"/>
  <c r="BF161" i="1"/>
  <c r="BT160" i="1"/>
  <c r="BF160" i="1"/>
  <c r="BT159" i="1"/>
  <c r="BF159" i="1"/>
  <c r="BT158" i="1"/>
  <c r="BF158" i="1"/>
  <c r="BT198" i="1"/>
  <c r="BF198" i="1"/>
  <c r="BT197" i="1"/>
  <c r="BF197" i="1"/>
  <c r="BT196" i="1"/>
  <c r="BF196" i="1"/>
  <c r="BT195" i="1"/>
  <c r="BF195" i="1"/>
  <c r="BT194" i="1"/>
  <c r="BF194" i="1"/>
  <c r="BT193" i="1"/>
  <c r="BF193" i="1"/>
  <c r="BT192" i="1"/>
  <c r="BF192" i="1"/>
  <c r="BT191" i="1"/>
  <c r="BF191" i="1"/>
  <c r="BT190" i="1"/>
  <c r="BF190" i="1"/>
  <c r="BT189" i="1"/>
  <c r="BF189" i="1"/>
  <c r="BT188" i="1"/>
  <c r="BF188" i="1"/>
  <c r="BT187" i="1"/>
  <c r="BF187" i="1"/>
  <c r="BT228" i="1"/>
  <c r="BF228" i="1"/>
  <c r="BT227" i="1"/>
  <c r="BT226" i="1"/>
  <c r="BF226" i="1"/>
  <c r="BT225" i="1"/>
  <c r="BF225" i="1"/>
  <c r="BT224" i="1"/>
  <c r="BF224" i="1"/>
  <c r="BT223" i="1"/>
  <c r="BF223" i="1"/>
  <c r="BT222" i="1"/>
  <c r="BF222" i="1"/>
  <c r="BT221" i="1"/>
  <c r="BF221" i="1"/>
  <c r="BT220" i="1"/>
  <c r="BF220" i="1"/>
  <c r="BT219" i="1"/>
  <c r="BF219" i="1"/>
  <c r="BT218" i="1"/>
  <c r="BF218" i="1"/>
  <c r="BT217" i="1"/>
  <c r="BF217" i="1"/>
  <c r="BT216" i="1"/>
  <c r="BF216" i="1"/>
  <c r="BT269" i="1"/>
  <c r="BT268" i="1"/>
  <c r="BF268" i="1"/>
  <c r="BT267" i="1"/>
  <c r="BF267" i="1"/>
  <c r="BT266" i="1"/>
  <c r="BF266" i="1"/>
  <c r="BT265" i="1"/>
  <c r="BF265" i="1"/>
  <c r="BT264" i="1"/>
  <c r="BF264" i="1"/>
  <c r="BT263" i="1"/>
  <c r="BF263" i="1"/>
  <c r="BT262" i="1"/>
  <c r="BF262" i="1"/>
  <c r="BT261" i="1"/>
  <c r="BF261" i="1"/>
  <c r="BT260" i="1"/>
  <c r="BF260" i="1"/>
  <c r="BT259" i="1"/>
  <c r="BF259" i="1"/>
  <c r="BT258" i="1"/>
  <c r="BF258" i="1"/>
  <c r="BT257" i="1"/>
  <c r="BF257" i="1"/>
  <c r="BT256" i="1"/>
  <c r="BF256" i="1"/>
  <c r="BT255" i="1"/>
  <c r="BF255" i="1"/>
  <c r="BT254" i="1"/>
  <c r="BF254" i="1"/>
  <c r="BT253" i="1"/>
  <c r="BF253" i="1"/>
  <c r="BT300" i="1"/>
  <c r="BF300" i="1"/>
  <c r="BT299" i="1"/>
  <c r="BF299" i="1"/>
  <c r="BT298" i="1"/>
  <c r="BF298" i="1"/>
  <c r="BT297" i="1"/>
  <c r="BF297" i="1"/>
  <c r="BT296" i="1"/>
  <c r="BF296" i="1"/>
  <c r="BT295" i="1"/>
  <c r="BF295" i="1"/>
  <c r="BT333" i="1"/>
  <c r="BF333" i="1"/>
  <c r="BT332" i="1"/>
  <c r="BF332" i="1"/>
  <c r="BT362" i="1"/>
  <c r="BF362" i="1"/>
  <c r="BT65" i="1"/>
  <c r="BF65" i="1"/>
  <c r="BT75" i="1"/>
  <c r="BF75" i="1"/>
  <c r="BT401" i="1"/>
  <c r="BF401" i="1"/>
  <c r="BT186" i="1"/>
  <c r="BF186" i="1"/>
  <c r="BT400" i="1"/>
  <c r="BF400" i="1"/>
  <c r="BT61" i="1"/>
  <c r="BF61" i="1"/>
  <c r="BT361" i="1"/>
  <c r="BF361" i="1"/>
  <c r="BT215" i="1"/>
  <c r="BF215" i="1"/>
  <c r="BT360" i="1"/>
  <c r="BF360" i="1"/>
  <c r="BT74" i="1"/>
  <c r="BF74" i="1"/>
  <c r="BT331" i="1"/>
  <c r="BF331" i="1"/>
  <c r="BT399" i="1"/>
  <c r="BF399" i="1"/>
  <c r="BT157" i="1"/>
  <c r="BF157" i="1"/>
  <c r="BT214" i="1"/>
  <c r="BF214" i="1"/>
  <c r="BT398" i="1"/>
  <c r="BF398" i="1"/>
  <c r="BT73" i="1"/>
  <c r="BF73" i="1"/>
  <c r="BT397" i="1"/>
  <c r="BF397" i="1"/>
  <c r="BT100" i="1"/>
  <c r="BF100" i="1"/>
  <c r="BT330" i="1"/>
  <c r="BF330" i="1"/>
  <c r="BT252" i="1"/>
  <c r="BF252" i="1"/>
  <c r="BT213" i="1"/>
  <c r="BF213" i="1"/>
  <c r="BT185" i="1"/>
  <c r="BF185" i="1"/>
  <c r="BT64" i="1"/>
  <c r="BF64" i="1"/>
  <c r="BT52" i="1"/>
  <c r="BF52" i="1"/>
  <c r="BT28" i="1"/>
  <c r="BF28" i="1"/>
  <c r="BT359" i="1"/>
  <c r="BF359" i="1"/>
  <c r="BT251" i="1"/>
  <c r="BF251" i="1"/>
  <c r="BT294" i="1"/>
  <c r="BF294" i="1"/>
  <c r="BT396" i="1"/>
  <c r="BF396" i="1"/>
  <c r="BT329" i="1"/>
  <c r="BF329" i="1"/>
  <c r="BT93" i="1"/>
  <c r="BT156" i="1"/>
  <c r="BF156" i="1"/>
  <c r="BT27" i="1"/>
  <c r="BF27" i="1"/>
  <c r="BT126" i="1"/>
  <c r="BF126" i="1"/>
  <c r="BT72" i="1"/>
  <c r="BF72" i="1"/>
  <c r="BT358" i="1"/>
  <c r="BF358" i="1"/>
  <c r="BT328" i="1"/>
  <c r="BF328" i="1"/>
  <c r="BT327" i="1"/>
  <c r="BF327" i="1"/>
  <c r="BT395" i="1"/>
  <c r="BF395" i="1"/>
  <c r="BT394" i="1"/>
  <c r="BF394" i="1"/>
  <c r="BT155" i="1"/>
  <c r="BF155" i="1"/>
  <c r="BT51" i="1"/>
  <c r="BF51" i="1"/>
  <c r="BT37" i="1"/>
  <c r="BF37" i="1"/>
  <c r="BT393" i="1"/>
  <c r="BF393" i="1"/>
  <c r="BT326" i="1"/>
  <c r="BF326" i="1"/>
  <c r="BT392" i="1"/>
  <c r="BF392" i="1"/>
  <c r="BT125" i="1"/>
  <c r="BF125" i="1"/>
  <c r="BT124" i="1"/>
  <c r="BF124" i="1"/>
  <c r="BT154" i="1"/>
  <c r="BF154" i="1"/>
  <c r="BT391" i="1"/>
  <c r="BF391" i="1"/>
  <c r="BT184" i="1"/>
  <c r="BF184" i="1"/>
  <c r="BT357" i="1"/>
  <c r="BF357" i="1"/>
  <c r="BT82" i="1"/>
  <c r="BF82" i="1"/>
  <c r="BT250" i="1"/>
  <c r="BF250" i="1"/>
  <c r="BT249" i="1"/>
  <c r="BF249" i="1"/>
  <c r="BT293" i="1"/>
  <c r="BF293" i="1"/>
  <c r="BT212" i="1"/>
  <c r="BF212" i="1"/>
  <c r="BT183" i="1"/>
  <c r="BF183" i="1"/>
  <c r="BT292" i="1"/>
  <c r="BF292" i="1"/>
  <c r="BT390" i="1"/>
  <c r="BF390" i="1"/>
  <c r="BT356" i="1"/>
  <c r="BF356" i="1"/>
  <c r="BT123" i="1"/>
  <c r="BF123" i="1"/>
  <c r="BT122" i="1"/>
  <c r="BF122" i="1"/>
  <c r="BT248" i="1"/>
  <c r="BF248" i="1"/>
  <c r="BT211" i="1"/>
  <c r="BF211" i="1"/>
  <c r="BT291" i="1"/>
  <c r="BF291" i="1"/>
  <c r="BT355" i="1"/>
  <c r="BF355" i="1"/>
  <c r="BT121" i="1"/>
  <c r="BF121" i="1"/>
  <c r="BT354" i="1"/>
  <c r="BF354" i="1"/>
  <c r="BT182" i="1"/>
  <c r="BF182" i="1"/>
  <c r="BT99" i="1"/>
  <c r="BF99" i="1"/>
  <c r="BT325" i="1"/>
  <c r="BF325" i="1"/>
  <c r="BT247" i="1"/>
  <c r="BF247" i="1"/>
  <c r="BT290" i="1"/>
  <c r="BT26" i="1"/>
  <c r="BF26" i="1"/>
  <c r="BT389" i="1"/>
  <c r="BF389" i="1"/>
  <c r="BT246" i="1"/>
  <c r="BF246" i="1"/>
  <c r="BT388" i="1"/>
  <c r="BF388" i="1"/>
  <c r="BT81" i="1"/>
  <c r="BF81" i="1"/>
  <c r="BT153" i="1"/>
  <c r="BF153" i="1"/>
  <c r="BT50" i="1"/>
  <c r="BF50" i="1"/>
  <c r="BT120" i="1"/>
  <c r="BF120" i="1"/>
  <c r="BT387" i="1"/>
  <c r="BF387" i="1"/>
  <c r="BT353" i="1"/>
  <c r="BF353" i="1"/>
  <c r="BT245" i="1"/>
  <c r="BF245" i="1"/>
  <c r="BT386" i="1"/>
  <c r="BF386" i="1"/>
  <c r="BT60" i="1"/>
  <c r="BF60" i="1"/>
  <c r="BT244" i="1"/>
  <c r="BF244" i="1"/>
  <c r="BT71" i="1"/>
  <c r="BF71" i="1"/>
  <c r="BT119" i="1"/>
  <c r="BF119" i="1"/>
  <c r="BT152" i="1"/>
  <c r="BF152" i="1"/>
  <c r="BT70" i="1"/>
  <c r="BF70" i="1"/>
  <c r="BT49" i="1"/>
  <c r="BF49" i="1"/>
  <c r="BT63" i="1"/>
  <c r="BF63" i="1"/>
  <c r="BT181" i="1"/>
  <c r="BF181" i="1"/>
  <c r="BT289" i="1"/>
  <c r="BF289" i="1"/>
  <c r="BT288" i="1"/>
  <c r="BF288" i="1"/>
  <c r="BT118" i="1"/>
  <c r="BF118" i="1"/>
  <c r="BT44" i="1"/>
  <c r="BF44" i="1"/>
  <c r="BT7" i="1"/>
  <c r="BF7" i="1"/>
  <c r="BT385" i="1"/>
  <c r="BF385" i="1"/>
  <c r="BT59" i="1"/>
  <c r="BF59" i="1"/>
  <c r="BT352" i="1"/>
  <c r="BF352" i="1"/>
  <c r="BT151" i="1"/>
  <c r="BF151" i="1"/>
  <c r="BT210" i="1"/>
  <c r="BF210" i="1"/>
  <c r="BT287" i="1"/>
  <c r="BF287" i="1"/>
  <c r="BT209" i="1"/>
  <c r="BF209" i="1"/>
  <c r="BT243" i="1"/>
  <c r="BF243" i="1"/>
  <c r="BT286" i="1"/>
  <c r="BF286" i="1"/>
  <c r="BT180" i="1"/>
  <c r="BF180" i="1"/>
  <c r="BT208" i="1"/>
  <c r="BF208" i="1"/>
  <c r="BT351" i="1"/>
  <c r="BF351" i="1"/>
  <c r="BT242" i="1"/>
  <c r="BF242" i="1"/>
</calcChain>
</file>

<file path=xl/sharedStrings.xml><?xml version="1.0" encoding="utf-8"?>
<sst xmlns="http://schemas.openxmlformats.org/spreadsheetml/2006/main" count="43391" uniqueCount="10656">
  <si>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</si>
  <si>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</si>
  <si>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</si>
  <si>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</si>
  <si>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</si>
  <si>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</si>
  <si>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</si>
  <si>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</si>
  <si>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</si>
  <si>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</si>
  <si>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</si>
  <si>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</si>
  <si>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</si>
  <si>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</si>
  <si>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</si>
  <si>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</si>
  <si>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</si>
  <si>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</si>
  <si>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</si>
  <si>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</si>
  <si>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</si>
  <si>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</si>
  <si>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</si>
  <si>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</si>
  <si>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</si>
  <si>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</si>
  <si>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</si>
  <si>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</si>
  <si>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</si>
  <si>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</si>
  <si>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</si>
  <si>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</si>
  <si>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</si>
  <si>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</si>
  <si>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</si>
  <si>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</si>
  <si>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</si>
  <si>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</si>
  <si>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</si>
  <si>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</si>
  <si>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</si>
  <si>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</si>
  <si>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</si>
  <si>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</si>
  <si>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</si>
  <si>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</si>
  <si>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</si>
  <si>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</si>
  <si>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</si>
  <si>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</si>
  <si>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</si>
  <si>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</si>
  <si>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</si>
  <si>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</si>
  <si>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</si>
  <si>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</si>
  <si>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</si>
  <si>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</si>
  <si>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</si>
  <si>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</si>
  <si>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</si>
  <si>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</si>
  <si>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</si>
  <si>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</si>
  <si>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</si>
  <si>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</si>
  <si>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</si>
  <si>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</si>
  <si>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</si>
  <si>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</si>
  <si>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</si>
  <si>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</si>
  <si>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</si>
  <si>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Akpinar, E; Berger, J</t>
  </si>
  <si>
    <t/>
  </si>
  <si>
    <t>Akpinar, Ezgi; Berger, Jonah</t>
  </si>
  <si>
    <t>Drivers of Cultural Success: The Case of Sensory Metaphors</t>
  </si>
  <si>
    <t>JOURNAL OF PERSONALITY AND SOCIAL PSYCHOLOGY</t>
  </si>
  <si>
    <t>English</t>
  </si>
  <si>
    <t>Article</t>
  </si>
  <si>
    <t>foundations of culture; metaphors; embodiment; senses</t>
  </si>
  <si>
    <t>LANGUAGE; RATES; COMMUNICATION; ABANDONMENT; PSYCHOLOGY; RETRIEVAL; EVOLUTION; ATTENTION; ATTITUDES; COGNITION</t>
  </si>
  <si>
    <t>Why do some cultural items catch on and become more popular than others? Language is one of the basic foundations of culture. But what leads some phrases to become more culturally successful? There are multiple ways to convey the same thing and phrases with similar meanings often act as substitutes, competing for usage. A not so friendly person, for example, can be described as unfriendly or cold. We study how the senses shape cultural success, suggesting that compared with their semantic equivalents (e.g., unfriendly person), phrases which relate to senses in metaphoric ways (e.g., cold person) should be more culturally successful. Data from 5 million books over 200 years support this prediction: Sensory metaphors are used more frequently over time than are their semantic equivalents. Experimental evidence demonstrates that sensory metaphors are more memorable because they relate more to the senses and have more associative cues. These findings shed light on how senses shape language and the psychological foundations of culture more broadly.</t>
  </si>
  <si>
    <t>[Akpinar, Ezgi] MEF Univ, Dept Business Adm, TR-34396 Istanbul, Turkey; [Berger, Jonah] Univ Penn, Dept Mkt, Philadelphia, PA 19104 USA</t>
  </si>
  <si>
    <t>MEF Universitesi; University of Pennsylvania</t>
  </si>
  <si>
    <t>Akpinar, E (corresponding author), MEF Univ, Dept Business Adm, Ayazag Cad 4, TR-34396 Istanbul, Turkey.</t>
  </si>
  <si>
    <t>akpinare@mef.edu.tr</t>
  </si>
  <si>
    <t>Library, MEF/O-1457-2019; Akpinar, Ezgi/AAA-2334-2020</t>
  </si>
  <si>
    <t>Akpinar, Ezgi/0000-0002-2759-6241</t>
  </si>
  <si>
    <t>Erasmus Research Institute of Management at Erasmus University Rotterdam School</t>
  </si>
  <si>
    <t>The authors thank Alice King, Christian Barcena, David Marmugi, Diana Jiang, Ding Qiao, Jessica Fleisher, Jennifer D. Wu, Jing Ran, Keri Taub, Matt Hanessian, Micheal Mills, Mitchell Stern, Rebecca Greenblatt, Sheila Deng, Shraddha Mittal, Robert Botto and Shawn Zamechek for their assistance in data coding and collection, and seminar participants at the University of Pennsylvania and Erasmus University, Rotterdam School of Management for their insightful comments. Erasmus Research Institute of Management at Erasmus University Rotterdam School helped fund this research.</t>
  </si>
  <si>
    <t>AMER PSYCHOLOGICAL ASSOC</t>
  </si>
  <si>
    <t>WASHINGTON</t>
  </si>
  <si>
    <t>750 FIRST ST NE, WASHINGTON, DC 20002-4242 USA</t>
  </si>
  <si>
    <t>0022-3514</t>
  </si>
  <si>
    <t>1939-1315</t>
  </si>
  <si>
    <t>J PERS SOC PSYCHOL</t>
  </si>
  <si>
    <t>J. Pers. Soc. Psychol.</t>
  </si>
  <si>
    <t>JUL</t>
  </si>
  <si>
    <t>10.1037/pspa0000025</t>
  </si>
  <si>
    <t>Psychology, Social</t>
  </si>
  <si>
    <t>Social Science Citation Index (SSCI)</t>
  </si>
  <si>
    <t>Psychology</t>
  </si>
  <si>
    <t>CK9ZR</t>
  </si>
  <si>
    <t>2023-02-09</t>
  </si>
  <si>
    <t>WOS:000356598600002</t>
  </si>
  <si>
    <t>Alessa, A; Faezipour, M</t>
  </si>
  <si>
    <t>Alessa, Ali; Faezipour, Miad</t>
  </si>
  <si>
    <t>A review of influenza detection and prediction through social networking sites</t>
  </si>
  <si>
    <t>THEORETICAL BIOLOGY AND MEDICAL MODELLING</t>
  </si>
  <si>
    <t>Review</t>
  </si>
  <si>
    <t>Flu trend; Social media data; Illness Like Influenza (ILI)</t>
  </si>
  <si>
    <t>BIG DATA; INFECTIOUS-DISEASE; WEB; FLU; SURVEILLANCE; MEDIA; TECHNOLOGY; TWITTER; TRENDS</t>
  </si>
  <si>
    <t>Early prediction of seasonal epidemics such as influenza may reduce their impact in daily lives. Nowadays, the web can be used for surveillance of diseases. Search engines and social networking sites can be used to track trends of different diseases seven to ten days faster than government agencies such as Center of Disease Control and Prevention (CDC). CDC uses the Illness-Like Influenza Surveillance Network (ILINet), which is a program used to monitor Influenza-Like Illness (ILI) sent by thousands of health care providers in order to detect influenza outbreaks. It is a reliable tool, however, it is slow and expensive. For that reason, many studies aim to develop methods that do real time analysis to track ILI using social networking sites. Social media data such as Twitter can be used to predict the spread of flu in the population and can help in getting early warnings. Today, social networking sites (SNS) are used widely by many people to share thoughts and even health status. Therefore, SNS provides an efficient resource for disease surveillance and a good way to communicate to prevent disease outbreaks. The goal of this study is to review existing alternative solutions that track flu outbreak in real time using social networking sites and web blogs. Many studies have shown that social networking sites can be used to conduct real time analysis for better predictions.</t>
  </si>
  <si>
    <t>[Alessa, Ali; Faezipour, Miad] Univ Bridgeport, Dept Comp Sci &amp; Engn, Sch Engn, 221 Univ Ave, Bridgeport, CT 06604 USA; [Faezipour, Miad] Univ Bridgeport, Dept Biomed Engn, Sch Engn, 221 Univ Ave, Bridgeport, CT 06604 USA</t>
  </si>
  <si>
    <t>University of Bridgeport; University of Bridgeport</t>
  </si>
  <si>
    <t>Faezipour, M (corresponding author), Univ Bridgeport, Dept Comp Sci &amp; Engn, Sch Engn, 221 Univ Ave, Bridgeport, CT 06604 USA.;Faezipour, M (corresponding author), Univ Bridgeport, Dept Biomed Engn, Sch Engn, 221 Univ Ave, Bridgeport, CT 06604 USA.</t>
  </si>
  <si>
    <t>mfaezipo@bridgeport.edu</t>
  </si>
  <si>
    <t>Faezipour, Miad/ABF-1909-2021</t>
  </si>
  <si>
    <t>Faezipour, Miad/0000-0003-2684-0887</t>
  </si>
  <si>
    <t>BMC</t>
  </si>
  <si>
    <t>LONDON</t>
  </si>
  <si>
    <t>CAMPUS, 4 CRINAN ST, LONDON N1 9XW, ENGLAND</t>
  </si>
  <si>
    <t>1742-4682</t>
  </si>
  <si>
    <t>THEOR BIOL MED MODEL</t>
  </si>
  <si>
    <t>Theor. Biol. Med. Model.</t>
  </si>
  <si>
    <t>FEB 1</t>
  </si>
  <si>
    <t>10.1186/s12976-017-0074-5</t>
  </si>
  <si>
    <t>Mathematical &amp; Computational Biology</t>
  </si>
  <si>
    <t>Science Citation Index Expanded (SCI-EXPANDED)</t>
  </si>
  <si>
    <t>FV0EU</t>
  </si>
  <si>
    <t>Green Published, hybrid</t>
  </si>
  <si>
    <t>WOS:000424229600001</t>
  </si>
  <si>
    <t>Anderson, ET; Simester, DI</t>
  </si>
  <si>
    <t>Anderson, Eric T.; Simester, Duncan I.</t>
  </si>
  <si>
    <t>Reviews Without a Purchase: Low Ratings, Loyal Customers, and Deception</t>
  </si>
  <si>
    <t>JOURNAL OF MARKETING RESEARCH</t>
  </si>
  <si>
    <t>ratings; reviews; deception</t>
  </si>
  <si>
    <t>WORD-OF-MOUTH; DETECTING DECEPTION; ONLINE; DYNAMICS; BEHAVIOR; LIES; CUES</t>
  </si>
  <si>
    <t>The authors document that approximately 5% of product reviews on a large private label retailer's website are submitted by customers with no record of ever purchasing the product they are reviewing. These reviews are significantly more negative than other reviews. They are also less likely to contain expressions describing the fit or feel of the items and more likely to contain linguistic cues associated with deception. More than 12,000 of the firm's best customers have written reviews without confirmed transactions. On average, these customers have each made more than 150 purchases from the firm. This makes it unlikely that the reviews were written by the employees or agents of a competitor and suggests that deceptive reviews may not be limited to the strategic actions of firms. Instead, the phenomenon may be far more prevalent, extending to individual customers who have no financial incentive to influence product ratings.</t>
  </si>
  <si>
    <t>[Anderson, Eric T.] Northwestern Univ, Kellogg Sch Management, Evanston, IL 60208 USA; [Simester, Duncan I.] Nanyang Technol Univ, Singapore, Singapore; [Simester, Duncan I.] MIT, Sloan Sch Management, Cambridge, MA 02139 USA</t>
  </si>
  <si>
    <t>Northwestern University; Nanyang Technological University &amp; National Institute of Education (NIE) Singapore; Nanyang Technological University; Massachusetts Institute of Technology (MIT)</t>
  </si>
  <si>
    <t>Anderson, ET (corresponding author), Northwestern Univ, Kellogg Sch Management, Evanston, IL 60208 USA.</t>
  </si>
  <si>
    <t>eric-anderson@kellogg.northwestern.edu; simester@mit.edu</t>
  </si>
  <si>
    <t>SAGE PUBLICATIONS INC</t>
  </si>
  <si>
    <t>THOUSAND OAKS</t>
  </si>
  <si>
    <t>2455 TELLER RD, THOUSAND OAKS, CA 91320 USA</t>
  </si>
  <si>
    <t>0022-2437</t>
  </si>
  <si>
    <t>1547-7193</t>
  </si>
  <si>
    <t>J MARKETING RES</t>
  </si>
  <si>
    <t>J. Mark. Res.</t>
  </si>
  <si>
    <t>JUN</t>
  </si>
  <si>
    <t>10.1509/jmr.13.0209</t>
  </si>
  <si>
    <t>Business</t>
  </si>
  <si>
    <t>Business &amp; Economics</t>
  </si>
  <si>
    <t>AN8OO</t>
  </si>
  <si>
    <t>Green Submitted</t>
  </si>
  <si>
    <t>WOS:000340863700001</t>
  </si>
  <si>
    <t>Arsel, Z; Bean, J</t>
  </si>
  <si>
    <t>Arsel, Zeynep; Bean, Jonathan</t>
  </si>
  <si>
    <t>Taste Regimes and Market-Mediated Practice</t>
  </si>
  <si>
    <t>JOURNAL OF CONSUMER RESEARCH</t>
  </si>
  <si>
    <t>CONSUMPTION PRACTICES; CONSUMER RESEARCH; CULTURE; DESIGN; ETHNOGRAPHY; MASCULINITY; MATERIALITY; TECHNOLOGY; EXPERIENCE; DISCOURSES</t>
  </si>
  <si>
    <t>Taste has been conceptualized as a boundary-making mechanism, yet there is limited theory on how it enters into daily practice. In this article, the authors develop a practice-based framework of taste through qualitative and quantitative analysis of a popular home design blog, interviews with blog participants, and participant observation. First, a taste regime is defined as a discursively constructed normative system that orchestrates practice in an aesthetically oriented culture of consumption. Taste regimes are perpetuated by marketplace institutions such as magazines, websites, and transmedia brands. Second, the authors show how a taste regime regulates practice through continuous engagement. By integrating three dispersed practices-problematization, ritualization, and instrumentalization-a taste regime shapes preferences for objects, the doings performed with objects, and what meanings are associated with objects. This study demonstrates how aesthetics is linked to practical knowledge and becomes materialized through everyday consumption.</t>
  </si>
  <si>
    <t>[Arsel, Zeynep] Concordia Univ, John Molson Sch Business, Montreal, PQ H35 1M8, Canada; [Bean, Jonathan] Parsons New Sch Design, New York, NY 10011 USA</t>
  </si>
  <si>
    <t>Concordia University - Canada</t>
  </si>
  <si>
    <t>Arsel, Z (corresponding author), Concordia Univ, John Molson Sch Business, Montreal, PQ H35 1M8, Canada.</t>
  </si>
  <si>
    <t>zarsel@jmsb.concordia.ca; jonathanyb@gmail.com</t>
  </si>
  <si>
    <t>Arsel, Zeynep/F-1104-2011; Bean, Jonathan/AAN-9454-2020</t>
  </si>
  <si>
    <t>Arsel, Zeynep/0000-0002-1557-2947; Bean, Jonathan/0000-0002-8199-3299</t>
  </si>
  <si>
    <t>OXFORD UNIV PRESS INC</t>
  </si>
  <si>
    <t>CARY</t>
  </si>
  <si>
    <t>JOURNALS DEPT, 2001 EVANS RD, CARY, NC 27513 USA</t>
  </si>
  <si>
    <t>0093-5301</t>
  </si>
  <si>
    <t>1537-5277</t>
  </si>
  <si>
    <t>J CONSUM RES</t>
  </si>
  <si>
    <t>J. Consum. Res.</t>
  </si>
  <si>
    <t>FEB</t>
  </si>
  <si>
    <t>10.1086/666595</t>
  </si>
  <si>
    <t>078LF</t>
  </si>
  <si>
    <t>WOS:000314099700001</t>
  </si>
  <si>
    <t>Arvidsson, A; Caliandro, A</t>
  </si>
  <si>
    <t>Arvidsson, Adam; Caliandro, Alessandro</t>
  </si>
  <si>
    <t>Brand Public</t>
  </si>
  <si>
    <t>brand; brand community; netnography; social media; digital methods; Twitter; fashion; Louis Vuitton</t>
  </si>
  <si>
    <t>SOCIAL MEDIA; CONSUMPTION; COMMUNITY; CONSUMERS; TWITTER; PERSPECTIVE; EXPERIENCE; MANAGEMENT; FIELD; TASTE</t>
  </si>
  <si>
    <t>The concept of brand community has been used to understand how consumers create value around brands online. Recently consumer researchers have begun to debate the relevance of this concept for understanding brand-related communication on social media. Based on a data set of 8949 tweets about Louis Vuitton gathered on Italian Twitter in 2013, this article addresses these discussions by developing the alternative concept of brand publics that differ from brand communities in three important ways. First, brand publics are social formations that are not based on interaction but on a continuous focus of interest and mediation. Second, participation in brand publics is not structured by discussion or deliberation but by individual or collective affect. Third, in brand publics consumers do not develop a collective identity around the focal brand; rather the brand is valuable as a medium that can offer publicity to a multitude of diverse situations of identity. The conclusion suggests that brand publics might be part of a social media-based consumer culture where publicity rather than identity has become a core value.</t>
  </si>
  <si>
    <t>[Arvidsson, Adam; Caliandro, Alessandro] State Univ Milan, Sociol, Via Conservatorio 7, I-20122 Milan, Italy; [Arvidsson, Adam] State Univ Milan, Ctr Digital Ethnog, Via Conservatorio 7, I-20122 Milan, Italy; [Caliandro, Alessandro] State Univ Milan, Ctr Digital Ethnog, Res, Via Conservatorio 7, I-20122 Milan, Italy</t>
  </si>
  <si>
    <t>University of Milan; University of Milan; University of Milan</t>
  </si>
  <si>
    <t>Arvidsson, A (corresponding author), State Univ Milan, Sociol, Via Conservatorio 7, I-20122 Milan, Italy.;Arvidsson, A (corresponding author), State Univ Milan, Ctr Digital Ethnog, Via Conservatorio 7, I-20122 Milan, Italy.</t>
  </si>
  <si>
    <t>adam.arvidsson@unimi.it; alessandro.caliandro@unimi.it</t>
  </si>
  <si>
    <t>Caliandro, Alessandro/0000-0002-1168-882X</t>
  </si>
  <si>
    <t>10.1093/jcr/ucv053</t>
  </si>
  <si>
    <t>EF8EQ</t>
  </si>
  <si>
    <t>WOS:000390562000005</t>
  </si>
  <si>
    <t>Ashley, C; Tuten, T</t>
  </si>
  <si>
    <t>Ashley, Christy; Tuten, Tracy</t>
  </si>
  <si>
    <t>Creative Strategies in Social Media Marketing: An Exploratory Study of Branded Social Content and Consumer Engagement</t>
  </si>
  <si>
    <t>PSYCHOLOGY &amp; MARKETING</t>
  </si>
  <si>
    <t>ADVERTISING APPEALS; PERSUASION; PSYCHOLOGY; AD</t>
  </si>
  <si>
    <t>This study employed a content analysis of the creative strategies present in the social media content shared by a sample of top brands. The results reveal which social media channels are being used, which creative strategies/appeals are being used, and how these channels and strategies relate to consumer engagement in branded social media. Past research has suggested that brands should focus on maintaining a social presence across social channels with content that is fresh and frequent and includes incentives for consumer participation (Ling et al., 2004). This study confirmed the importance of frequent updates and incentives for participation. In addition, several creative strategies were associated with customer engagement, specifically experiential, image, and exclusivity messages. Despite the value of these creative approaches, most branded social content can be categorized as functional. (C) 2014 Wiley Periodicals, Inc.</t>
  </si>
  <si>
    <t>[Ashley, Christy; Tuten, Tracy] E Carolina Univ, Greenville, NC 27858 USA</t>
  </si>
  <si>
    <t>University of North Carolina; East Carolina University</t>
  </si>
  <si>
    <t>Tuten, T (corresponding author), E Carolina Univ, Coll Business, Mail Stop 503, Greenville, NC 27858 USA.</t>
  </si>
  <si>
    <t>tutent@ecu.edu</t>
  </si>
  <si>
    <t>hajibabaei, hossein/HFB-7762-2022</t>
  </si>
  <si>
    <t>WILEY</t>
  </si>
  <si>
    <t>HOBOKEN</t>
  </si>
  <si>
    <t>111 RIVER ST, HOBOKEN 07030-5774, NJ USA</t>
  </si>
  <si>
    <t>0742-6046</t>
  </si>
  <si>
    <t>1520-6793</t>
  </si>
  <si>
    <t>PSYCHOL MARKET</t>
  </si>
  <si>
    <t>Psychol. Mark.</t>
  </si>
  <si>
    <t>JAN</t>
  </si>
  <si>
    <t>10.1002/mar.20761</t>
  </si>
  <si>
    <t>Business; Psychology, Applied</t>
  </si>
  <si>
    <t>Business &amp; Economics; Psychology</t>
  </si>
  <si>
    <t>CA7BH</t>
  </si>
  <si>
    <t>Y</t>
  </si>
  <si>
    <t>N</t>
  </si>
  <si>
    <t>WOS:000349071500002</t>
  </si>
  <si>
    <t>Barasch, A; Berger, J</t>
  </si>
  <si>
    <t>Barasch, Alixandra; Berger, Jonah</t>
  </si>
  <si>
    <t>Broadcasting and Narrowcasting: How Audience Size Affects What People Share</t>
  </si>
  <si>
    <t>word of mouth; self-presentation; self-focus; other-focus; audience size</t>
  </si>
  <si>
    <t>WORD-OF-MOUTH; SELF-FOCUSED ATTENTION; PERSPECTIVE-TAKING; INFORMATION; COMMUNICATION; ENHANCEMENT; FACEBOOK; BEHAVIOR; AVERAGE; ESTEEM</t>
  </si>
  <si>
    <t>Does the number of people with whom someone communicates influence what he or she discusses and shares? Six studies demonstrate that compared with narrowcasting (i.e., communicating with just one person), broadcasting (i.e., communicating with multiple people) leads consumers to avoid sharing content that makes them look bad. Narrowcasting, however, encourages people to share content that is useful to the message recipient. These effects are driven by communicators' focus of attention. People naturally tend to focus on the self, but communicating with just one person heightens other-focus, which leads communicators to share less self-presenting content and more useful content. These findings shed light on the drivers of word of mouth and provide insight into when the communication sender (vs. receiver) plays a relatively larger role in what people share.</t>
  </si>
  <si>
    <t>[Barasch, Alixandra; Berger, Jonah] Univ Penn, Wharton Sch, Philadelphia, PA 19104 USA</t>
  </si>
  <si>
    <t>University of Pennsylvania</t>
  </si>
  <si>
    <t>Barasch, A (corresponding author), Univ Penn, Wharton Sch, Philadelphia, PA 19104 USA.</t>
  </si>
  <si>
    <t>abarasch@wharton.upenn.edu; jberger@wharton.upenn.edu</t>
  </si>
  <si>
    <t>Barasch, Alixandra/AAI-1668-2021</t>
  </si>
  <si>
    <t>AMER MARKETING ASSOC</t>
  </si>
  <si>
    <t>CHICAGO</t>
  </si>
  <si>
    <t>311S WACKER DR, STE 5800, CHICAGO, IL 60606-6629 USA</t>
  </si>
  <si>
    <t>10.1509/jmr.13.0238</t>
  </si>
  <si>
    <t>WOS:000340863700003</t>
  </si>
  <si>
    <t>Batra, R; Keller, KL</t>
  </si>
  <si>
    <t>Batra, Rajeev; Keller, Kevin Lane</t>
  </si>
  <si>
    <t>Integrating Marketing Communications: New Findings, New Lessons, and New Ideas</t>
  </si>
  <si>
    <t>JOURNAL OF MARKETING</t>
  </si>
  <si>
    <t>Article; Proceedings Paper</t>
  </si>
  <si>
    <t>MSI Conference</t>
  </si>
  <si>
    <t>JUL 30-31, 2015</t>
  </si>
  <si>
    <t>Bostons Coll Carroll, Sch Management, Newton, MA</t>
  </si>
  <si>
    <t>Mkt Sci Inst</t>
  </si>
  <si>
    <t>Bostons Coll Carroll, Sch Management</t>
  </si>
  <si>
    <t>marketing communications; marketing integration; integrated marketing communications; traditional media; digital media</t>
  </si>
  <si>
    <t>WORD-OF-MOUTH; SOCIAL MEDIA; ADVERTISING EFFECTIVENESS; CONSUMER INFORMATION; MODERATING INFLUENCE; SEARCH BEHAVIOR; ONLINE DISPLAY; SALES; MODEL; INTERNET</t>
  </si>
  <si>
    <t>With the challenges presented by new media, shifting media patterns, and divided consumer attention, the optimal integration of marketing communications takes on increasing importance. Drawing on a review of relevant academic research and guided by managerial priorities, the authors offer insights and advice as to how traditional and new media such as search, display, mobile, TV, and social media interact to affect consumer decision making. With an enhanced understanding of the consumer decision journey and how consumers process communications, the authors outline a comprehensive framework featuring two models designed to improve the effectiveness and efficiency of integrated marketing communication programs: a bottom-up communications matching model and a top-down communications optimization model. The authors conclude by suggesting important future research priorities.</t>
  </si>
  <si>
    <t>[Batra, Rajeev] Univ Michigan, Ross Sch Business, Mkt, Ann Arbor, MI 48109 USA; [Keller, Kevin Lane] Dartmouth Coll, Tuck Sch Business, Mkt, Hanover, NH 03755 USA</t>
  </si>
  <si>
    <t>University of Michigan System; University of Michigan; Dartmouth College</t>
  </si>
  <si>
    <t>Batra, R (corresponding author), Univ Michigan, Ross Sch Business, Mkt, Ann Arbor, MI 48109 USA.</t>
  </si>
  <si>
    <t>rajeevba@umich.edu; kevin.keller@dartmouth.edu</t>
  </si>
  <si>
    <t>0022-2429</t>
  </si>
  <si>
    <t>1547-7185</t>
  </si>
  <si>
    <t>J MARKETING</t>
  </si>
  <si>
    <t>J. Mark.</t>
  </si>
  <si>
    <t>NOV</t>
  </si>
  <si>
    <t>SI</t>
  </si>
  <si>
    <t>10.1509/jm.15.0419</t>
  </si>
  <si>
    <t>Social Science Citation Index (SSCI); Conference Proceedings Citation Index - Social Science &amp;amp; Humanities (CPCI-SSH)</t>
  </si>
  <si>
    <t>EB3GM</t>
  </si>
  <si>
    <t>WOS:000387251700006</t>
  </si>
  <si>
    <t>Berger, J</t>
  </si>
  <si>
    <t>Berger, Jonah</t>
  </si>
  <si>
    <t>Word of mouth and interpersonal communication: A review and directions for future research</t>
  </si>
  <si>
    <t>JOURNAL OF CONSUMER PSYCHOLOGY</t>
  </si>
  <si>
    <t>Word of mouth; Social influence; Viral marketing</t>
  </si>
  <si>
    <t>COMPUTER-MEDIATED COMMUNICATION; SOCIAL NETWORKING; SELF-DISCLOSURE; CONSUMERS; EMOTION; OTHERS; CONSUMPTION; RESPONSES; BENEFITS; WRITTEN</t>
  </si>
  <si>
    <t>People often share opinions and information with their social ties, and word of mouth has an important impact on consumer behavior. But what drives interpersonal communication and why do people talk about certain things rather than others? This article argues that word of mouth is goal driven and serves five key functions (i.e., impression management, emotion regulation, information acquisition, social bonding, and persuasion). Importantly, I suggest these motivations are predominantly self- (rather than other) serving and drive what people talk about even without their awareness. Further, these drivers make predictions about the types of news and information people are most likely to discuss. This article reviews the five proposed functions and well as how contextual factors (i.e., audience and communication channel) may moderate which functions play a larger role. Taken together, the paper provides insight into the psychological factors that shape word of mouth and outlines additional questions that deserve further study. (C) 2014 Society for Consumer Psychology. Published by Elsevier Inc. All rights reserved.</t>
  </si>
  <si>
    <t>Univ Penn, Wharton Sch, Philadelphia, PA 19104 USA</t>
  </si>
  <si>
    <t>Berger, J (corresponding author), Univ Penn, Wharton Sch, 700 Jon M Huntsman Hall,3730 Walnut St, Philadelphia, PA 19104 USA.</t>
  </si>
  <si>
    <t>jberger@wharton.upenn.edu</t>
  </si>
  <si>
    <t>JOHN WILEY &amp; SONS LTD</t>
  </si>
  <si>
    <t>CHICHESTER</t>
  </si>
  <si>
    <t>THE ATRIUM, SOUTHERN GATE, CHICHESTER PO19 8SQ, W SUSSEX, ENGLAND</t>
  </si>
  <si>
    <t>1057-7408</t>
  </si>
  <si>
    <t>1532-7663</t>
  </si>
  <si>
    <t>J CONSUM PSYCHOL</t>
  </si>
  <si>
    <t>J. Consum. Psychol.</t>
  </si>
  <si>
    <t>OCT</t>
  </si>
  <si>
    <t>10.1016/j.jcps.2014.05.002</t>
  </si>
  <si>
    <t>AN4TB</t>
  </si>
  <si>
    <t>WOS:000340580300012</t>
  </si>
  <si>
    <t>Berger, J; Milkman, KL</t>
  </si>
  <si>
    <t>Berger, Jonah; Milkman, Katherine L.</t>
  </si>
  <si>
    <t>What Makes Online Content Viral?</t>
  </si>
  <si>
    <t>word of mouth; viral marketing; social transmission; online content</t>
  </si>
  <si>
    <t>WORD-OF-MOUTH; INDEPENDENCE; BEHAVIOR; AROUSAL</t>
  </si>
  <si>
    <t>Why are certain pieces of online content (e.g., advertisements, videos, news articles) more viral than others? This article takes a psychological approach to understanding diffusion. Using a unique data set of all the New York Times articles published over a three-month period, the authors examine how emotion shapes virality. The results indicate that positive content is more viral than negative content, but the relationship between emotion and social transmission is more complex than valence alone. Virality is partially driven by physiological arousal. Content that evokes high-arousal positive (awe) or negative (anger or anxiety) emotions is more viral. Content that evokes low-arousal, or deactivating, emotions (e.g., sadness) is less viral. These results hold even when the authors control for how surprising, interesting, or practically useful content is (all of which are positively linked to virality), as well as external drivers of attention (e.g., how prominently content was featured). Experimental results further demonstrate the causal impact of specific emotion on transmission and illustrate that it is driven by the level of activation induced. Taken together, these findings shed light on why people share content and how to design more effective viral marketing campaigns.</t>
  </si>
  <si>
    <t>[Berger, Jonah; Milkman, Katherine L.] Univ Penn, Wharton Sch, Philadelphia, PA 19104 USA</t>
  </si>
  <si>
    <t>Berger, J (corresponding author), Univ Penn, Wharton Sch, Philadelphia, PA 19104 USA.</t>
  </si>
  <si>
    <t>jberger@wharton.upenn.edu; kmilkman@wharton.upenn.edu</t>
  </si>
  <si>
    <t>APR</t>
  </si>
  <si>
    <t>10.1509/jmr.10.0353</t>
  </si>
  <si>
    <t>912MU</t>
  </si>
  <si>
    <t>WOS:000301805100005</t>
  </si>
  <si>
    <t>Berger, J; Packard, G</t>
  </si>
  <si>
    <t>Berger, Jonah; Packard, Grant</t>
  </si>
  <si>
    <t>Are Atypical Things More Popular?</t>
  </si>
  <si>
    <t>PSYCHOLOGICAL SCIENCE</t>
  </si>
  <si>
    <t>popularity; natural language processing; cultural success; psychological foundations of culture; music</t>
  </si>
  <si>
    <t>Why do some cultural items become popular? Although some researchers have argued that success is random, we suggest that how similar items are to each other plays an important role. Using natural language processing of thousands of songs, we examined the relationship between lyrical differentiation (i.e., atypicality) and song popularity. Results indicated that the more different a song's lyrics are from its genre, the more popular it becomes. This relationship is weaker in genres where lyrics matter less (e.g., dance) or where differentiation matters less (e.g., pop) and occurs for lyrical topics but not style. The results shed light on cultural dynamics, why things become popular, and the psychological foundations of culture more broadly.</t>
  </si>
  <si>
    <t>[Berger, Jonah] Univ Penn, Wharton Sch, 700 Jon M Huntsman Hall,3730 Walnut St, Philadelphia, PA 19104 USA; [Packard, Grant] Wilfrid Laurier Univ, Lazaridis Sch Business &amp; Econ, Waterloo, ON, Canada</t>
  </si>
  <si>
    <t>University of Pennsylvania; Wilfrid Laurier University</t>
  </si>
  <si>
    <t>0956-7976</t>
  </si>
  <si>
    <t>1467-9280</t>
  </si>
  <si>
    <t>PSYCHOL SCI</t>
  </si>
  <si>
    <t>Psychol. Sci.</t>
  </si>
  <si>
    <t>10.1177/0956797618759465</t>
  </si>
  <si>
    <t>Psychology, Multidisciplinary</t>
  </si>
  <si>
    <t>GO0IH</t>
  </si>
  <si>
    <t>WOS:000439608800014</t>
  </si>
  <si>
    <t>Berger, JA; Heath, C</t>
  </si>
  <si>
    <t>Idea habitats: How the prevalence of environmental cues influences the success of ideas</t>
  </si>
  <si>
    <t>COGNITIVE SCIENCE</t>
  </si>
  <si>
    <t>culture; memory; retrieval; social representations</t>
  </si>
  <si>
    <t>CULTURE; RECALL; MEMORY; COGNITION</t>
  </si>
  <si>
    <t>We investigate 1 factor that influences the success of ideas or cultural representations by proposing that they have a habitat, that is, a set of environmental cues that encourages people to recall and transmit them. We test 2 hypotheses: (a) fluctuation: the success of an idea will vary over time with fluctuations in its habitat, and (b) competition: ideas with more prevalent habitats will be more successful. Four studies use subject ratings and data from newspapers to provide correlational support for our 2 hypotheses, with a negative factoid, positive rumor, catchphrases, and variants of a proverb. Three additional experimental studies manipulate the topic of actual conversations and find empirical support for our theory, with catchphrases, proverbs, and slang. The discussion examines how habitat prevalence applies to a more extensive class of ideas and suggests how habitats may influence the process by which ideas evolve.</t>
  </si>
  <si>
    <t>Stanford Univ, Grad Sch Business, Stanford, CA 94305 USA</t>
  </si>
  <si>
    <t>Stanford University</t>
  </si>
  <si>
    <t>Berger, JA (corresponding author), Stanford Univ, Grad Sch Business, Mail Code 4840,518 Mem Way, Stanford, CA 94305 USA.</t>
  </si>
  <si>
    <t>jonah.berger@stanford.edu</t>
  </si>
  <si>
    <t>ELSEVIER SCIENCE INC</t>
  </si>
  <si>
    <t>NEW YORK</t>
  </si>
  <si>
    <t>360 PARK AVE SOUTH, NEW YORK, NY 10010-1710 USA</t>
  </si>
  <si>
    <t>0364-0213</t>
  </si>
  <si>
    <t>COGNITIVE SCI</t>
  </si>
  <si>
    <t>Cogn. Sci.</t>
  </si>
  <si>
    <t>MAR-APR</t>
  </si>
  <si>
    <t>10.1207/s15516709cog0000_10</t>
  </si>
  <si>
    <t>Psychology, Experimental</t>
  </si>
  <si>
    <t>912CN</t>
  </si>
  <si>
    <t>Bronze</t>
  </si>
  <si>
    <t>WOS:000228054800002</t>
  </si>
  <si>
    <t>Berman, R; Melumad, S; Humphrey, C; Meyer, R</t>
  </si>
  <si>
    <t>Berman, Ron; Melumad, Shiri; Humphrey, Colman; Meyer, Robert</t>
  </si>
  <si>
    <t>A Tale of Two Twitterspheres: Political Microblogging During and After the 2016 Primary and Presidential Debates</t>
  </si>
  <si>
    <t>contagion; debates; information diffusion; political marketing; social media; Twitter</t>
  </si>
  <si>
    <t>BAD-NEWS; SENTIMENT</t>
  </si>
  <si>
    <t>In this research, the authors study the process by which social media posts are created and shared during live political debates. Using data from over 9.5 million tweets posted during and shortly after four key debates leading up to the 2016 U.S. presidential election, the authors test a series of hypotheses about how tweeting evolves over time during such events. They find that (1) as the debates progressed, the content of the Twittersphere became increasingly decoupled from the live event, and (2) the drivers of the success of tweets during the debates differed from the drivers of success observed after the debates. During the debates, users acted akin to narrators, posting shorter tweets that commented on unfolding events, with linguistic emotionality playing a limited role in sharing. However, when the debates were over, users acted more like interpreters, with successful posts being more elaborate and visually and emotionally rich accounts of the event. Evidence for the generalizability of the findings is provided by an analysis of Barack Obama's last State of the Union Address, where similar dynamics are observed.</t>
  </si>
  <si>
    <t>[Berman, Ron; Melumad, Shiri; Meyer, Robert] Univ Penn, Wharton Sch, Mkt, Philadelphia, PA 19104 USA; [Humphrey, Colman] Via Transportat, Long Isl City, NY USA</t>
  </si>
  <si>
    <t>Berman, R (corresponding author), Univ Penn, Wharton Sch, Mkt, Philadelphia, PA 19104 USA.</t>
  </si>
  <si>
    <t>ronber@wharton.upenn.edu; melumad@wharton.upenn.edu; colman@ridewithvia.com; meyerr@wharton.upenn.edu</t>
  </si>
  <si>
    <t>Berman, Ron/ABG-4684-2020</t>
  </si>
  <si>
    <t>Wharton Behavioral Research Lab</t>
  </si>
  <si>
    <t>The author(s) disclosed receipt of the following financial support for the research, authorship, and/or publication of this article: The authors received financial support from the Wharton Behavioral Research Lab.</t>
  </si>
  <si>
    <t>DEC</t>
  </si>
  <si>
    <t>10.1177/0022243719861923</t>
  </si>
  <si>
    <t>JS3GY</t>
  </si>
  <si>
    <t>WOS:000500198400001</t>
  </si>
  <si>
    <t>BIELBY, WT; BIELBY, DD</t>
  </si>
  <si>
    <t>ALL HITS ARE FLUKES - INSTITUTIONALIZED DECISION-MAKING AND THE RHETORIC OF NETWORK PRIME-TIME PROGRAM-DEVELOPMENT</t>
  </si>
  <si>
    <t>AMERICAN JOURNAL OF SOCIOLOGY</t>
  </si>
  <si>
    <t>Drawing upon institutionalist theory this article analyzes how the introduction of new cultural objects produced for a mass audience is managed through an organized discourse. Data come from announcements of prime-time television series in development for the 1991-92 season by the four U.S. television networks. Maximum-likelihood logit analyses support the conclusion that network programmers working in a highly institutionalized context use reputation, imitation, and genre as rhetorical strategies to rationalize and legitimize their actions. This study contributes to institutionalist theory and the sociology of culture by explaining the content and consequences of business discourse in a culture industry.</t>
  </si>
  <si>
    <t>BIELBY, WT (corresponding author), UNIV CALIF SANTA BARBARA, DEPT SOCIOL, SANTA BARBARA, CA 93106 USA.</t>
  </si>
  <si>
    <t>UNIV CHICAGO PRESS</t>
  </si>
  <si>
    <t>1427 E 60TH ST, CHICAGO, IL 60637-2954 USA</t>
  </si>
  <si>
    <t>0002-9602</t>
  </si>
  <si>
    <t>1537-5390</t>
  </si>
  <si>
    <t>AM J SOCIOL</t>
  </si>
  <si>
    <t>Am. J. Sociol.</t>
  </si>
  <si>
    <t>MAR</t>
  </si>
  <si>
    <t>10.1086/230412</t>
  </si>
  <si>
    <t>Sociology</t>
  </si>
  <si>
    <t>NT916</t>
  </si>
  <si>
    <t>Green Published</t>
  </si>
  <si>
    <t>WOS:A1994NT91600005</t>
  </si>
  <si>
    <t>Blei, DM; Ng, AY; Jordan, MI</t>
  </si>
  <si>
    <t>Latent Dirichlet allocation</t>
  </si>
  <si>
    <t>JOURNAL OF MACHINE LEARNING RESEARCH</t>
  </si>
  <si>
    <t>18th International Conference on Machine Learning</t>
  </si>
  <si>
    <t>JUN 28-JUL 01, 2001</t>
  </si>
  <si>
    <t>WILLIAMSTOWN, MA</t>
  </si>
  <si>
    <t>INFERENCE</t>
  </si>
  <si>
    <t>We describe latent Dirichlet allocation (LDA), a generative probabilistic model for collections of discrete data such as text corpora. LDA is a three-level hierarchical Bayesian model, in which each item of a collection is modeled as a finite mixture over an underlying set of topics. Each topic is, in turn, modeled as an infinite mixture over an underlying set of topic probabilities. In the context of text modeling, the topic probabilities provide an explicit representation of a document. We present efficient approximate inference techniques based on variational methods and an EM algorithm for empirical Bayes parameter estimation. We report results in document modeling, text classification, and collaborative filtering, comparing to a mixture of unigrams model and the probabilistic LSI model.</t>
  </si>
  <si>
    <t>Univ Calif Berkeley, Div Comp Sci, Berkeley, CA 94720 USA; Stanford Univ, Dept Comp Sci, Stanford, CA 94305 USA; Univ Calif Berkeley, Div Comp Sci, Berkeley, CA 94720 USA; Univ Calif Berkeley, Dept Stat, Berkeley, CA 94720 USA</t>
  </si>
  <si>
    <t>University of California System; University of California Berkeley; Stanford University; University of California System; University of California Berkeley; University of California System; University of California Berkeley</t>
  </si>
  <si>
    <t>Blei, DM (corresponding author), Univ Calif Berkeley, Div Comp Sci, Berkeley, CA 94720 USA.</t>
  </si>
  <si>
    <t>BLEI@CS.BERKELEY.EDU; ANG@CS.STANFORD.EDU; JORDAN@CS.BERKELEY.EDU</t>
  </si>
  <si>
    <t>Lobo, Diele/I-9106-2012; Jordan, Michael I/C-5253-2013</t>
  </si>
  <si>
    <t>MICROTOME PUBL</t>
  </si>
  <si>
    <t>BROOKLINE</t>
  </si>
  <si>
    <t>31 GIBBS ST, BROOKLINE, MA 02446 USA</t>
  </si>
  <si>
    <t>1532-4435</t>
  </si>
  <si>
    <t>J MACH LEARN RES</t>
  </si>
  <si>
    <t>J. Mach. Learn. Res.</t>
  </si>
  <si>
    <t>MAY 15</t>
  </si>
  <si>
    <t>4-5</t>
  </si>
  <si>
    <t>10.1162/jmlr.2003.3.4-5.993</t>
  </si>
  <si>
    <t>Automation &amp; Control Systems; Computer Science, Artificial Intelligence</t>
  </si>
  <si>
    <t>Science Citation Index Expanded (SCI-EXPANDED); Conference Proceedings Citation Index - Science (CPCI-S)</t>
  </si>
  <si>
    <t>Automation &amp; Control Systems; Computer Science</t>
  </si>
  <si>
    <t>714RA</t>
  </si>
  <si>
    <t>WOS:000184926200015</t>
  </si>
  <si>
    <t>Bollen, J; Mao, HN; Zeng, XJ</t>
  </si>
  <si>
    <t>Bollen, Johan; Mao, Huina; Zeng, Xiaojun</t>
  </si>
  <si>
    <t>Twitter mood predicts the stock market</t>
  </si>
  <si>
    <t>JOURNAL OF COMPUTATIONAL SCIENCE</t>
  </si>
  <si>
    <t>Social networks; Sentiment tracking; Stock market; Collective mood</t>
  </si>
  <si>
    <t>LEARNING ALGORITHM</t>
  </si>
  <si>
    <t>Behavioral economics tells us that emotions can profoundly affect individual behavior and decision-making. Does this also apply to societies at large, i.e. can societies experience mood states that affect their collective decision making? By extension is the public mood correlated or even predictive of economic indicators? Here we investigate whether measurements of collective mood states derived from large-scale Twitter feeds are correlated to the value of the Dow Jones Industrial Average (DJIA) over time. We analyze the text content of daily Twitter feeds by two mood tracking tools, namely OpinionFinder that measures positive vs. negative mood and Google-Profile of Mood States (GPOMS) that measures mood in terms of 6 dimensions (Calm, Alert, Sure, Vital, Kind, and Happy). We cross-validate the resulting mood time series by comparing their ability to detect the public's response to the presidential election and Thanksgiving day in 2008. A Granger causality analysis and a Self-Organizing Fuzzy Neural Network are then used to investigate the hypothesis that public mood states, as measured by the OpinionFinder and GPOMS mood time series, are predictive of changes in DJIA closing values. Our results indicate that the accuracy of DJIA predictions can be significantly improved by the inclusion of specific public mood dimensions but not others. We find an accuracy of 86.7% in predicting the daily up and down changes in the closing values of the DJIA and a reduction of the Mean Average Percentage Error (MAPE) by more than 6%. (C) 2011 Elsevier B.V. All rights reserved.</t>
  </si>
  <si>
    <t>[Bollen, Johan; Mao, Huina] Indiana Univ, Sch Informat &amp; Comp, Bloomington, IN 47408 USA; [Zeng, Xiaojun] Univ Manchester, Sch Comp Sci, Manchester M13 9PL, Lancs, England</t>
  </si>
  <si>
    <t>Indiana University System; Indiana University Bloomington; University of Manchester</t>
  </si>
  <si>
    <t>Bollen, J (corresponding author), Indiana Univ, Sch Informat &amp; Comp, 919 E 10th St, Bloomington, IN 47408 USA.</t>
  </si>
  <si>
    <t>jbollen@indiana.edu; huinmao@indiana.edu; x.zeng@manchester.ac.uk</t>
  </si>
  <si>
    <t>白, 纯歌/V-1853-2017; sihite, janfry/B-2951-2015</t>
  </si>
  <si>
    <t>Zeng, Xiao-Jun/0000-0002-2320-2495</t>
  </si>
  <si>
    <t>ELSEVIER</t>
  </si>
  <si>
    <t>AMSTERDAM</t>
  </si>
  <si>
    <t>RADARWEG 29, 1043 NX AMSTERDAM, NETHERLANDS</t>
  </si>
  <si>
    <t>1877-7503</t>
  </si>
  <si>
    <t>J COMPUT SCI-NETH</t>
  </si>
  <si>
    <t>J. Comput. Sci.</t>
  </si>
  <si>
    <t>10.1016/j.jocs.2010.12.007</t>
  </si>
  <si>
    <t>Computer Science, Interdisciplinary Applications; Computer Science, Theory &amp; Methods</t>
  </si>
  <si>
    <t>Computer Science</t>
  </si>
  <si>
    <t>V30HW</t>
  </si>
  <si>
    <t>WOS:000208808100001</t>
  </si>
  <si>
    <t>Borah, A; Tellis, GJ</t>
  </si>
  <si>
    <t>Borah, Abhishek; Tellis, Gerard J.</t>
  </si>
  <si>
    <t>Halo (Spillover) Effects in Social Media: Do Product Recalls of One Brand Hurt or Help Rival Brands?</t>
  </si>
  <si>
    <t>brand harm; online chatter; product recall; perverse halo; spillover</t>
  </si>
  <si>
    <t>WORD-OF-MOUTH; HARM CRISES; VECTOR AUTOREGRESSIONS; AUTOMOBILE-INDUSTRY; PANEL-DATA; IMPACT; SALES; COUNTRY; ORIGIN; DETERMINANTS</t>
  </si>
  <si>
    <t>Online chatter is important because it is spontaneous, passionate, information rich, granular, and live. Thus, it can forewarn and be diagnostic about potential problems with automobile models, known as nameplates. The authors define perverse halo (or negative spillover) as the phenomenon whereby negative chatter about one nameplate increases negative chatter for another nameplate. The authors test the existence of such a perverse halo for 48 nameplates from four different brands during a series of automobile recalls. The analysis is by individual and panel vector autoregressive models. The study finds that perverse halo is extensive. It occurs for nameplates within the same brand across segments and across brands within segments. It is strongest between brands of the same country. Perverse halo is asymmetric, being stronger from a dominant brand to a less dominant brand than vice versa. Apology advertising about recalls has harmful effects on both the recalled brand and its rivals. Furthermore, these halo effects affect downstream performance metrics such as sales and stock market performance. Online chatter amplifies the negative effect of recalls on downstream sales by about 4.5 times.</t>
  </si>
  <si>
    <t>[Borah, Abhishek] Univ Washington, Foster Sch Business, Mkt, Seattle, WA 98195 USA; [Tellis, Gerard J.] Univ So Calif, Marshall Sch Business, Mkt &amp; Management &amp; Org, Los Angeles, CA 90089 USA; [Tellis, Gerard J.] Univ So Calif, Marshall Sch Business, Ctr Global Innovat, Los Angeles, CA 90089 USA; [Tellis, Gerard J.] Univ So Calif, Marshall Sch Business, Amer Enterprise, Los Angeles, CA 90089 USA</t>
  </si>
  <si>
    <t>University of Washington; University of Washington Seattle; University of Southern California; University of Southern California; University of Southern California</t>
  </si>
  <si>
    <t>Borah, A (corresponding author), Univ Washington, Foster Sch Business, Mkt, Seattle, WA 98195 USA.;Tellis, GJ (corresponding author), Univ So Calif, Marshall Sch Business, Mkt &amp; Management &amp; Org, Los Angeles, CA 90089 USA.;Tellis, GJ (corresponding author), Univ So Calif, Marshall Sch Business, Ctr Global Innovat, Los Angeles, CA 90089 USA.;Tellis, GJ (corresponding author), Univ So Calif, Marshall Sch Business, Amer Enterprise, Los Angeles, CA 90089 USA.</t>
  </si>
  <si>
    <t>abhi7@uw.edu; tellis@usc.edu</t>
  </si>
  <si>
    <t>10.1509/jmr.13.0009</t>
  </si>
  <si>
    <t>DK4EF</t>
  </si>
  <si>
    <t>WOS:000374869200001</t>
  </si>
  <si>
    <t>Buschken, J; Allenby, GM</t>
  </si>
  <si>
    <t>Bueschken, Joachim; Allenby, Greg M.</t>
  </si>
  <si>
    <t>Sentence-Based Text Analysis for Customer Reviews</t>
  </si>
  <si>
    <t>MARKETING SCIENCE</t>
  </si>
  <si>
    <t>extended LDA model; user-generated content; text data; unstructured data; Bayesian analysis; big data</t>
  </si>
  <si>
    <t>ONLINE; PREFERENCE; HETEROGENEITY; SALES; MODEL</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</si>
  <si>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t>
  </si>
  <si>
    <t>[Bueschken, Joachim] Catholic Univ Eichstatt Ingolstadt, D-85049 Ingolstadt, Germany; [Allenby, Greg M.] Ohio State Univ, Fisher Coll Business, Columbus, OH 43210 USA</t>
  </si>
  <si>
    <t>University System of Ohio; Ohio State University</t>
  </si>
  <si>
    <t>Buschken, J (corresponding author), Catholic Univ Eichstatt Ingolstadt, D-85049 Ingolstadt, Germany.</t>
  </si>
  <si>
    <t>joachim.bueschken@ku.de; allenby.1@osu.edu</t>
  </si>
  <si>
    <t>Allenby, Greg/AAB-4268-2020</t>
  </si>
  <si>
    <t>Allenby, Greg/0000-0001-9759-0067; Brennan, Jospeh/0000-0003-4759-2720</t>
  </si>
  <si>
    <t>INFORMS</t>
  </si>
  <si>
    <t>CATONSVILLE</t>
  </si>
  <si>
    <t>5521 RESEARCH PARK DR, SUITE 200, CATONSVILLE, MD 21228 USA</t>
  </si>
  <si>
    <t>0732-2399</t>
  </si>
  <si>
    <t>1526-548X</t>
  </si>
  <si>
    <t>MARKET SCI</t>
  </si>
  <si>
    <t>Mark. Sci.</t>
  </si>
  <si>
    <t>NOV-DEC</t>
  </si>
  <si>
    <t>10.1287/mksc.2016.0993</t>
  </si>
  <si>
    <t>ED2TL</t>
  </si>
  <si>
    <t>WOS:000388701900007</t>
  </si>
  <si>
    <t>Chen, Z; Lurie, NH</t>
  </si>
  <si>
    <t>Chen, Zoey; Lurie, Nicholas H.</t>
  </si>
  <si>
    <t>Temporal Contiguity and Negativity Bias in the Impact of Online Word of Mouth</t>
  </si>
  <si>
    <t>word of mouth; negativity bias; temporal contiguity; causal attributions</t>
  </si>
  <si>
    <t>KNOWLEDGE; REVIEWS; INFORMATION; PERSPECTIVE; PERCEPTION; PERSUASION; CAUSALITY; DYNAMICS; JUDGMENT; BEHAVIOR</t>
  </si>
  <si>
    <t>Prior research shows that positive online reviews are less valued than negative reviews. The authors argue that this is due to differences in causal attributions for positive versus negative information such that positive reviews tend to be relatively more attributed to the reviewer (vs. product experience) than negative reviews. The presence of temporal contiguity cues, which indicate that review writing closely follows consumption, reduces the relative extent to which positive reviews are attributed to the reviewer and mitigates the negativity bias. An examination of 65,531 Yelp.com restaurant reviews shows that review value is negatively related to. review valence but that this negative relationship is absent for reviews that contain temporal contiguity cues. A series of lab studies replicates these findings and suggests that temporal contiguity cues enhance the value of a positive review and increase the likelihood of choosing a product with a positive review by changing reader beliefs about the cause of the review.</t>
  </si>
  <si>
    <t>[Chen, Zoey] Georgia Inst Technol, Scheller Coll Business, Atlanta, GA 30332 USA; [Lurie, Nicholas H.] Univ Connecticut, Sch Business, Storrs, CT 06269 USA</t>
  </si>
  <si>
    <t>University System of Georgia; Georgia Institute of Technology; University of Connecticut</t>
  </si>
  <si>
    <t>Chen, Z (corresponding author), Georgia Inst Technol, Scheller Coll Business, Atlanta, GA 30332 USA.</t>
  </si>
  <si>
    <t>zoey.chen@scheller.gatech.edu; lurie@uconn.edu</t>
  </si>
  <si>
    <t>Deng, Nianqi/U-2502-2019; Lurie, Nicholas/F-6132-2017</t>
  </si>
  <si>
    <t>Lurie, Nicholas/0000-0001-8505-9033</t>
  </si>
  <si>
    <t>AUG</t>
  </si>
  <si>
    <t>10.1509/jmr.12.0063</t>
  </si>
  <si>
    <t>184HO</t>
  </si>
  <si>
    <t>WOS:000321880900003</t>
  </si>
  <si>
    <t>Chevalier, JA; Mayzlin, D</t>
  </si>
  <si>
    <t>Chevalier, Judith A.; Mayzlin, Dina</t>
  </si>
  <si>
    <t>The effect of word of mouth on sales: Online book reviews</t>
  </si>
  <si>
    <t>The authors examine the effect of consumer reviews on relative sales of books at Amazon.com and Barnesandnoble.com. The authors find that (1) reviews are overwhelmingly positive at both sites, but there are more reviews and longer reviews at Amazon.com; (2) an improvement in a book's reviews leads to an increase in relative sales at that site; (3) for most samples in the study, the impact of one-star reviews is greater than the impact of five-star reviews; and (4) evidence from review-length data suggests that customers read review text rather than relying only on summary statistics.</t>
  </si>
  <si>
    <t>Yale Univ, Sch Management, New Haven, CT 06520 USA</t>
  </si>
  <si>
    <t>Yale University</t>
  </si>
  <si>
    <t>Chevalier, JA (corresponding author), Yale Univ, Sch Management, New Haven, CT 06520 USA.</t>
  </si>
  <si>
    <t>judith.chevalier@yale.edu; dina.mayzlin@yale.edu</t>
  </si>
  <si>
    <t>Mayzlin, Dina/F-9069-2012; Deng, Nianqi/U-2502-2019</t>
  </si>
  <si>
    <t>10.1509/jmkr.43.3.345</t>
  </si>
  <si>
    <t>075IN</t>
  </si>
  <si>
    <t>Green Published, Green Submitted</t>
  </si>
  <si>
    <t>WOS:000239878300005</t>
  </si>
  <si>
    <t>Cohn, MA; Mehl, MR; Pennebaker, JW</t>
  </si>
  <si>
    <t>Linguistic markers of psychological change surrounding September 11, 2001</t>
  </si>
  <si>
    <t>LANGUAGE USE; TERRORIST ATTACKS; STRESS; DISASTER; CRISES; WORDS</t>
  </si>
  <si>
    <t>The diaries of 1,084 U.S. users of an on-line journaling service were downloaded for a period of 4 months spanning the 2 months prior to and after the September 11 attacks. Linguistic analyses of the journal entries revealed pronounced psychological changes in response to the attacks. In the short term, participants expressed more negative emotions, were more cognitively and socially engaged, and wrote with greater psychological distance. After 2 weeks, their moods and social referencing returned to baseline, and their use of cognitive-analytic words dropped below baseline. Over the next 6 weeks, social referencing decreased, and psychological distancing remained elevated relative to baseline. Although the effects were generally stronger for individuals highly preoccupied with September I], even participants who hardly wrote about the events showed comparable language changes. This study bypasses man), of the methodological obstacles of trauma research and provides a fine-grained analysis of the time line of human coping with upheaval.</t>
  </si>
  <si>
    <t>Univ Texas, Dept Psychol, Austin, TX 78712 USA; Univ Michigan, Ann Arbor, MI 48109 USA</t>
  </si>
  <si>
    <t>University of Texas System; University of Texas Austin; University of Michigan System; University of Michigan</t>
  </si>
  <si>
    <t>Pennebaker, JW (corresponding author), Univ Texas, Dept Psychol, A8000, Austin, TX 78712 USA.</t>
  </si>
  <si>
    <t>pennebaker@psy.utexas.edu</t>
  </si>
  <si>
    <t>Pennebaker, James W/E-5997-2013; Pennebaker, James/GLR-6058-2022</t>
  </si>
  <si>
    <t xml:space="preserve">Pennebaker, James W/0000-0001-9091-214X; </t>
  </si>
  <si>
    <t>NATIONAL INSTITUTE OF MENTAL HEALTH [R01MH052391] Funding Source: NIH RePORTER; NIMH NIH HHS [MH52391] Funding Source: Medline</t>
  </si>
  <si>
    <t>NATIONAL INSTITUTE OF MENTAL HEALTH(United States Department of Health &amp; Human ServicesNational Institutes of Health (NIH) - USANIH National Institute of Mental Health (NIMH)); NIMH NIH HHS(United States Department of Health &amp; Human ServicesNational Institutes of Health (NIH) - USANIH National Institute of Mental Health (NIMH))</t>
  </si>
  <si>
    <t>10.1111/j.0956-7976.2004.00741.x</t>
  </si>
  <si>
    <t>869YP</t>
  </si>
  <si>
    <t>WOS:000225021500008</t>
  </si>
  <si>
    <t>Das, SR; Chen, MY</t>
  </si>
  <si>
    <t>Das, Sanjiv R.; Chen, Mike Y.</t>
  </si>
  <si>
    <t>Yahoo! for Amazon: Sentiment extraction from small talk on the web</t>
  </si>
  <si>
    <t>MANAGEMENT SCIENCE</t>
  </si>
  <si>
    <t>text classification; index formation; computers-computer science; artificial intelligence; finance; investment</t>
  </si>
  <si>
    <t>INTERNET; CLASSIFICATION; INVESTOR; NOISE</t>
  </si>
  <si>
    <t>Extracting sentiment from text is a hard semantic problem. We develop a methodology for extracting small investor sentiment from stock message boards. The algorithm comprises different classifier algorithms coupled together by a voting scheme. Accuracy levels are similar to widely used Bayes classifiers, but false positives are lower and sentiment accuracy higher. Time series and cross-sectional aggregation of messaged information improves the quality of the resultant sentiment index, particularly in the presence of slang and ambiguity. Empirical applications evidence a relationship with stock values-tech-sector postings are related to stock index levels, and to volumes and volatility. The algorithms may be used to assess the impact on investor opinion of management announcements, press releases, third-party news, and regulatory changes.</t>
  </si>
  <si>
    <t>Santa Clara Univ, Leavey Sch Business, Dept Finance, Santa Clara, CA 95053 USA; Ludic Labs, San Mateo, CA 94401 USA</t>
  </si>
  <si>
    <t>Santa Clara University</t>
  </si>
  <si>
    <t>Das, SR (corresponding author), Santa Clara Univ, Leavey Sch Business, Dept Finance, Santa Clara, CA 95053 USA.</t>
  </si>
  <si>
    <t>srdas@scu.edu; mike@ludic-lab.com</t>
  </si>
  <si>
    <t>HANOVER</t>
  </si>
  <si>
    <t>7240 PARKWAY DR, STE 310, HANOVER, MD 21076-1344 USA</t>
  </si>
  <si>
    <t>0025-1909</t>
  </si>
  <si>
    <t>MANAGE SCI</t>
  </si>
  <si>
    <t>Manage. Sci.</t>
  </si>
  <si>
    <t>SEP</t>
  </si>
  <si>
    <t>10.1287/mnsc.1070.0704</t>
  </si>
  <si>
    <t>Management; Operations Research &amp; Management Science</t>
  </si>
  <si>
    <t>Science Citation Index Expanded (SCI-EXPANDED); Social Science Citation Index (SSCI)</t>
  </si>
  <si>
    <t>Business &amp; Economics; Operations Research &amp; Management Science</t>
  </si>
  <si>
    <t>216NZ</t>
  </si>
  <si>
    <t>WOS:000249886200002</t>
  </si>
  <si>
    <t>De Angelis, M; Bonezzi, A; Peluso, AM; Rucker, DD; Costabile, M</t>
  </si>
  <si>
    <t>De Angelis, Matteo; Bonezzi, Andrea; Peluso, Alessandro M.; Rucker, Derek D.; Costabile, Michele</t>
  </si>
  <si>
    <t>On Braggarts and Gossips: A Self-Enhancement Account of Word-of-Mouth Generation and Transmission</t>
  </si>
  <si>
    <t>word-of-mouth valence; word-of-mouth generation; word-of-mouth transmission; self-enhancement</t>
  </si>
  <si>
    <t>PRODUCT; COMMUNICATION; CONSUMERS; BEHAVIOR; CONVERSATIONS; INFORMATION; PERSPECTIVE; CONSUMPTION; CONSISTENCY; VALIDATION</t>
  </si>
  <si>
    <t>Previous research on word of mouth (WOM) has presented inconsistent evidence on whether consumers are more inclined to share positive or negative information about products and services. Some findings suggest that consumers are more inclined to engage in positive WOM, whereas others suggest that consumers are more inclined to engage in negative WOM. The present research offers a theoretical perspective that provides a means to resolve these seemingly contradictory findings. Specifically, the authors compare the generation of WOM (i.e., consumers sharing information about their own experiences) with the transmission of WOM (i.e., consumers passing on information about experiences they heard occurred to others). They suggest that a basic human motive to self-enhance leads consumers to generate positive WOM (i.e., share information about their own positive consumption experiences) but transmit negative WOM (i.e., pass on information they heard about others' negative consumption experiences). The authors present evidence for self-enhancement motives playing out in opposite ways for WOM generation versus WOM transmission across four experiments.</t>
  </si>
  <si>
    <t>[Bonezzi, Andrea] NYU, Stern Sch Business, New York, NY 10003 USA; [Peluso, Alessandro M.] Univ Salento, Lecce, Italy; [Rucker, Derek D.] Northwestern Univ, Kellogg Sch Management, Evanston, IL 60208 USA; [Costabile, Michele] Univ Calabria, Dept Business Adm, I-87030 Commenda Di Rende, Italy</t>
  </si>
  <si>
    <t>New York University; University of Salento; Northwestern University; University of Calabria</t>
  </si>
  <si>
    <t>De Angelis, M (corresponding author), Univ Wisconsin Milwaukee, Milwaukee, WI USA.</t>
  </si>
  <si>
    <t>mdeangelis@luiss.it; abonezzi@stern.nyu.edu; alessandro.peluso@unisalento.it; d-rucker@kellogg.northwestern.edu; michele.costabile@sdabocconi.it</t>
  </si>
  <si>
    <t>Peluso, Alessandro Maria/ABC-4686-2020; Bonezzi, Andrea/ABH-7029-2020; De+Angelis, Matteo/AAJ-8873-2020</t>
  </si>
  <si>
    <t xml:space="preserve">Peluso, Alessandro Maria/0000-0003-4018-9429; </t>
  </si>
  <si>
    <t>10.1509/jmr.11.0136</t>
  </si>
  <si>
    <t>978CF</t>
  </si>
  <si>
    <t>WOS:000306717200008</t>
  </si>
  <si>
    <t>Dodds, PS; Harris, KD; Kloumann, IM; Bliss, CA; Danforth, CM</t>
  </si>
  <si>
    <t>Dodds, Peter Sheridan; Harris, Kameron Decker; Kloumann, Isabel M.; Bliss, Catherine A.; Danforth, Christopher M.</t>
  </si>
  <si>
    <t>Temporal Patterns of Happiness and Information in a Global Social Network: Hedonometrics and Twitter</t>
  </si>
  <si>
    <t>PLOS ONE</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</si>
  <si>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construct a tunable, real-time, remote-sensing, and non-invasive, text-based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and tunable metric can be constructed and defended.</t>
  </si>
  <si>
    <t>[Dodds, Peter Sheridan; Harris, Kameron Decker; Kloumann, Isabel M.; Bliss, Catherine A.; Danforth, Christopher M.] Univ Vermont, Dept Math &amp; Stat, Burlington, VT 05405 USA; [Dodds, Peter Sheridan; Danforth, Christopher M.] Univ Vermont, Ctr Complex Syst, Burlington, VT 05405 USA; [Dodds, Peter Sheridan; Danforth, Christopher M.] Univ Vermont, Vermont Adv Comp Ctr, Burlington, VT 05405 USA; [Kloumann, Isabel M.] Univ Vermont, Dept Phys, Burlington, VT 05405 USA</t>
  </si>
  <si>
    <t>University of Vermont; University of Vermont; University of Vermont; University of Vermont</t>
  </si>
  <si>
    <t>Dodds, PS (corresponding author), Univ Vermont, Dept Math &amp; Stat, Burlington, VT 05405 USA.</t>
  </si>
  <si>
    <t>peter.dodds@uvm.edu; chris.danforth@uvm.edu</t>
  </si>
  <si>
    <t>Dodds, Peter S/C-9119-2014</t>
  </si>
  <si>
    <t>Dodds, Peter S/0000-0003-1973-8614</t>
  </si>
  <si>
    <t>NASA [NNX 08A096G]; VT-NASA EPSCoR; NSF [0846668]</t>
  </si>
  <si>
    <t>NASA(National Aeronautics &amp; Space Administration (NASA)); VT-NASA EPSCoR; NSF(National Science Foundation (NSF))</t>
  </si>
  <si>
    <t>The authors are grateful for the computational resources provided by the Vermont Advanced Computing Center which is supported by NASA (NNX 08A096G). KDH was supported by VT-NASA EPSCoR. PSD was supported by NSF CAREER Award # 0846668. The funders had no role in study design, data collection and analysis, decision to publish, or preparation of the manuscript.</t>
  </si>
  <si>
    <t>PUBLIC LIBRARY SCIENCE</t>
  </si>
  <si>
    <t>SAN FRANCISCO</t>
  </si>
  <si>
    <t>1160 BATTERY STREET, STE 100, SAN FRANCISCO, CA 94111 USA</t>
  </si>
  <si>
    <t>1932-6203</t>
  </si>
  <si>
    <t>PLoS One</t>
  </si>
  <si>
    <t>DEC 7</t>
  </si>
  <si>
    <t>e26752</t>
  </si>
  <si>
    <t>10.1371/journal.pone.0026752</t>
  </si>
  <si>
    <t>Multidisciplinary Sciences</t>
  </si>
  <si>
    <t>Science &amp; Technology - Other Topics</t>
  </si>
  <si>
    <t>863KK</t>
  </si>
  <si>
    <t>Green Submitted, Green Published, gold</t>
  </si>
  <si>
    <t>WOS:000298161900002</t>
  </si>
  <si>
    <t>Eliashberg, J; Hui, SK; Zhang, ZJM</t>
  </si>
  <si>
    <t>Eliashberg, Jehoshua; Hui, Sam K.; Zhang, Z. John</t>
  </si>
  <si>
    <t>From story line to box office: A new approach for green-lighting movie scripts</t>
  </si>
  <si>
    <t>entertainment industry; new product development; forecasting; contingency data analysis</t>
  </si>
  <si>
    <t>MOTION-PICTURES; INDUSTRY; MODEL</t>
  </si>
  <si>
    <t>Movie studios often have to choose among thousands of scripts to decide which ones to turn into movies. Despite the huge amount of money at stake, this process-known as green-lighting in the movie industry is largely a guesswork based on experts' experience and intuitions. In this paper, we propose a new approach to help studios evaluate scripts that will then lead to more profitable green-lighting decisions. Our approach combines screenwriting domain knowledge, natural-language processing techniques, and statistical learning methods to forecast a movie's return on investment (ROI) based only on textual information available in movie scripts. We test our model in a holdout decision task to show that our model is able to significantly improve a studio's gross ROI.</t>
  </si>
  <si>
    <t>Eliashberg, J (corresponding author), Univ Penn, Wharton Sch, 3730 Walnut St, Philadelphia, PA 19104 USA.</t>
  </si>
  <si>
    <t>eliashberg@wharton.upenn.edu; kchui@wharton.upenn.edu; zjzhang@wharton.upenn.edu</t>
  </si>
  <si>
    <t>1526-5501</t>
  </si>
  <si>
    <t>10.1287/mnsc.1060.0668</t>
  </si>
  <si>
    <t>200DX</t>
  </si>
  <si>
    <t>WOS:000248745200002</t>
  </si>
  <si>
    <t>C</t>
  </si>
  <si>
    <t>Feldman, R; Netzer, O; Peretz, A; Rosenfeld, B</t>
  </si>
  <si>
    <t>Assoc Comp Machinery</t>
  </si>
  <si>
    <t>Feldman, Ronen; Netzer, Oded; Peretz, Aviv; Rosenfeld, Binyamin</t>
  </si>
  <si>
    <t>Utilizing Text Mining on Online Medical Forums to Predict Label Change due to Adverse Drug Reactions</t>
  </si>
  <si>
    <t>KDD'15: PROCEEDINGS OF THE 21ST ACM SIGKDD INTERNATIONAL CONFERENCE ON KNOWLEDGE DISCOVERY AND DATA MINING</t>
  </si>
  <si>
    <t>Proceedings Paper</t>
  </si>
  <si>
    <t>21st ACM SIGKDD Conference on Knowledge Discovery and Data Mining (KDD)</t>
  </si>
  <si>
    <t>AUG 10-13, 2015</t>
  </si>
  <si>
    <t>Univ Technol Sydney, Adv Analyt Inst, Sydney, AUSTRALIA</t>
  </si>
  <si>
    <t>Assoc Comp Machinery SIGKDD,Assoc Comp Machinery SIGMOD,Taylor &amp; Francis Grp,Univ Technol Sydney,Morgan &amp; Claypool Publishers</t>
  </si>
  <si>
    <t>Univ Technol Sydney, Adv Analyt Inst</t>
  </si>
  <si>
    <t>Adverse Drug Reactions; Pharmaceutical Drugs; Hpsg; Medical Forums; Text Mining</t>
  </si>
  <si>
    <t>WEB</t>
  </si>
  <si>
    <t>We present an end-to-end text mining methodology for relation extraction of adverse drug reactions (ADRs) from medical forums on the Web. Our methodology is novel in that it combines three major characteristics: (i) an underlying concept of using a head-driven phrase structure grammar (HPSG) based parser; (ii) domain-specific relation patterns, the acquisition of which is done primarily using unsupervised methods applied to a large, unlabeled text corpus; and (iii) automated post-processing algorithms for enhancing the set of extracted relations. We empirically demonstrate the ability of our proposed approach to predict ADRs prior to their reporting by the Food and Drug Administration (FDA). Put differently, we put our approach to a predictive test by demonstrating that our methodology can credibly point to ADRs that were not uncovered in clinical trials for evaluating new drugs that come to market but were only reported later on by the FDA as a label change.</t>
  </si>
  <si>
    <t>[Feldman, Ronen] Hebrew Univ Jerusalem, Sch Business Adm, Jerusalem, Israel; [Netzer, Oded] Columbia Univ, Grad Sch Business, New York, NY 10027 USA; [Peretz, Aviv] Hebrew Univ Jerusalem, Sch Comp Sci &amp; Engn, Jerusalem, Israel</t>
  </si>
  <si>
    <t>Hebrew University of Jerusalem; Columbia University; Hebrew University of Jerusalem</t>
  </si>
  <si>
    <t>Feldman, R (corresponding author), Hebrew Univ Jerusalem, Sch Business Adm, Jerusalem, Israel.</t>
  </si>
  <si>
    <t>ronen.feldman@huji.ac.il; on2110@columbia.edu; aviv.peretz@mail.huji.ac.il; grurgrur@gmail.com</t>
  </si>
  <si>
    <t>Intel ICRI-CI, Israel Science Foundation (ISF); Israel Ministry of Defense</t>
  </si>
  <si>
    <t>Research supported by Intel ICRI-CI, Israel Science Foundation (ISF) and Israel Ministry of Defense.</t>
  </si>
  <si>
    <t>ASSOC COMPUTING MACHINERY</t>
  </si>
  <si>
    <t>1515 BROADWAY, NEW YORK, NY 10036-9998 USA</t>
  </si>
  <si>
    <t>978-1-4503-3664-2</t>
  </si>
  <si>
    <t>10.1145/2783258.2788608</t>
  </si>
  <si>
    <t>Computer Science, Artificial Intelligence; Computer Science, Information Systems; Computer Science, Theory &amp; Methods</t>
  </si>
  <si>
    <t>Conference Proceedings Citation Index - Science (CPCI-S)</t>
  </si>
  <si>
    <t>BN6IU</t>
  </si>
  <si>
    <t>WOS:000485312900189</t>
  </si>
  <si>
    <t>Fiss, PC; Hirsch, PM</t>
  </si>
  <si>
    <t>The discourse of globalization: Framing and sensemaking of an emerging concept</t>
  </si>
  <si>
    <t>AMERICAN SOCIOLOGICAL REVIEW</t>
  </si>
  <si>
    <t>COLLECTIVE ACTION; NEWSPAPER COVERAGE; PUBLIC-OPINION; MEDIA; NEWS; CONSTRUCTION; INFORMATION; INTEGRATION; CRITIQUE; CULTURE</t>
  </si>
  <si>
    <t>While the literature on framing has importantly expanded our understanding of frame creation and contests from an interpretive point of view, previous studies have largely neglected the structural contexts in which framing activities occur. In this study, we propose extending the framing approach by incorporating insights from the literature on sensemaking to examine how and when opportunities for meaning creation open up and how this affects subsequent discursive processes. Connecting framing and sensemaking better enables us to examine how structural factors prompt and bound discursive processes, affecting when and where frame contests emerge. We demonstrate the utility of this approach by examining changes in the discourse of globalization. Using qualitative and quantitative analyses of newspaper articles and corporate press releases, we trace the emergence of globalization discourse, its diffusion, and the increasing contention that surrounds it. Our findings show how and where globalization discourse emerged in response to greater US. involvement with the international economy, and how later frame contests over the meaning of globalization have depended on the interests of the actors involved.</t>
  </si>
  <si>
    <t>Queens Univ, Sch Business, Kingston, ON K7L 3N6, Canada; Kellogg Shc Management, Dept Management &amp; Org, Evanston, IL 60208 USA</t>
  </si>
  <si>
    <t>Queens University - Canada</t>
  </si>
  <si>
    <t>Fiss, PC (corresponding author), Queens Univ, Sch Business, 143 Union St, Kingston, ON K7L 3N6, Canada.</t>
  </si>
  <si>
    <t>fiss@business.queen-su.ca; paulhirsch@northwestern.edu</t>
  </si>
  <si>
    <t>Fiss, Peer/HGD-0872-2022</t>
  </si>
  <si>
    <t>0003-1224</t>
  </si>
  <si>
    <t>1939-8271</t>
  </si>
  <si>
    <t>AM SOCIOL REV</t>
  </si>
  <si>
    <t>Am. Sociol. Rev.</t>
  </si>
  <si>
    <t>10.1177/000312240507000103</t>
  </si>
  <si>
    <t>929FW</t>
  </si>
  <si>
    <t>WOS:000229328500003</t>
  </si>
  <si>
    <t>Fossen, BL; Schweidel, DA</t>
  </si>
  <si>
    <t>Fossen, Beth L.; Schweidel, David A.</t>
  </si>
  <si>
    <t>Social TV, Advertising, and Sales: Are Social Shows Good for Advertisers?</t>
  </si>
  <si>
    <t>social TV; television; advertising; social media; online word-of-mouth</t>
  </si>
  <si>
    <t>WORD-OF-MOUTH; TELEVISION COMMERCIALS; PROGRAM INVOLVEMENT; MEDIA MULTITASKING; PRODUCT; INFORMATION; CONSUMERS; RESPONSES; ATTITUDE; CONTEXT</t>
  </si>
  <si>
    <t>Television viewers are increasingly engaging in media-multitasking while watching programming. One prevalent multiscreen activity is the simultaneous consumption of television alongside social media chatter about the programming, an activity referred to as social TV. Although online interactions with programming can result in a more engaged and committed audience, social TV activities may distract media multi-taskers from advertisements. These competing outcomes of social TV raise the question: are programs with high online social TV activity, so called social shows, good for advertisers? In this research, we empirically examine this question by exploring the relationship among television advertising, social TV, online traffic, and online sales. Specifically, we investigate how the volume of program-related online chatter is related to online shopping behavior at retailers that advertise during the programs. We find that advertisements that air in programs with more social TV activity see increased ad responsiveness in terms of subsequent online shopping behavior. This result varies with the mood of the advertisement, with more affective advertisements-in particular, funny and emotional advertisements-seeing the largest increases in online shopping activity. Our results shed light on how advertisers can encourage online shopping activity on their websites in the age of multiscreen consumers.</t>
  </si>
  <si>
    <t>[Fossen, Beth L.] Indiana Univ, Kelley Sch Business, Bloomington, IN 47405 USA; [Schweidel, David A.] Emory Univ, Goizueta Business Sch, Atlanta, GA 30322 USA</t>
  </si>
  <si>
    <t>Indiana University System; Indiana University Bloomington; IU Kelley School of Business; Emory University</t>
  </si>
  <si>
    <t>Fossen, BL (corresponding author), Indiana Univ, Kelley Sch Business, Bloomington, IN 47405 USA.</t>
  </si>
  <si>
    <t>bfosssgen@indiana.edu; dschweidel@emory.edu</t>
  </si>
  <si>
    <t>Goizueta Business School, Emory University</t>
  </si>
  <si>
    <t>This work was supported by Goizueta Business School, Emory University.</t>
  </si>
  <si>
    <t>10.1287/mksc.2018.1139</t>
  </si>
  <si>
    <t>HT9XB</t>
  </si>
  <si>
    <t>WOS:000464924900004</t>
  </si>
  <si>
    <t>Gandomi, A; Haider, M</t>
  </si>
  <si>
    <t>Gandomi, Amir; Haider, Murtaza</t>
  </si>
  <si>
    <t>Beyond the hype: Big data concepts, methods, and analytics</t>
  </si>
  <si>
    <t>INTERNATIONAL JOURNAL OF INFORMATION MANAGEMENT</t>
  </si>
  <si>
    <t>Big data analytics; Big data definition; Unstructured data analytics; Predictive analytics</t>
  </si>
  <si>
    <t>BUSINESS INTELLIGENCE; CHALLENGES</t>
  </si>
  <si>
    <t>Size is the first, and at times, the only dimension that leaps out at the mention of big data. This paper attempts to offer a broader definition of big data that captures its other unique and defining characteristics. The rapid evolution and adoption of big data by industry has leapfrogged the discourse to popular outlets, forcing the academic press to catch up. Academic journals in numerous disciplines, which will benefit from a relevant discussion of big data, have yet to cover the topic. This paper presents a consolidated description of big data by integrating definitions from practitioners and academics. The paper's primary focus is on the analytic methods used for big data. A particular distinguishing feature of this paper is its focus on analytics related to unstructured data, which constitute 95% of big data. This paper highlights the need to develop appropriate and efficient analytical methods to leverage massive volumes of heterogeneous data in unstructured text, audio, and video formats. This paper also reinforces the need to devise new tools for predictive analytics for structured big data. The statistical methods in practice were devised to infer from sample data. The heterogeneity, noise, and the massive size of structured big data calls for developing computationally efficient algorithms that may avoid big data pitfalls, such as spurious correlation. (C) 2014 The Authors. Published by Elsevier Ltd.</t>
  </si>
  <si>
    <t>[Gandomi, Amir; Haider, Murtaza] Ryerson Univ, Ted Rogers Sch Management, Toronto, ON M5B 2K3, Canada</t>
  </si>
  <si>
    <t>Toronto Metropolitan University</t>
  </si>
  <si>
    <t>Gandomi, A (corresponding author), Ryerson Univ, Ted Rogers Sch Management, Toronto, ON M5B 2K3, Canada.</t>
  </si>
  <si>
    <t>agandomi@ryerson.ca; murtaza.haider@ryerson.ca</t>
  </si>
  <si>
    <t>Gandomi, Amir/AAA-6812-2021</t>
  </si>
  <si>
    <t>Gandomi, Amir/0000-0001-6526-4865</t>
  </si>
  <si>
    <t>ELSEVIER SCI LTD</t>
  </si>
  <si>
    <t>OXFORD</t>
  </si>
  <si>
    <t>THE BOULEVARD, LANGFORD LANE, KIDLINGTON, OXFORD OX5 1GB, OXON, ENGLAND</t>
  </si>
  <si>
    <t>0268-4012</t>
  </si>
  <si>
    <t>1873-4707</t>
  </si>
  <si>
    <t>INT J INFORM MANAGE</t>
  </si>
  <si>
    <t>Int. J. Inf. Manage.</t>
  </si>
  <si>
    <t>10.1016/j.ijinfomgt.2014.10.007</t>
  </si>
  <si>
    <t>Information Science &amp; Library Science</t>
  </si>
  <si>
    <t>CD8BV</t>
  </si>
  <si>
    <t>hybrid</t>
  </si>
  <si>
    <t>WOS:000351321100001</t>
  </si>
  <si>
    <t>Garg, N; Schiebinger, L; Jurafsky, D; Zou, J</t>
  </si>
  <si>
    <t>Garg, Nikhil; Schiebinger, Londa; Jurafsky, Dan; Zou, James</t>
  </si>
  <si>
    <t>Word embeddings quantify 100 years of gender and ethnic stereotypes</t>
  </si>
  <si>
    <t>PROCEEDINGS OF THE NATIONAL ACADEMY OF SCIENCES OF THE UNITED STATES OF AMERICA</t>
  </si>
  <si>
    <t>word embedding; gender stereotypes; ethnic stereotypes</t>
  </si>
  <si>
    <t>RACIAL STEREOTYPES; MODEL</t>
  </si>
  <si>
    <t>Word embeddings are a powerful machine-learning framework that represents each English word by a vector. The geometric relationship between these vectors captures meaningful semantic relationships between the corresponding words. In this paper, we develop a framework to demonstrate how the temporal dynamics of the embedding helps to quantify changes in stereotypes and attitudes toward women and ethnic minorities in the 20th and 21st centuries in the United States. We integrate word embeddings trained on 100 y of text data with the US Census to show that changes in the embedding track closely with demographic and occupation shifts over time. The embedding captures societal shifts-e.g., the women's movement in the 1960s and Asian immigration into the United States-and also illuminates how specific adjectives and occupations became more closely associated with certain populations over time. Our framework for temporal analysis of word embedding opens up a fruitful intersection between machine learning and quantitative social science.</t>
  </si>
  <si>
    <t>[Garg, Nikhil] Stanford Univ, Dept Elect Engn, Stanford, CA 94305 USA; [Schiebinger, Londa] Stanford Univ, Dept Hist, Stanford, CA 94305 USA; [Jurafsky, Dan] Stanford Univ, Dept Linguist, Stanford, CA 94305 USA; [Jurafsky, Dan] Stanford Univ, Dept Comp Sci, Stanford, CA 94305 USA; [Zou, James] Stanford Univ, Dept Biomed Data Sci, Stanford, CA 94305 USA; [Zou, James] Chan Zuckerberg Biohub, San Francisco, CA 94158 USA</t>
  </si>
  <si>
    <t>Stanford University; Stanford University; Stanford University; Stanford University; Stanford University</t>
  </si>
  <si>
    <t>Garg, N (corresponding author), Stanford Univ, Dept Elect Engn, Stanford, CA 94305 USA.;Zou, J (corresponding author), Stanford Univ, Dept Biomed Data Sci, Stanford, CA 94305 USA.;Zou, J (corresponding author), Chan Zuckerberg Biohub, San Francisco, CA 94158 USA.</t>
  </si>
  <si>
    <t>nkgarg@stanford.edu; jamesz@stanford.edu</t>
  </si>
  <si>
    <t>Schiebinger, Londa/0000-0003-3438-3081</t>
  </si>
  <si>
    <t>Chan-Zuckerberg Biohub Investigator grant; National Science Foundation (NSF) [CRII 1657155]; NSF Graduate Research Fellowship [DGE-114747]</t>
  </si>
  <si>
    <t>Chan-Zuckerberg Biohub Investigator grant; National Science Foundation (NSF)(National Science Foundation (NSF)National Research Foundation of Korea); NSF Graduate Research Fellowship(National Science Foundation (NSF))</t>
  </si>
  <si>
    <t>J.Z. is supported by a Chan-Zuckerberg Biohub Investigator grant and National Science Foundation (NSF) Grant CRII 1657155. N.G. is supported by the NSF Graduate Research Fellowship under Grant DGE-114747.</t>
  </si>
  <si>
    <t>NATL ACAD SCIENCES</t>
  </si>
  <si>
    <t>2101 CONSTITUTION AVE NW, WASHINGTON, DC 20418 USA</t>
  </si>
  <si>
    <t>0027-8424</t>
  </si>
  <si>
    <t>1091-6490</t>
  </si>
  <si>
    <t>P NATL ACAD SCI USA</t>
  </si>
  <si>
    <t>Proc. Natl. Acad. Sci. U. S. A.</t>
  </si>
  <si>
    <t>APR 17</t>
  </si>
  <si>
    <t>E3635</t>
  </si>
  <si>
    <t>E3644</t>
  </si>
  <si>
    <t>10.1073/pnas.1720347115</t>
  </si>
  <si>
    <t>GD0LI</t>
  </si>
  <si>
    <t>Green Submitted, Green Published</t>
  </si>
  <si>
    <t>WOS:000430191900008</t>
  </si>
  <si>
    <t>Gebhardt, GF; Farrelly, FJ; Conduit, J</t>
  </si>
  <si>
    <t>Gebhardt, Gary F.; Farrelly, Francis J.; Conduit, Jodie</t>
  </si>
  <si>
    <t>Market Intelligence Dissemination Practices</t>
  </si>
  <si>
    <t>market intelligence; market orientation; market research; market schemas; organizational learning</t>
  </si>
  <si>
    <t>SCHEMA CHANGE; ORIENTATION; INFORMATION; KNOWLEDGE; ANTECEDENTS; COMMUNITY; TRUST; MODEL; ART</t>
  </si>
  <si>
    <t>Market intelligence is a cornerstone of the marketing concept and essential to market-focused strategic planning and implementation. Although the importance of market intelligence is widely accepted, how managers can ensure the organization-wide generation, dissemination, and responsiveness to market intelligence remains a persistent challenge. In this article, the authors investigate market intelligence dissemination practices and their resulting managerial responses. Using qualitative methods, the authors identify five market intelligence dissemination practices that either update and reinforce organization members' existing schemas (mental models) of the market or create new, shared schemas of the market. Specifically, they find that the creation, existence, or absence of organizationally shared market schemas is crucial in explaining the effectiveness of different market intelligence dissemination practices. Thus, in addition to being experts on market intelligence, intelligence directors must be authorities on organizational learning and ways to create shared meaning structures that enable disseminated intelligence to be understood and used within their organizations. The authors conclude with suggestions for practitioners on how to manage intelligence dissemination across their organizations more effectively and efficiently.</t>
  </si>
  <si>
    <t>[Gebhardt, Gary F.] HEC Montreal, Dept Mkt, Montreal, PQ, Canada; [Farrelly, Francis J.] RMIT Univ, Sch Econ Finance &amp; Mkt, Mkt, Melbourne, Vic, Australia; [Conduit, Jodie] Univ Adelaide, Adelaide Business Sch, Mkt, Adelaide, SA, Australia</t>
  </si>
  <si>
    <t>Universite de Montreal; HEC Montreal; Royal Melbourne Institute of Technology (RMIT); University of Adelaide</t>
  </si>
  <si>
    <t>Gebhardt, GF (corresponding author), HEC Montreal, Dept Mkt, Montreal, PQ, Canada.</t>
  </si>
  <si>
    <t>gary.gebhardt@hec.ca; francis.farrelly@rmit.edu.au; jodie.conduit@adelaide.edu.au</t>
  </si>
  <si>
    <t>Gebhardt, Gary/AAV-5675-2020</t>
  </si>
  <si>
    <t>Conduit, Jodie/0000-0002-9725-2663; farrelly, francis/0000-0003-0650-9644</t>
  </si>
  <si>
    <t>MAY</t>
  </si>
  <si>
    <t>10.1177/0022242919830958</t>
  </si>
  <si>
    <t>HS3YR</t>
  </si>
  <si>
    <t>WOS:000463799000004</t>
  </si>
  <si>
    <t>Ghose, A; Ipeirotis, PG</t>
  </si>
  <si>
    <t>Ghose, Anindya; Ipeirotis, Panagiotis G.</t>
  </si>
  <si>
    <t>Estimating the Helpfulness and Economic Impact of Product Reviews: Mining Text and Reviewer Characteristics</t>
  </si>
  <si>
    <t>IEEE TRANSACTIONS ON KNOWLEDGE AND DATA ENGINEERING</t>
  </si>
  <si>
    <t>Internet commerce; social media; user-generated content; textmining; word-of-mouth; product reviews; economics; sentiment analysis; online communities</t>
  </si>
  <si>
    <t>WORD-OF-MOUTH; SALES; DYNAMICS</t>
  </si>
  <si>
    <t>With the rapid growth of the Internet, the ability of users to create and publish content has created active electronic communities that provide a wealth of product information. However, the high volume of reviews that are typically published for a single product makes harder for individuals as well as manufacturers to locate the best reviews and understand the true underlying quality of a product. In this paper, we reexamine the impact of reviews on economic outcomes like product sales and see how different factors affect social outcomes such as their perceived usefulness. Our approach explores multiple aspects of review text, such as subjectivity levels, various measures of readability and extent of spelling errors to identify important text-based features. In addition, we also examine multiple reviewer-level features such as average usefulness of past reviews and the self-disclosed identity measures of reviewers that are displayed next to a review. Our econometric analysis reveals that the extent of subjectivity, informativeness, readability, and linguistic correctness in reviews matters in influencing sales and perceived usefulness. Reviews that have a mixture of objective, and highly subjective sentences are negatively associated with product sales, compared to reviews that tend to include only subjective or only objective information. However, such reviews are rated more informative (or helpful) by other users. By using Random Forest-based classifiers, we show that we can accurately predict the impact of reviews on sales and their perceived usefulness. We examine the relative importance of the three broad feature categories: reviewer-related features, review subjectivity features, and review readability features, and find that using any of the three feature sets results in a statistically equivalent performance as in the case of using all available features. This paper is the first study that integrates econometric, text mining, and predictive modeling techniques toward a more complete analysis of the information captured by user-generated online reviews in order to estimate their helpfulness and economic impact.</t>
  </si>
  <si>
    <t>[Ghose, Anindya; Ipeirotis, Panagiotis G.] New York Univ, Dept Informat Operat &amp; Management Sci, Leonarn N Stern Sch Business, New York, NY 10012 USA</t>
  </si>
  <si>
    <t>New York University</t>
  </si>
  <si>
    <t>Ghose, A (corresponding author), New York Univ, Dept Informat Operat &amp; Management Sci, Leonarn N Stern Sch Business, New York, NY 10012 USA.</t>
  </si>
  <si>
    <t>aghose@stern.nyu.edu; panos@stern.nyu.edu</t>
  </si>
  <si>
    <t>Ipeirotis, Panos/O-8700-2018; Ipeirotis, Panagiotis G./A-7148-2008; Ipeirotis, Panos/AAB-2041-2020</t>
  </si>
  <si>
    <t xml:space="preserve">Ipeirotis, Panos/0000-0002-2966-7402; Ipeirotis, Panagiotis G./0000-0002-2966-7402; </t>
  </si>
  <si>
    <t>NET Institute; Microsoft Live Lab; Microsoft; New York University [N-6011, R-8637]; US National Science Foundation (NSF) [IIS-0643847, IIS-0643846, DUE-0911982]</t>
  </si>
  <si>
    <t>NET Institute; Microsoft Live Lab(Microsoft); Microsoft(Microsoft); New York University; US National Science Foundation (NSF)(National Science Foundation (NSF))</t>
  </si>
  <si>
    <t>The authors would like to thank Rong Zheng, Ashley Tyrrel, and Leslie Culpepper for assistance in data collection. They want to thank the participants in WITS 2006, SCECR 2007, and ICEC 2007 and the reviewers for very helpful comments. This work was partially supported by NET Institute (http://www.NETinst.org), a Microsoft Live Labs Search Award, a Microsoft Virtual Earth Award, New York University Research Challenge Fund grants N-6011 and R-8637, and by US National Science Foundation (NSF) grants IIS-0643847, IIS-0643846, and DUE-0911982. Any opinions, findings, and conclusions expressed in this material are those of the authors and do not necessarily reflect the views of the Microsoft Corporation or of the US National Science Foundation (NSF).</t>
  </si>
  <si>
    <t>IEEE COMPUTER SOC</t>
  </si>
  <si>
    <t>LOS ALAMITOS</t>
  </si>
  <si>
    <t>10662 LOS VAQUEROS CIRCLE, PO BOX 3014, LOS ALAMITOS, CA 90720-1314 USA</t>
  </si>
  <si>
    <t>1041-4347</t>
  </si>
  <si>
    <t>1558-2191</t>
  </si>
  <si>
    <t>IEEE T KNOWL DATA EN</t>
  </si>
  <si>
    <t>IEEE Trans. Knowl. Data Eng.</t>
  </si>
  <si>
    <t>10.1109/TKDE.2010.188</t>
  </si>
  <si>
    <t>Computer Science, Artificial Intelligence; Computer Science, Information Systems; Engineering, Electrical &amp; Electronic</t>
  </si>
  <si>
    <t>Computer Science; Engineering</t>
  </si>
  <si>
    <t>807RD</t>
  </si>
  <si>
    <t>WOS:000293916500005</t>
  </si>
  <si>
    <t>Godes, D; Mayzlin, D</t>
  </si>
  <si>
    <t>Using online conversations to study word-of-mouth communication</t>
  </si>
  <si>
    <t>word of mouth; diffusion of innovations; measurement; networks and marketing; new product research; Internet marketing</t>
  </si>
  <si>
    <t>BEHAVIOR</t>
  </si>
  <si>
    <t>Managers are very interested in word-of-mouth communication because they believe that I product's success. is related to the word of mouth that it generates. However, there are at least three significant challenges associated with measuring word of mouth. First, how does one gather the data? Because the information is exchanged in private conversations, direct observation traditionally has been difficult. Second, what aspect of these conversations should one measure? The third challenge comes from the fact that word of mouth is not exogenous. While the mapping from word of mouth to future sales is of great interest to the firm, we must also recognize that word of mouth is an outcome of past sales. Our primary objective is to address these challenges. As a context for our study, we have chosen new television (TV) shows during the 1999-2000 seasons. Our source of word-of-mouth conversations is Usenet, a collection of thousands of newsgroups with diverse topics. We find that online conversations may offer an easy and cost-effective opportunity to measure word of mouth. We show that a measure of the dispersion of conversations across communities has explanatory power in a dynamic model of TV ratings.</t>
  </si>
  <si>
    <t>Harvard Univ, Grad Sch Business Adm, Boston, MA 02163 USA; Yale Univ, Sch Management, New Haven, CT 06520 USA</t>
  </si>
  <si>
    <t>Harvard University; Yale University</t>
  </si>
  <si>
    <t>Godes, D (corresponding author), Harvard Univ, Grad Sch Business Adm, Soldiers Field, Boston, MA 02163 USA.</t>
  </si>
  <si>
    <t>dgodes@hbs.edu; dina.mayzlin@yale.edu</t>
  </si>
  <si>
    <t>Mayzlin, Dina/F-9069-2012</t>
  </si>
  <si>
    <t>FAL</t>
  </si>
  <si>
    <t>10.1287/mksc.1040.0071</t>
  </si>
  <si>
    <t>874XU</t>
  </si>
  <si>
    <t>WOS:000225384800007</t>
  </si>
  <si>
    <t>Godes, D; Silva, JC</t>
  </si>
  <si>
    <t>Godes, David; Silva, Jose C.</t>
  </si>
  <si>
    <t>Sequential and Temporal Dynamics of Online Opinion</t>
  </si>
  <si>
    <t>word of mouth; online reviews; networks; Internet marketing</t>
  </si>
  <si>
    <t>WORD-OF-MOUTH; BRAND CHOICE BEHAVIOR; INFORMATIONAL CASCADES; CONSUMER REVIEWS; PRODUCT REVIEWS; HERD BEHAVIOR; SALES; DIFFUSION; IMPACT; COMMUNICATION</t>
  </si>
  <si>
    <t>We investigate the evolution of online ratings over time and sequence. We first establish that there exist two distinct dynamic processes, one as a function of the amount of time a book has been available for review and another as a function of the sequence of reviews themselves. We find that, once we control for calendar date, the residual average temporal pattern is increasing. This is counter to existing findings that suggest that without this calendar-date control, the pattern is decreasing. With respect to sequential dynamics, we find that ratings decrease: the nth rating is, on average, lower than the n-1th when controlling for time, reviewer effects, and book effects. We test and find some support for existing theories for this decline based on motivation. We then offer two additional explanations for this order effect. We find support for the idea that one's ability to assess the diagnosticity of previous reviews decreases: when previous reviewers are very different, more reviews may thus lead to more purchase errors and lower ratings.</t>
  </si>
  <si>
    <t>[Godes, David] Univ Maryland, Robert H Smith Sch Business, Dept Mkt, College Pk, MD 20742 USA; [Silva, Jose C.] Duke Univ, Fuqua Sch Business, Durham, NC 27708 USA</t>
  </si>
  <si>
    <t>University System of Maryland; University of Maryland College Park; Duke University</t>
  </si>
  <si>
    <t>Godes, D (corresponding author), Univ Maryland, Robert H Smith Sch Business, Dept Mkt, College Pk, MD 20742 USA.</t>
  </si>
  <si>
    <t>dgodes@rhsmith.umd.edu; josecamoessilva@alum.mit.edu</t>
  </si>
  <si>
    <t>MAY-JUN</t>
  </si>
  <si>
    <t>10.1287/mksc.1110.0653</t>
  </si>
  <si>
    <t>950GQ</t>
  </si>
  <si>
    <t>WOS:000304638000006</t>
  </si>
  <si>
    <t>Hancock, JT; Curry, LE; Goorha, S; Woodworth, M</t>
  </si>
  <si>
    <t>Hancock, Jeffrey T.; Curry, Lauren E.; Goorha, Saurabh; Woodworth, Michael</t>
  </si>
  <si>
    <t>On lying and being lied to: A linguistic analysis of deception in computer-mediated communication</t>
  </si>
  <si>
    <t>DISCOURSE PROCESSES</t>
  </si>
  <si>
    <t>DETECTING DECEPTION; INTERPERSONAL DECEPTION; PREDICTING DECEPTION; NONVERBAL BEHAVIOR; NATURAL-LANGUAGE; DECEIT; CLASSIFICATION; INVOLVEMENT; TRUTHFUL; WORDS</t>
  </si>
  <si>
    <t>This study investigated changes in both the liar's and the conversational partner's linguistic style across truthful and deceptive dyadic communication in a synchronous text-based setting. An analysis of 242 transcripts revealed that liars produced more words, more sense-based words (e.g., seeing, touching), and used fewer self-oriented but more other-oriented pronouns when lying than when telling the truth. In addition, motivated liars avoided causal terms when lying, whereas unmotivated liars tended to increase their use of negations. Conversational partners also changed their behavior during deceptive conversations, despite being blind to the deception manipulation. Partners asked more questions with shorter sentences when they were being deceived, and matched the liar's linguistic style along several dimensions. The linguistic patterns in both the liar and the partner's language use were not related to deception detection, suggesting that partners were unable to use this linguistic information to improve their deception detection accuracy.</t>
  </si>
  <si>
    <t>[Hancock, Jeffrey T.; Curry, Lauren E.; Goorha, Saurabh] Cornell Univ, Dept Commun, Ithaca, NY 14853 USA; [Woodworth, Michael] Univ British Columbia, Dept Psychol, Okanagan, BC, Canada</t>
  </si>
  <si>
    <t>Cornell University; University of British Columbia; University of British Columbia Okanagan</t>
  </si>
  <si>
    <t>Hancock, JT (corresponding author), Cornell Univ, Dept Commun, 320 Kennedy Hall, Ithaca, NY 14853 USA.</t>
  </si>
  <si>
    <t>jeff.hancock@cornell.edu</t>
  </si>
  <si>
    <t>LAWRENCE ERLBAUM ASSOC INC-TAYLOR &amp; FRANCIS</t>
  </si>
  <si>
    <t>PHILADELPHIA</t>
  </si>
  <si>
    <t>325 CHESTNUT STREET, STE 800, PHILADELPHIA, PA 19106 USA</t>
  </si>
  <si>
    <t>0163-853X</t>
  </si>
  <si>
    <t>DISCOURSE PROCESS</t>
  </si>
  <si>
    <t>Discl. Process.</t>
  </si>
  <si>
    <t>JAN-FEB</t>
  </si>
  <si>
    <t>10.1080/01638530701739181</t>
  </si>
  <si>
    <t>Psychology, Educational; Psychology, Experimental</t>
  </si>
  <si>
    <t>258DO</t>
  </si>
  <si>
    <t>WOS:000252848800001</t>
  </si>
  <si>
    <t>Hartmann, J; Huppertz, J; Schamp, C; Heitmann, M</t>
  </si>
  <si>
    <t>Hartmann, Jochen; Huppertz, Juliana; Schamp, Christina; Heitmann, Mark</t>
  </si>
  <si>
    <t>Comparing automated text classification methods</t>
  </si>
  <si>
    <t>INTERNATIONAL JOURNAL OF RESEARCH IN MARKETING</t>
  </si>
  <si>
    <t>Text classification; Social media; Machine learning; User-generated content; Sentiment analysis; Natural language processing</t>
  </si>
  <si>
    <t>SENTIMENT; EMOTIONS; OPINION; MODEL</t>
  </si>
  <si>
    <t>Online social media drive the growth of unstructured text data. Many marketing applications require structuring this data at scales non-accessible to human coding, e.g., to detect communication shifts in sentiment or other researcher-defined content categories. Several methods have been proposed to automatically classify unstructured text. This paper compares the performance of ten such approaches (five lexicon-based, five machine learning algorithms) across 41 social media datasets covering major social media platforms, various sample sizes, and languages. So far, marketing research relies predominantly on support vector machines (SVM) and Linguistic Inquiry and Word Count (LIWC). Across all tasks we study, either random forest (RF) or naive Bayes (NB) performs best in terms of correctly uncovering human intuition. In particular, RF exhibits consistently high performance for three-class sentiment, NB for small samples sizes. SVM never outperform the remaining methods. All lexicon-based approaches, LIWC in particular, perform poorly compared with machine learning. In some applications, accuracies only slightly exceed chance. Since additional considerations of text classification choice are also in favor of NB and RF, our results suggest that marketing research can benefit from considering these alternatives. (C) 2018 Elsevier B.V. All rights reserved.</t>
  </si>
  <si>
    <t>[Hartmann, Jochen; Huppertz, Juliana; Schamp, Christina; Heitmann, Mark] Univ Hamburg, Mkt &amp; Customer Insight, Moorweidenstr 18, D-20148 Hamburg, Germany</t>
  </si>
  <si>
    <t>University of Hamburg</t>
  </si>
  <si>
    <t>Hartmann, J (corresponding author), Univ Hamburg, Mkt &amp; Customer Insight, Moorweidenstr 18, D-20148 Hamburg, Germany.</t>
  </si>
  <si>
    <t>jochen.hartmann@uni-hamburg.de</t>
  </si>
  <si>
    <t>Hartmann, Jochen/0000-0002-1178-8708</t>
  </si>
  <si>
    <t>German Research Foundation (DFG) research unit 1452, How Social Media is Changing Marketing [HE 6703/1-2]</t>
  </si>
  <si>
    <t>German Research Foundation (DFG) research unit 1452, How Social Media is Changing Marketing(German Research Foundation (DFG))</t>
  </si>
  <si>
    <t>This work was funded by the German Research Foundation (DFG) research unit 1452, How Social Media is Changing Marketing, HE 6703/1-2.</t>
  </si>
  <si>
    <t>0167-8116</t>
  </si>
  <si>
    <t>1873-8001</t>
  </si>
  <si>
    <t>INT J RES MARK</t>
  </si>
  <si>
    <t>Int. J. Res. Mark.</t>
  </si>
  <si>
    <t>10.1016/j.ijresmar.2018.09.009</t>
  </si>
  <si>
    <t>HW3WL</t>
  </si>
  <si>
    <t>WOS:000466623300003</t>
  </si>
  <si>
    <t>Hennig-Thurau, T; Wiertz, C; Feldhaus, F</t>
  </si>
  <si>
    <t>Hennig-Thurau, Thorsten; Wiertz, Caroline; Feldhaus, Fabian</t>
  </si>
  <si>
    <t>Does Twitter matter? The impact of microblogging word of mouth on consumers' adoption of new movies</t>
  </si>
  <si>
    <t>JOURNAL OF THE ACADEMY OF MARKETING SCIENCE</t>
  </si>
  <si>
    <t>Word of mouth communication; Microblogging; Twitter; Early adoption; Movies</t>
  </si>
  <si>
    <t>MEDIA RICHNESS; FILM-CRITICS; CONVERSATIONS; PRODUCTS; REVIEWS; SUCCESS; SALES; POWER</t>
  </si>
  <si>
    <t>This research provides an empirical test of the Twitter effect, which postulates that microblogging word of mouth (MWOM) shared through Twitter and similar services affects early product adoption behaviors by immediately disseminating consumers' post-purchase quality evaluations. This is a potentially crucial factor for the success of experiential media products and other products whose distribution strategy relies on a hyped release. Studying the four million MWOM messages sent via Twitter concerning 105 movies on their respective opening weekends, the authors find support for the Twitter effect and report evidence of a negativity bias. In a follow-up incident study of 600 Twitter users who decided not to see a movie based on negative MWOM, the authors shed additional light on the Twitter effect by investigating how consumers use MWOM information in their decision-making processes and describing MWOM's defining characteristics. They use these insights to position MWOM in the word-of-mouth landscape, to identify future word-of-mouth research opportunities based on this conceptual positioning, and to develop managerial implications.</t>
  </si>
  <si>
    <t>[Hennig-Thurau, Thorsten; Feldhaus, Fabian] Univ Munster, Mkt Ctr Muenster, D-48143 Munster, Germany; [Hennig-Thurau, Thorsten; Wiertz, Caroline] City Univ London, Cass Business Sch, London EC1Y 8TZ, England</t>
  </si>
  <si>
    <t>University of Munster; City University London</t>
  </si>
  <si>
    <t>Wiertz, C (corresponding author), City Univ London, Cass Business Sch, London EC1Y 8TZ, England.</t>
  </si>
  <si>
    <t>thorsten@hennig-thurau.de; c.wiertz@city.ac.uk; fabianfeldhaus@web.de</t>
  </si>
  <si>
    <t>Cass Business School; City University London</t>
  </si>
  <si>
    <t>The authors thank three anonymous JAMS reviewers, Andre Marchand and the participants of research seminars at Cass Business School, the University of Muenster, the University of Hamburg, the Technical University of Munich, HEC Paris, ESCP Paris, the Vrije Universiteit Amsterdam and the UCLA/Mallen Workshop in Motion Picture Industry Studies for their constructive criticism on previous versions of this article. They also thank Benno Stein and Peter Prettenhofer for their help with the WEKA analysis, Mo Musse and Peter Richards for their IT help, Chad Etzel from Twitter for supporting the data collection, and Arzzita Nash for help with the coding. Finally, the authors are grateful for research funds provided by Cass Business School and City University London that supported this project.</t>
  </si>
  <si>
    <t>SPRINGER</t>
  </si>
  <si>
    <t>233 SPRING ST, NEW YORK, NY 10013 USA</t>
  </si>
  <si>
    <t>0092-0703</t>
  </si>
  <si>
    <t>1552-7824</t>
  </si>
  <si>
    <t>J ACAD MARKET SCI</t>
  </si>
  <si>
    <t>J. Acad. Mark. Sci.</t>
  </si>
  <si>
    <t>10.1007/s11747-014-0388-3</t>
  </si>
  <si>
    <t>CG1QT</t>
  </si>
  <si>
    <t>Green Accepted</t>
  </si>
  <si>
    <t>WOS:000353049100006</t>
  </si>
  <si>
    <t>Herhausen, D; Ludwig, S; Grewal, D; Wulf, J; Schoegel, M</t>
  </si>
  <si>
    <t>Herhausen, Dennis; Ludwig, Stephan; Grewal, Dhruv; Wulf, Jochen; Schoegel, Marcus</t>
  </si>
  <si>
    <t>Detecting, Preventing, and Mitigating Online Firestorms in Brand Communities</t>
  </si>
  <si>
    <t>message dynamics; online brand community; online firestorms; text mining; word of mouth</t>
  </si>
  <si>
    <t>WORD-OF-MOUTH; LINGUISTIC STYLE MATCHES; SOCIAL MEDIA; EMOTION-REGULATION; CONTAGION; DIFFUSION; REVIEWS; NETWORK; CUSTOMERS; SENTIMENT</t>
  </si>
  <si>
    <t>Online firestorms pose severe threats to online brand communities. Any negative electronic word of mouth (eWOM) has the potential to become an online firestorm, yet not every post does, so finding ways to detect and respond to negative eWOM constitutes a critical managerial priority. The authors develop a comprehensive framework that integrates different drivers of negative eWOM and the response approaches that firms use to engage in and disengage from online conversations with complaining customers. A text-mining study of negative eWOM demonstrates distinct impacts of high- and low-arousal emotions, structural tie strength, and linguistic style match (between sender and brand community) on firestorm potential. The firm's response must be tailored to the intensity of arousal in the negative eWOM to limit the virality of potential online firestorms. The impact of initiated firestorms can be mitigated by distinct firm responses over time, and the effectiveness of different disengagement approaches also varies with their timing. For managers, these insights provide guidance on how to detect and reduce the virality of online firestorms.</t>
  </si>
  <si>
    <t>[Herhausen, Dennis] KEDGE Business Sch, Mkt, Talence, France; [Ludwig, Stephan] Univ Melbourne, Mkt, Melbourne, Vic, Australia; [Grewal, Dhruv] Babson Coll, Mkt, Babson Pk, MA 02157 USA; [Wulf, Jochen] Univ St Gallen, Inst Informat Management, St Gallen, Switzerland; [Schoegel, Marcus] Univ St Gallen, Mkt, St Gallen, Switzerland</t>
  </si>
  <si>
    <t>Kedge Business School; University of Melbourne; Babson College; University of St Gallen; University of St Gallen</t>
  </si>
  <si>
    <t>Herhausen, D (corresponding author), KEDGE Business Sch, Mkt, Talence, France.</t>
  </si>
  <si>
    <t>dennis.herhausen@kedgebs.com; stephan.ludwig@unimelb.edu.au; dennis.herhausen@kedgebs.com; jochen.wulf@unisg.ch; marcus.schoegel@unisg.ch</t>
  </si>
  <si>
    <t>Herhausen, Dennis/AAY-2492-2021; Grewal, Dhruv/B-7264-2013</t>
  </si>
  <si>
    <t>Herhausen, Dennis/0000-0002-4335-1703; Grewal, Dhruv/0000-0002-7046-6063; Ludwig, Stephan/0000-0001-5894-6294</t>
  </si>
  <si>
    <t>Basic Research Fund (GFF) of the University of St. Gallen</t>
  </si>
  <si>
    <t>The author(s) disclosed receipt of the following financial support for the research, authorship, and/or publication of this article: The first author received a grant from the Basic Research Fund (GFF) of the University of St. Gallen for this project.</t>
  </si>
  <si>
    <t>10.1177/0022242918822300</t>
  </si>
  <si>
    <t>WOS:000463799000001</t>
  </si>
  <si>
    <t>Hill, V; Carley, KM</t>
  </si>
  <si>
    <t>An approach to identifying consensus in a subfield: The case of organizational culture</t>
  </si>
  <si>
    <t>POETICS</t>
  </si>
  <si>
    <t>TEXTUAL ANALYSIS; CORPORATE CULTURE; KNOWLEDGE; BARRIERS; STRATEGY; ADVANCE; SCIENCE</t>
  </si>
  <si>
    <t>Dept Management &amp; Policy, Tucson, AZ 85721 USA; Carnegie Mellon Univ, Dept Social &amp; Decision Sci, Pittsburgh, PA 15213 USA</t>
  </si>
  <si>
    <t>Carnegie Mellon University</t>
  </si>
  <si>
    <t>Hill, V (corresponding author), Dept Management &amp; Policy, McClelland Hall 405BB, Tucson, AZ 85721 USA.</t>
  </si>
  <si>
    <t>Carley, Kathleen M./0000-0002-6356-0238</t>
  </si>
  <si>
    <t>ELSEVIER SCIENCE BV</t>
  </si>
  <si>
    <t>PO BOX 211, 1000 AE AMSTERDAM, NETHERLANDS</t>
  </si>
  <si>
    <t>0304-422X</t>
  </si>
  <si>
    <t>Poetics</t>
  </si>
  <si>
    <t>10.1016/S0304-422X(99)00004-2</t>
  </si>
  <si>
    <t>Literature; Sociology</t>
  </si>
  <si>
    <t>Arts &amp;amp; Humanities Citation Index (A&amp;amp;HCI)</t>
  </si>
  <si>
    <t>256RZ</t>
  </si>
  <si>
    <t>WOS:000083740500001</t>
  </si>
  <si>
    <t>Holt, D</t>
  </si>
  <si>
    <t>Holt, Douglas</t>
  </si>
  <si>
    <t>Branding in the Age of Social Media</t>
  </si>
  <si>
    <t>HARVARD BUSINESS REVIEW</t>
  </si>
  <si>
    <t>[Holt, Douglas] Cultural Strategy Grp, New York, NY USA; [Holt, Douglas] Harvard Univ, Sch Business, Cambridge, MA 02138 USA; [Holt, Douglas] Univ Oxford, Oxford OX1 2JD, England</t>
  </si>
  <si>
    <t>Harvard University; University of Oxford</t>
  </si>
  <si>
    <t>Holt, D (corresponding author), Cultural Strategy Grp, New York, NY USA.;Holt, D (corresponding author), Harvard Univ, Sch Business, Cambridge, MA 02138 USA.;Holt, D (corresponding author), Univ Oxford, Oxford OX1 2JD, England.</t>
  </si>
  <si>
    <t>HARVARD BUSINESS SCHOOL PUBLISHING CORPORATION</t>
  </si>
  <si>
    <t>WATERTOWN</t>
  </si>
  <si>
    <t>300 NORTH BEACON STREET, WATERTOWN, MA 02472 USA</t>
  </si>
  <si>
    <t>0017-8012</t>
  </si>
  <si>
    <t>HARVARD BUS REV</t>
  </si>
  <si>
    <t>Harv. Bus. Rev.</t>
  </si>
  <si>
    <t>+</t>
  </si>
  <si>
    <t>Business; Management</t>
  </si>
  <si>
    <t>DE2PF</t>
  </si>
  <si>
    <t>WOS:000370468500018</t>
  </si>
  <si>
    <t>Homburg, C; Ehm, L; Artz, M</t>
  </si>
  <si>
    <t>Homburg, Christian; Ehm, Laura; Artz, Martin</t>
  </si>
  <si>
    <t>Measuring and Managing Consumer Sentiment in an Online Community Environment</t>
  </si>
  <si>
    <t>active firm engagement; consumer sentiment; marketing performance measurement; sentiment analysis; social media</t>
  </si>
  <si>
    <t>WORD-OF-MOUTH; FRACTIONAL RESPONSE VARIABLES; BRAND COMMUNITY; SALES; PARTICIPATION; DYNAMICS; SUPPORT; CHATTER; IMPACT; TALK</t>
  </si>
  <si>
    <t>As social media and virtual communities increase in popularity, the spread of word of mouth becomes easier, challenging firms to measure and manage the success of marketing initiatives in online community environments. This research examines how consumers react to firms' active participation in consumer-to-consumer conversations in an online community setting. The authors develop a tailored community-matched measure of consumer reaction (consumer sentiment) and analyze more than 115,000 consumer posts from ten online forums with active firm participation. The results indicate that consumers show diminishing returns to active firm engagement, which, at very high levels, can undermine consumer sentiment. Further subgroup analyses by conversation type indicate that these relationships hold for conversations that address consumers' functional needs but do not hold for conversations that address social needs. Finally, the results show diminishing returns to firm engagement for consumers primarily interested in product-related support but show no relationship for consumers primarily interested in inspiration and entertainment. These findings provide insights for marketing performance measurement and resource allocation in online communities.</t>
  </si>
  <si>
    <t>[Homburg, Christian] Univ Mannheim, Business Adm &amp; Mkt, Mannheim, Germany; [Homburg, Christian] Univ Mannheim, Dept Mkt, Sch Business, Mannheim, Germany; [Homburg, Christian] Univ Melbourne, Dept Management &amp; Mkt, Melbourne, Vic 3010, Australia; [Ehm, Laura] Univ Mannheim, Sch Business, Mannheim, Germany; [Artz, Martin] Frankfurt Sch Finance &amp; Management, Mkt &amp; Management Accounting, Frankfurt, Germany</t>
  </si>
  <si>
    <t>University of Mannheim; University of Mannheim; University of Melbourne; University of Mannheim; Frankfurt School Finance &amp; Management</t>
  </si>
  <si>
    <t>Homburg, C (corresponding author), Univ Mannheim, Business Adm &amp; Mkt, Mannheim, Germany.</t>
  </si>
  <si>
    <t>homburg@bwl.uni-mannheim.de; l.ehm@outlook.com; m.artz@fs.de</t>
  </si>
  <si>
    <t>Julius Paul Stiegler Memorial Foundation</t>
  </si>
  <si>
    <t>Christian Homburg is Professor of Business Administration and Marketing and Chairman of the Department of Marketing, Business School, University of Mannheim, and Professorial Fellow, Department of Management and Marketing, University of Melbourne (e-mail: homburg@bwl.uni-mannheim.de). Laura Ehm is a doctoral graduate in Marketing, Business School, University of Mannheim (e-mail: l.ehm@outlook.com). Martin Artz is Associate Professor of Marketing &amp; Management Accounting, Frankfurt School of Finance &amp; Management (e-mail: m.artz@fs.de). The authors thank Markus Arnold, Christian Ehm, Alexander Hahn, Martin Klarmann, Philipp Rossbach, Christoph Sextroh, Cacilia Zirn, Tulin Erdem, and the JMR review team for helpful comments and suggestions on previous versions of this article. They also thank participants of the doctoral seminar at the Chair of Artificial Intelligence, University of Mannheim, and conference participants at EMAC 2012, Lisbon, for valuable comments and suggestions. Karin Dunda and Thomas Wolf provided great student research assistance. Support from the authors' cooperating do-it-yourself firm as well as financial support from the Julius Paul Stiegler Memorial Foundation is gratefully acknowledged. All authors contributed equally. Parts of this article were written while Martin Artz was Assistant Professor at the University of Mannheim and Visiting Scholar at Foster School of Business, University of Washington. Gerard Tellis served as associate editor for this article.</t>
  </si>
  <si>
    <t>10.1509/jmr.11.0448</t>
  </si>
  <si>
    <t>DB1GJ</t>
  </si>
  <si>
    <t>WOS:000368255900005</t>
  </si>
  <si>
    <t>Huang, K; Yeomans, M; Brooks, AW; Minson, J; Gino, F</t>
  </si>
  <si>
    <t>Huang, Karen; Yeomans, Michael; Brooks, Alison Wood; Minson, Julia; Gino, Francesca</t>
  </si>
  <si>
    <t>It Doesn't Hurt to Ask: Question-Asking Increases Liking</t>
  </si>
  <si>
    <t>question-asking; liking; responsiveness; conversation; natural language processing</t>
  </si>
  <si>
    <t>SELF-DISCLOSURE; RECIPROCITY; RESPONSIVENESS; VALIDATION; RESPONSES; CURIOSITY; SCALE; STYLE; TEXT; BIAS</t>
  </si>
  <si>
    <t>Conversation is a fundamental human experience that is necessary to pursue intrapersonal and interpersonal goals across myriad contexts, relationships, and modes of communication. In the current research, we isolate the role of an understudied conversational behavior: question-asking. Across 3 studies of live dyadic conversations, we identify a robust and consistent relationship between question-asking and liking: people who ask more questions, particularly follow-up questions, are better liked by their conversation partners. When people are instructed to ask more questions, they are perceived as higher in responsiveness, an interpersonal construct that captures listening, understanding, validation, and care. We measure responsiveness with an attitudinal measure from previous research as well as a novel behavioral measure: the number of follow-up questions one asks. In both cases, responsiveness explains the effect of question-asking on liking. In addition to analyzing live get-to-know-you conversations online, we also studied face-to-face speed-dating conversations. We trained a natural language processing algorithm as a follow-up question detector that we applied to our speed-dating data (and can be applied to any text data to more deeply understand question-asking dynamics). The follow-up question rate established by the algorithm showed that speed daters who ask more follow-up questions during their dates are more likely to elicit agreement for second dates from their partners, a behavioral indicator of liking. We also find that, despite the persistent and beneficial effects of asking questions, people do not anticipate that question-asking increases interpersonal liking.</t>
  </si>
  <si>
    <t>[Huang, Karen; Brooks, Alison Wood; Gino, Francesca] Harvard Univ, Harvard Business Sch, Wyss House, Boston, MA 02163 USA; [Huang, Karen] Harvard Univ, Dept Psychol, Boston, MA 02163 USA; [Yeomans, Michael] Harvard Univ, Inst Quantitat Social Sci, Boston, MA 02163 USA; [Minson, Julia] Harvard Univ, Harvard Kennedy Sch, Boston, MA 02163 USA</t>
  </si>
  <si>
    <t>Harvard University; Harvard University; Harvard University; Harvard University</t>
  </si>
  <si>
    <t>Huang, K (corresponding author), Harvard Univ, Harvard Business Sch, Wyss House, Boston, MA 02163 USA.</t>
  </si>
  <si>
    <t>karenhuang@g.harvard.edu</t>
  </si>
  <si>
    <t>Yeomans, Michael/AAV-7910-2021</t>
  </si>
  <si>
    <t>Yeomans, Michael/0000-0001-5651-5087</t>
  </si>
  <si>
    <t>10.1037/pspi0000097</t>
  </si>
  <si>
    <t>FD8RD</t>
  </si>
  <si>
    <t>WOS:000407790900006</t>
  </si>
  <si>
    <t>Humphreys, A</t>
  </si>
  <si>
    <t>Humphreys, Ashlee</t>
  </si>
  <si>
    <t>Semiotic Structure and the Legitimation of Consumption Practices: The Case of Casino Gambling</t>
  </si>
  <si>
    <t>ORGANIZATIONAL LEGITIMACY; CONSUMER CULTURE; SOCIAL VALUES; MEDIA BIAS; IDEOLOGY; DYNAMICS; BRANDS; APPROPRIATION; DEPENDENCE; DISCOURSES</t>
  </si>
  <si>
    <t>How do changes in public discourse and regulatory structure affect the acceptance of a consumption practice? Previous research on legitimacy in consumer behavior has focused on the consumer reception of legitimizing discourse rather than on the historical process of legitimation itself. This study examines the influence of changes in the institutional environment over time on the meaning structures that influence consumer perception and practice. To study legitimation as a historical process, a discourse analysis of newspaper articles about casino gambling from 1980-2007 was conducted. Results show that the regulatory approval of gambling is accompanied by a shift in the semantic categories used to discuss casinos and that journalists play a role in shaping these categories. Further, journalists shape the meaning of a consumption practice in three ways: through selection, validation, and realization. Interpreted through the lens of institutional theory, these findings suggest that studies of legitimation should consider changes in public discourse and legal regulation in addition to consumer perceptions of legitimacy.</t>
  </si>
  <si>
    <t>Northwestern Univ, Medill Sch Journalism, Evanston, IL 60208 USA</t>
  </si>
  <si>
    <t>Northwestern University</t>
  </si>
  <si>
    <t>Humphreys, A (corresponding author), Northwestern Univ, Medill Sch Journalism, MTC 3-109,1870 Campus Dr, Evanston, IL 60208 USA.</t>
  </si>
  <si>
    <t>a-humphreys@northwestern.edu</t>
  </si>
  <si>
    <t>10.1086/652464</t>
  </si>
  <si>
    <t>646ZB</t>
  </si>
  <si>
    <t>WOS:000281583600010</t>
  </si>
  <si>
    <t>Humphreys, A; Latour, KA</t>
  </si>
  <si>
    <t>Humphreys, Ashlee; Latour, Kathryn A.</t>
  </si>
  <si>
    <t>Framing the Game: Assessing the Impact of Cultural Representations on Consumer Perceptions of Legitimacy</t>
  </si>
  <si>
    <t>IMPLICIT ASSOCIATION TEST; ORGANIZATIONAL LEGITIMACY; INSTITUTIONAL ENVIRONMENT; CONSUMPTION PRACTICES; SOCIAL-PROCESS; CHOICE; CATEGORIZATION; PRODUCTS; CREATION; MARKET</t>
  </si>
  <si>
    <t>The purpose of this article is to understand how media frames affect consumer judgments of legitimacy. Because frames exist on the sociocultural and individual level, our research takes a multimethod approach to this question. On the sociocultural level, we conduct a content analysis of operant media frames for discussing online gambling and perform an event analysis, finding that a shift in consumer judgments follows an abrupt shift in frame. Then, on the individual level, the causal mechanism for these shifts is investigated in an experimental setting using the Implicit Association Test (IAT). These experiments show that framing affects normative legitimacy judgments by changing implicit associations. Further, users and nonusers respond differently to frame elements, with users favoring an established frame and nonusers favoring a novel, legitimating frame. This suggests that media frames play a critical role in establishing legitimacy at the sociocultural level and that framing potentially bridges cognitive and normative legitimacy.</t>
  </si>
  <si>
    <t>[Humphreys, Ashlee] Northwestern Univ, Medill Sch Journalism, Evanston, IL 60202 USA; [Latour, Kathryn A.] Cornell Univ, Cornell Sch Hotel Adm, Ithaca, NY 14853 USA</t>
  </si>
  <si>
    <t>Northwestern University; Cornell University</t>
  </si>
  <si>
    <t>Humphreys, A (corresponding author), Northwestern Univ, Medill Sch Journalism, 1870 S Campus Dr, Evanston, IL 60202 USA.</t>
  </si>
  <si>
    <t>a-humphreys@northwestern.edu; kal276@cornell.edu</t>
  </si>
  <si>
    <t>10.1086/672358</t>
  </si>
  <si>
    <t>AB3QD</t>
  </si>
  <si>
    <t>WOS:000331704400012</t>
  </si>
  <si>
    <t>Humphreys, A; Wang, RJH</t>
  </si>
  <si>
    <t>Humphreys, Ashlee; Wang, Rebecca Jen-Hui</t>
  </si>
  <si>
    <t>Automated Text Analysis for Consumer Research</t>
  </si>
  <si>
    <t>automated text analysis; computer-assisted text analysis; automated content analysis; computational linguistics</t>
  </si>
  <si>
    <t>LANGUAGE USE; SOCIAL-STRATIFICATION; CONSUMPTION PRACTICES; MARKETING-RESEARCH; ONLINE REVIEWS; SEPTEMBER 11; WORDS; MEDIA; RATINGS; DYNAMICS</t>
  </si>
  <si>
    <t>The amount of digital text available for analysis by consumer researchers has risen dramatically. Consumer discussions on the internet, product reviews, and digital archives of news articles and press releases are just a few potential sources for insights about consumer attitudes, interaction, and culture. Drawing from linguistic theory and methods, this article presents an overview of automated text analysis, providing integration of linguistic theory with constructs commonly used in consumer research, guidance for choosing amongst methods, and advice for resolving sampling and statistical issues unique to text analysis. We argue that although automated text analysis cannot be used to study all phenomena, it is a useful tool for examining patterns in text that neither researchers nor consumers can detect unaided. Text analysis can be used to examine psychological and sociological constructs in consumer-produced digital text by enabling discovery or by providing ecological validity.</t>
  </si>
  <si>
    <t>[Humphreys, Ashlee] Northwestern Univ, Medill Sch Journalism Media &amp; Integrated Mkt Comm, Integrated Mkt Commun, MTC 3-109,1870 Campus Dr, Evanston, IL 60208 USA; [Wang, Rebecca Jen-Hui] Lehigh Univ, 621 Taylor St, Bethlehem, PA 18015 USA</t>
  </si>
  <si>
    <t>Northwestern University; Lehigh University</t>
  </si>
  <si>
    <t>Humphreys, A (corresponding author), Northwestern Univ, Medill Sch Journalism Media &amp; Integrated Mkt Comm, Integrated Mkt Commun, MTC 3-109,1870 Campus Dr, Evanston, IL 60208 USA.</t>
  </si>
  <si>
    <t>humphreys@northwestern.edu; rwang@lehigh.edu</t>
  </si>
  <si>
    <t>Wang, Rebecca Jen-Hui/0000-0002-7006-8460</t>
  </si>
  <si>
    <t>10.1093/jcr/ucx104</t>
  </si>
  <si>
    <t>GF9YC</t>
  </si>
  <si>
    <t>WOS:000432334000006</t>
  </si>
  <si>
    <t>Iyengar, R; Van den Bulte, C; Valente, TW</t>
  </si>
  <si>
    <t>Iyengar, Raghuram; Van den Bulte, Christophe; Valente, Thomas W.</t>
  </si>
  <si>
    <t>Opinion Leadership and Social Contagion in New Product Diffusion</t>
  </si>
  <si>
    <t>diffusion of innovations; opinion leadership; social contagion; social networks</t>
  </si>
  <si>
    <t>INNOVATION; HETEROGENEITY; INFLUENTIALS; INFORMATION; ASSIGNMENT; PHYSICIANS; ADOPTION; TRIAL</t>
  </si>
  <si>
    <t>We study how opinion leadership and social contagion within social networks affect the adoption of a new product. In contrast to earlier studies, we find evidence of contagion operating over network ties, even after controlling for marketing effort and arbitrary systemwide changes. More importantly, we also find that the amount of contagion is moderated by both the recipients' perception of their opinion leadership and the sources' volume of product usage. The other key finding is that sociometric and self-reported measures of leadership are weakly correlated and associated with different kinds of adoption-related behaviors, which suggests that they probably capture different constructs. We discuss the implications of these novel findings for diffusion theory and research and for marketing practice.</t>
  </si>
  <si>
    <t>[Iyengar, Raghuram; Van den Bulte, Christophe] Univ Penn, Wharton Sch, Philadelphia, PA 19104 USA; [Valente, Thomas W.] Univ So Calif, Keck Sch Med, Los Angeles, CA 90089 USA</t>
  </si>
  <si>
    <t>University of Pennsylvania; University of Southern California</t>
  </si>
  <si>
    <t>Iyengar, R (corresponding author), Univ Penn, Wharton Sch, Philadelphia, PA 19104 USA.</t>
  </si>
  <si>
    <t>riyengar@wharton.upenn.edu; vdbulte@wharton.upenn.edu; tvalente@usc.edu</t>
  </si>
  <si>
    <t>Van den Bulte, Christophe/P-4046-2014</t>
  </si>
  <si>
    <t>Van den Bulte, Christophe/0000-0001-9708-1596</t>
  </si>
  <si>
    <t>10.1287/mksc.1100.0566</t>
  </si>
  <si>
    <t>742JZ</t>
  </si>
  <si>
    <t>WOS:000288939700001</t>
  </si>
  <si>
    <t>Kanuri, VK; Chen, YX; Sridhar, S</t>
  </si>
  <si>
    <t>Kanuri, Vamsi K.; Chen, Yixing; Sridhar, Shrihari (Hari)</t>
  </si>
  <si>
    <t>Scheduling Content on Social Media: Theory, Evidence, and Application</t>
  </si>
  <si>
    <t>circadian rhythms; content strategy; decision support system; genetic algorithm; social media</t>
  </si>
  <si>
    <t>WORKING-MEMORY; INSTRUMENTAL VARIABLES; EVENING-TYPES; STRESS; INFORMATION; RETRIEVAL; DIFFUSION; DYNAMICS; IMPACT; PAID</t>
  </si>
  <si>
    <t>Content platforms (e.g., newspapers, magazines) post several stories daily on their dedicated social media pages and promote some of them using targeted content advertising (TCA). Posting stories enables content platforms to grow their social media audiences and generate digital advertising revenue from the impressions channeled through social media posts' link clicks. However, optimal scheduling of social media posts and TCA is formidable, requiring content platforms to determine what to post; when to post; and whether, when, and how much to spend on TCA to maximize profits. Social media managers lament this complexity, and academic literature offers little guidance. Consequently, the authors draw from literature on circadian rhythms in information processing capabilities to build a novel theoretical framework on social media content scheduling and explain how scheduling attributes (i.e., time of day, content type, and TCA) affect the link clicks metric. They test their hypotheses using a model estimated on 366 days of Facebook post data from a top 50 U.S. newspaper. Subsequently, they build an algorithm that allows social media managers to optimally plan social media content schedules and maximize gross profits. Applying the algorithm to a holdout sample, the authors demonstrate a potential increase in gross profits by at least 8%.</t>
  </si>
  <si>
    <t>[Kanuri, Vamsi K.] Univ Notre Dame, Mendoza Coll Business, Mkt, Notre Dame, IN 46556 USA; [Chen, Yixing; Sridhar, Shrihari (Hari)] Texas A&amp;M Univ, Mays Sch Business, Mkt, College Stn, TX 77843 USA; [Sridhar, Shrihari (Hari)] Texas A&amp;M Univ, Mays Sch Business, College Stn, TX 77843 USA</t>
  </si>
  <si>
    <t>University of Notre Dame; Texas A&amp;M University System; Texas A&amp;M University College Station; Mays Business School; Texas A&amp;M University System; Texas A&amp;M University College Station; Mays Business School</t>
  </si>
  <si>
    <t>Kanuri, VK (corresponding author), Univ Notre Dame, Mendoza Coll Business, Mkt, Notre Dame, IN 46556 USA.</t>
  </si>
  <si>
    <t>vkanuri@nd.edu; y-chen@mays.tamu.edu; ssridhar@mays.tamu.edu</t>
  </si>
  <si>
    <t>Chen, Yixing/AAW-5423-2021; Kanuri, Vamsi K/A-3371-2019; Chen, Yixing/AAY-2944-2021</t>
  </si>
  <si>
    <t xml:space="preserve">Kanuri, Vamsi K/0000-0002-6228-8017; </t>
  </si>
  <si>
    <t>10.1177/0022242918805411</t>
  </si>
  <si>
    <t>HA7CU</t>
  </si>
  <si>
    <t>WOS:000450439500006</t>
  </si>
  <si>
    <t>Kern, ML; Park, G; Eichstaedt, JC; Schwartz, HA; Sap, M; Smith, LK; Ungar, LH</t>
  </si>
  <si>
    <t>Kern, Margaret L.; Park, Gregory; Eichstaedt, Johannes C.; Schwartz, H. Andrew; Sap, Maarten; Smith, Laura K.; Ungar, Lyle H.</t>
  </si>
  <si>
    <t>Gaining Insights From Social Media Language: Methodologies and Challenges</t>
  </si>
  <si>
    <t>PSYCHOLOGICAL METHODS</t>
  </si>
  <si>
    <t>social media; linguistic analysis; interdisciplinary collaboration; online behavior; computational social science</t>
  </si>
  <si>
    <t>LATENT SEMANTIC ANALYSIS; REGRESSION; PERSONALITY; ALGORITHM; SELECTION; NETWORK; SCIENCE; HEALTH; USERS; TEXT</t>
  </si>
  <si>
    <t>Language data available through social media provide opportunities to study people at an unprecedented scale. However, little guidance is available to psychologists who want to enter this area of research. Drawing on tools and techniques developed in natural language processing, we first introduce psychologists to social media language research, identifying descriptive and predictive analyses that language data allow. Second, we describe how raw language data can be accessed and quantified for inclusion in subsequent analyses, exploring personality as expressed on Facebook to illustrate. Third, we highlight challenges and issues to be considered, including accessing and processing the data, interpreting effects, and ethical issues. Social media has become a valuable part of social life, and there is much we can learn by bringing together the tools of computer science with the theories and insights of psychology.</t>
  </si>
  <si>
    <t>[Kern, Margaret L.] Univ Melbourne, Melbourne Grad Sch Educ, 100 Leicester St,Level 2, Parkville, Vic 3010, Australia; [Park, Gregory; Eichstaedt, Johannes C.; Sap, Maarten; Smith, Laura K.] Univ Penn, Dept Psychol, Philadelphia, PA 19104 USA; [Schwartz, H. Andrew; Ungar, Lyle H.] Univ Penn, Dept Comp &amp; Informat Sci, Philadelphia, PA 19104 USA; [Schwartz, H. Andrew] SUNY Stony Brook, Dept Comp Sci, Stony Brook, NY USA</t>
  </si>
  <si>
    <t>University of Melbourne; University of Pennsylvania; University of Pennsylvania; State University of New York (SUNY) System; State University of New York (SUNY) Stony Brook</t>
  </si>
  <si>
    <t>Kern, ML (corresponding author), Univ Melbourne, Melbourne Grad Sch Educ, 100 Leicester St,Level 2, Parkville, Vic 3010, Australia.</t>
  </si>
  <si>
    <t>margaret.kern@unimelb.edu.au</t>
  </si>
  <si>
    <t>Kern, Margaret L./T-3661-2018; Schwartz, H. Andrew/AAE-7276-2021</t>
  </si>
  <si>
    <t>Kern, Margaret L./0000-0003-4300-598X; Eichstaedt, Johannes/0000-0002-3220-2972; Sap, Maarten/0000-0002-0701-4654</t>
  </si>
  <si>
    <t>Templeton Religion Trust [TRT0048]</t>
  </si>
  <si>
    <t>Templeton Religion Trust</t>
  </si>
  <si>
    <t>Support for this publication was provided by the Templeton Religion Trust, grant TRT0048.</t>
  </si>
  <si>
    <t>1082-989X</t>
  </si>
  <si>
    <t>1939-1463</t>
  </si>
  <si>
    <t>PSYCHOL METHODS</t>
  </si>
  <si>
    <t>Psychol. Methods</t>
  </si>
  <si>
    <t>10.1037/met0000091</t>
  </si>
  <si>
    <t>EJ4QQ</t>
  </si>
  <si>
    <t>WOS:000393202300005</t>
  </si>
  <si>
    <t>Kulkarni, D</t>
  </si>
  <si>
    <t>Kulkarni, Dipti</t>
  </si>
  <si>
    <t>Exploring Jakobson's 'phatic function' in instant messaging interactions</t>
  </si>
  <si>
    <t>DISCOURSE &amp; COMMUNICATION</t>
  </si>
  <si>
    <t>Bronislaw Malinowski; chat; computer-mediated communication; conversational contact; instant messaging; phatic communion; Roman Jakobson</t>
  </si>
  <si>
    <t>This research investigates the nature of phatic communion in instant messaging interactions. It adopts and expands Jakobson's much-quoted definition according to which phatic' is the language in an interaction whose primary purpose is to maintain contact between the speakers. Adapting conversation analysis for the study of textual interactions, the research observes the linguistic means used by interlocutors to signal attention, interest, and agreement - these being identified as important constituents of contact. The corpus comprises 60 chats, collected from 20 participants who chat in a mixture of English and Indian languages such as Marathi and Hindi. Openings, middles, and closings of these interactions are analyzed to study the ways in which participants establish, maintain, and terminate contact. The use of various linguistic means in these interactions such as back-channels, evaluations, expressives, and questions draws attention to a significant amount of interactional work done by interlocutors towards maintaining contact.</t>
  </si>
  <si>
    <t>Mudra Inst Commun, Ahmadabad 380058, Gujarat, India</t>
  </si>
  <si>
    <t>MICA</t>
  </si>
  <si>
    <t>Kulkarni, D (corresponding author), Mudra Inst Commun, Ahmadabad 380058, Gujarat, India.</t>
  </si>
  <si>
    <t>dipti@micamail.in</t>
  </si>
  <si>
    <t>1750-4813</t>
  </si>
  <si>
    <t>1750-4821</t>
  </si>
  <si>
    <t>DISCOURSE COMMUN</t>
  </si>
  <si>
    <t>Discourse Commun.</t>
  </si>
  <si>
    <t>10.1177/1750481313507150</t>
  </si>
  <si>
    <t>Communication</t>
  </si>
  <si>
    <t>AI0NF</t>
  </si>
  <si>
    <t>WOS:000336543600001</t>
  </si>
  <si>
    <t>LeCun, Y; Bengio, Y; Hinton, G</t>
  </si>
  <si>
    <t>LeCun, Yann; Bengio, Yoshua; Hinton, Geoffrey</t>
  </si>
  <si>
    <t>Deep learning</t>
  </si>
  <si>
    <t>NATURE</t>
  </si>
  <si>
    <t>NEURAL-NETWORK; ARCHITECTURE; RECOGNITION; ALGORITHM</t>
  </si>
  <si>
    <t>Deep learning allows computational models that are composed of multiple processing layers to learn representations of data with multiple levels of abstraction. These methods have dramatically improved the state-of-the-art in speech recognition, visual object recognition, object detection and many other domains such as drug discovery and genomics. Deep learning discovers intricate structure in large data sets by using the backpropagation algorithm to indicate how a machine should change its internal parameters that are used to compute the representation in each layer from the representation in the previous layer. Deep convolutional nets have brought about breakthroughs in processing images, video, speech and audio, whereas recurrent nets have shone light on sequential data such as text and speech.</t>
  </si>
  <si>
    <t>[LeCun, Yann] Facebook Al Res, New York, NY 10003 USA; [LeCun, Yann] New York Univ, New York, NY 10003 USA; [Bengio, Yoshua] Univ Montreal, Dept Comp Sci &amp; Operat Res, Montreal, PQ H3C 3J7, Canada; [Hinton, Geoffrey] Google, Mountain View, CA 94043 USA; [Hinton, Geoffrey] Univ Toronto, Dept Comp Sci, Toronto, ON M5S 3G4, Canada</t>
  </si>
  <si>
    <t>Facebook Inc; New York University; Universite de Montreal; Google Incorporated; University of Toronto</t>
  </si>
  <si>
    <t>LeCun, Y (corresponding author), Facebook Al Res, 770 Broadway, New York, NY 10003 USA.</t>
  </si>
  <si>
    <t>yann@cs.nyu.edu</t>
  </si>
  <si>
    <t>Jeong, Yongwook/N-7413-2016; Ma, Jialin/ABG-2965-2021</t>
  </si>
  <si>
    <t>Natural Sciences and Engineering Research Council of Canada; Canadian Institute For Advanced Research (CIFAR); National Science Foundation; Office of Naval Research</t>
  </si>
  <si>
    <t>Natural Sciences and Engineering Research Council of Canada(Natural Sciences and Engineering Research Council of Canada (NSERC)CGIAR); Canadian Institute For Advanced Research (CIFAR)(Canadian Institute for Advanced Research (CIFAR)); National Science Foundation(National Science Foundation (NSF)); Office of Naval Research(Office of Naval Research)</t>
  </si>
  <si>
    <t>The authors would like to thank the Natural Sciences and Engineering Research Council of Canada, the Canadian Institute For Advanced Research (CIFAR), the National Science Foundation and Office of Naval Research for support. Y.L. and Y.B. are CIFAR fellows.</t>
  </si>
  <si>
    <t>NATURE PORTFOLIO</t>
  </si>
  <si>
    <t>BERLIN</t>
  </si>
  <si>
    <t>HEIDELBERGER PLATZ 3, BERLIN, 14197, GERMANY</t>
  </si>
  <si>
    <t>0028-0836</t>
  </si>
  <si>
    <t>1476-4687</t>
  </si>
  <si>
    <t>Nature</t>
  </si>
  <si>
    <t>MAY 28</t>
  </si>
  <si>
    <t>10.1038/nature14539</t>
  </si>
  <si>
    <t>CJ2AN</t>
  </si>
  <si>
    <t>WOS:000355286600030</t>
  </si>
  <si>
    <t>Lee, TY; Bradlow, ET</t>
  </si>
  <si>
    <t>Lee, Thomas Y.; Bradlow, Eric T.</t>
  </si>
  <si>
    <t>Automated Marketing Research Using Online Customer Reviews</t>
  </si>
  <si>
    <t>market structure analysis; online customer reviews; text mining</t>
  </si>
  <si>
    <t>CONJOINT-ANALYSIS; DESIGN; PREFERENCE</t>
  </si>
  <si>
    <t>Market structure analysis is a basic pillar of marketing research. Classic challenges in marketing such as pricing, campaign management, brand positioning, and new product development are rooted in an analysis of product substitutes and complements inferred from market structure. In this article, the authors present a method to support the analysis and visualization of market structure by automatically eliciting product attributes and brand's relative positions from online customer reviews. First, the method uncovers attributes and attribute dimensions using the voice of the consumer, as reflected in customer reviews, rather than that of manufacturers. Second, the approach runs automatically. Third, the process supports rather than supplants managerial judgment by reinforcing or augmenting attributes and dimensions found through traditional surveys and focus groups. The authors test the approach on six years of customer reviews for digital cameras during a period of rapid market evolution. They analyze and visualize results in several ways, including comparisons with expert buying guides, a laboratory survey, and correspondence analysis of automatically discovered product attributes. The authors evaluate managerial insights drawn from the analysis with respect to proprietary market research reports from the same period analyzing digital imaging products.</t>
  </si>
  <si>
    <t>[Bradlow, Eric T.] Univ Penn, Wharton Sch, Wharton Doctoral Programs, Philadelphia, PA 19104 USA; [Bradlow, Eric T.] Univ Penn, Wharton Sch, Wharton Customer Analyt Initiat, Philadelphia, PA 19104 USA</t>
  </si>
  <si>
    <t>University of Pennsylvania; University of Pennsylvania</t>
  </si>
  <si>
    <t>Lee, TY (corresponding author), Univ Calif Berkeley, Haas Sch Business, Berkeley, CA 94720 USA.</t>
  </si>
  <si>
    <t>thomasyl@upenn.edu; ebradlow@wharton.upenn.sdu</t>
  </si>
  <si>
    <t>10.1509/jmkr.48.5.881</t>
  </si>
  <si>
    <t>821KS</t>
  </si>
  <si>
    <t>WOS:000294974500007</t>
  </si>
  <si>
    <t>Li, F; Du, TC</t>
  </si>
  <si>
    <t>Li, Feng; Du, Timon C.</t>
  </si>
  <si>
    <t>Who is talking? An ontology-based opinion leader identification framework for word-of-mouth marketing in online social blogs</t>
  </si>
  <si>
    <t>DECISION SUPPORT SYSTEMS</t>
  </si>
  <si>
    <t>Online social network; Blog; Word-of-mouth marketing; Ontology</t>
  </si>
  <si>
    <t>RECOMMENDER SYSTEM; RESPONSES; NETWORKS</t>
  </si>
  <si>
    <t>Online social blogs have gained popularity recently. They provide an effective channel for word-of-mouth (WoM) marketing to promote products or service. In WoM marketing, an opinion leader, who is normally more interconnected and has a higher social standing, can deliver product information, provide recommendations, give personal comments, and supplement professional knowledge that help companies to promote their products. Many theories have been put forward about social networks, but few address the issue of opinion leader identification. This study proposes a framework to identify opinion leaders using the information retrieved from blog content, authors, readers, and their relationships, which we call BARR for short. We first build ontology for a marketing product and then collect parameters from BARR to identify hot topics related to the product. These hot topics are then associated with information disseminators, or opinion leaders. Marketers can use BARR to track blogs written by opinion leaders and identify their opinions to form effective marketing strategies. (C) 2010 Elsevier B.V. All rights reserved.</t>
  </si>
  <si>
    <t>[Du, Timon C.] Chinese Univ Hong Kong, Dept Decis Sci &amp; Managerial Econ, Shatin, Hong Kong, Peoples R China; [Li, Feng] S China Univ Technol, Sch Business Adm, Guangzhou, Guangdong, Peoples R China</t>
  </si>
  <si>
    <t>Chinese University of Hong Kong; South China University of Technology</t>
  </si>
  <si>
    <t>Du, TC (corresponding author), Chinese Univ Hong Kong, Dept Decis Sci &amp; Managerial Econ, Shatin, Hong Kong, Peoples R China.</t>
  </si>
  <si>
    <t>fenglee@scut.du.cn; timon@cuhk.edu.hk</t>
  </si>
  <si>
    <t>Du, Timon C/R-9804-2018</t>
  </si>
  <si>
    <t>Du, Timon C/0000-0003-4304-0531</t>
  </si>
  <si>
    <t>0167-9236</t>
  </si>
  <si>
    <t>1873-5797</t>
  </si>
  <si>
    <t>DECIS SUPPORT SYST</t>
  </si>
  <si>
    <t>Decis. Support Syst.</t>
  </si>
  <si>
    <t>10.1016/j.dss.2010.12.007</t>
  </si>
  <si>
    <t>Computer Science, Artificial Intelligence; Computer Science, Information Systems; Operations Research &amp; Management Science</t>
  </si>
  <si>
    <t>Computer Science; Operations Research &amp; Management Science</t>
  </si>
  <si>
    <t>736TZ</t>
  </si>
  <si>
    <t>WOS:000288519200018</t>
  </si>
  <si>
    <t>Liu, X; Shi, SW; Teixeira, T; Wedel, M</t>
  </si>
  <si>
    <t>Liu, Xuan; Shi, Savannah Wei; Teixeira, Thales; Wedel, Michel</t>
  </si>
  <si>
    <t>Video Content Marketing: The Making of Clips</t>
  </si>
  <si>
    <t>video content marketing; trailers; clips; emotions; facial-expression tracking</t>
  </si>
  <si>
    <t>BOX-OFFICE; CONSUMPTION; PREFERENCES; SELECTION; EMOTION; SUCCESS; ADVERTISEMENTS; EXPERIENCES; SEQUENCES; RESPONSES</t>
  </si>
  <si>
    <t>Consumers have an increasingly wide variety of options available to entertain themselves. This poses a challenge for content aggregators who want to effectively promote their video content online through original trailers of movies, sitcoms, and video games. Marketers are now trying to produce much shorter video clips to promote their content on a variety of digital channels. This research is the first to propose an approach to produce such clips and to study their effectiveness, focusing on comedy movies as an application. Web-based facial-expression tracking is used to study viewers' real-time emotional responses when watching comedy movie trailers online. These data are used to predict both viewers' intentions to watch the movie and the movie's box office success. The authors then propose an optimization procedure for cutting scenes from trailers to produce clips and test it in an online experiment and in a field experiment. The results provide evidence that the production of short clips using the proposed methodology can be an effective tool to market movies and other online content.</t>
  </si>
  <si>
    <t>[Liu, Xuan] Netflix, Los Gatos, CA 95032 USA; [Shi, Savannah Wei] Santa Clara Univ, Leavey Sch Business, Mkt, Santa Clara, CA 95053 USA; [Teixeira, Thales] Harvard Univ, Harvard Business Sch, Cambridge, MA 02138 USA; [Wedel, Michel] Univ Maryland, Robert H Smith Sch Business, Consumer Sci, College Pk, MD 20742 USA</t>
  </si>
  <si>
    <t>Netflix, Inc.; Santa Clara University; Harvard University; University System of Maryland; University of Maryland College Park</t>
  </si>
  <si>
    <t>Liu, X (corresponding author), Netflix, Los Gatos, CA 95032 USA.</t>
  </si>
  <si>
    <t>alexl@netflix.com; wshi@scu.edu; tteixeira@hbs.edu; mwedel@rhsmith.umd.edu</t>
  </si>
  <si>
    <t>Wedel, Michel/AAQ-2512-2021</t>
  </si>
  <si>
    <t>Robert H. Smith School of Business; Harvard Business School; Leavey School of Business</t>
  </si>
  <si>
    <t>Xuan Liu is Senior Data Scientist, Netflix (email: alexl@netflix.com). Savannah Wei Shi is Assistant Professor of Marketing, Leavey School of Business, Santa Clara University (email: wshi@scu.edu). Thales Teixeira is Lumry Family Associate Professor, Harvard Business School, Harvard University (email: tteixeira@hbs.edu). Michel Wedel is PepsiCo Professor of Consumer Science, Robert H. Smith School of Business, University of Maryland (email: mwedel@rhsmith.umd.edu). The order of authors is alphabetical. The authors thank nViso for data collection and processing by the web-based face-tracking system as well as Netflix for running the field experiment. This study was supported by Robert H. Smith School of Business, Harvard Business School, and Leavey School of Business. Rajkumar Venkatesan served as area editor for this article.</t>
  </si>
  <si>
    <t>10.1509/jm.16.0048</t>
  </si>
  <si>
    <t>GI8TO</t>
  </si>
  <si>
    <t>WOS:000434798700008</t>
  </si>
  <si>
    <t>Longoni, C; Bonezzi, A; Morewedge, CK</t>
  </si>
  <si>
    <t>Longoni, Chiara; Bonezzi, Andrea; Morewedge, Carey K.</t>
  </si>
  <si>
    <t>Resistance to Medical Artificial Intelligence</t>
  </si>
  <si>
    <t>automation; artificial intelligence; healthcare; uniqueness; medical decision making</t>
  </si>
  <si>
    <t>DECISION-MAKING; PREDICTION; SELF; VALIDATION; ALGORITHM; ILLUSION; CANCER; BIAS</t>
  </si>
  <si>
    <t>Artificial intelligence (AI) is revolutionizing healthcare, but little is known about consumer receptivity to AI in medicine. Consumers are reluctant to utilize healthcare provided by AI in real and hypothetical choices, separate and joint evaluations. Consumers are less likely to utilize healthcare (study 1), exhibit lower reservation prices for healthcare (study 2), are less sensitive to differences in provider performance (studies 3A-3C), and derive negative utility if a provider is automated rather than human (study 4). Uniqueness neglect, a concern that AI providers are less able than human providers to account for consumers' unique characteristics and circumstances, drives consumer resistance to medical AI. Indeed, resistance to medical AI is stronger for consumers who perceive themselves to be more unique (study 5). Uniqueness neglect mediates resistance to medical AI (study 6), and is eliminated when AI provides care (a) that is framed as personalized (study 7), (b) to consumers other than the self (study 8), or (c) that only supports, rather than replaces, a decision made by a human healthcare provider (study 9). These findings make contributions to the psychology of automation and medical decision making, and suggest interventions to increase consumer acceptance of AI in medicine.</t>
  </si>
  <si>
    <t>[Longoni, Chiara; Morewedge, Carey K.] Boston Univ, Questrom Sch Business, Mkt, Boston, MA 02215 USA; [Bonezzi, Andrea] NYU, Stern Sch Business, Mkt, New York, NY USA; [Morewedge, Carey K.] Boston Univ, Questrom Sch Business, Boston, MA 02215 USA</t>
  </si>
  <si>
    <t>Boston University; New York University; Boston University</t>
  </si>
  <si>
    <t>Longoni, C (corresponding author), Boston Univ, Questrom Sch Business, Mkt, Boston, MA 02215 USA.</t>
  </si>
  <si>
    <t>clongoni@bu.edu; abonezzi@stern.nyu.edu; morewedg@bu.edu</t>
  </si>
  <si>
    <t>Bonezzi, Andrea/ABH-7029-2020</t>
  </si>
  <si>
    <t>10.1093/jcr/ucz013</t>
  </si>
  <si>
    <t>KC7TQ</t>
  </si>
  <si>
    <t>WOS:000507376000001</t>
  </si>
  <si>
    <t>Loughran, T; Mcdonald, B</t>
  </si>
  <si>
    <t>Loughran, Tim; Mcdonald, Bill</t>
  </si>
  <si>
    <t>Textual Analysis in Accounting and Finance: A Survey</t>
  </si>
  <si>
    <t>JOURNAL OF ACCOUNTING RESEARCH</t>
  </si>
  <si>
    <t>textual analysis; sentiment analysis; bag of words; readability; word lists; Zipf's law; cosine similarity; Naive Bayes</t>
  </si>
  <si>
    <t>ANNUAL-REPORT READABILITY; INFORMATION-CONTENT; CONFERENCE CALLS; CURRENT EARNINGS; PRESS RELEASES; MEDIA SLANT; DISCLOSURE; SENTIMENT; TONE; VOLATILITY</t>
  </si>
  <si>
    <t>Relative to quantitative methods traditionally used in accounting and finance, textual analysis is substantially less precise. Thus, understanding the art is of equal importance to understanding the science. In this survey, we describe the nuances of the method and, as users of textual analysis, some of the tripwires in implementation. We also review the contemporary textual analysis literature and highlight areas of future research.</t>
  </si>
  <si>
    <t>[Loughran, Tim; Mcdonald, Bill] Univ Notre Dame, Mendoza Coll Business, Notre Dame, IN 46556 USA</t>
  </si>
  <si>
    <t>University of Notre Dame</t>
  </si>
  <si>
    <t>Loughran, T (corresponding author), Univ Notre Dame, Mendoza Coll Business, Notre Dame, IN 46556 USA.</t>
  </si>
  <si>
    <t>McDonald, Bill/A-9795-2017</t>
  </si>
  <si>
    <t>McDonald, Bill/0000-0002-6142-5681</t>
  </si>
  <si>
    <t>0021-8456</t>
  </si>
  <si>
    <t>1475-679X</t>
  </si>
  <si>
    <t>J ACCOUNT RES</t>
  </si>
  <si>
    <t>J. Account. Res.</t>
  </si>
  <si>
    <t>10.1111/1475-679X.12123</t>
  </si>
  <si>
    <t>Business, Finance</t>
  </si>
  <si>
    <t>DS7LC</t>
  </si>
  <si>
    <t>WOS:000380964000007</t>
  </si>
  <si>
    <t>Ludwig, S; de Ruyter, K; Friedman, M; Bruggen, EC; Wetzels, M; Pfann, G</t>
  </si>
  <si>
    <t>Ludwig, Stephan; de Ruyter, Ko; Friedman, Mike; Brueggen, Elisabeth C.; Wetzels, Martin; Pfann, Gerard</t>
  </si>
  <si>
    <t>More Than Words: The Influence of Affective Content and Linguistic Style Matches in Online Reviews on Conversion Rates</t>
  </si>
  <si>
    <t>online customer reviews; affective content; linguistic style match; conversion rate; Internet marketing</t>
  </si>
  <si>
    <t>OF-MOUTH; SOURCE CREDIBILITY; PRODUCT REVIEWS; PANEL-DATA; DYNAMICS; LANGUAGE; BEHAVIOR; SALES; ATTITUDES; PRICE</t>
  </si>
  <si>
    <t>Customers increasingly rely on other consumers' reviews to make purchase decisions online. New insights into the customer review phenomenon can be derived from studying the semantic content and style properties of verbatim customer reviews to examine their influence on online retail sites' conversion rates. The authors employ text mining to extract changes in affective content and linguistic style properties of customer book reviews on Amazon.com. A dynamic panel data model reveals that the influence of positive affective content on conversion rates is asymmetrical, such that greater increases in positive affective content in customer reviews have a smaller effect on subsequent increases in conversion rate. No such tapering-off effect occurs for changes in negative affective content in reviews. Furthermore, positive changes in affective cues and increasing congruence with the product interest group's typical linguistic style directly and conjointly increase conversion rates. These findings suggest that managers should identify and promote the most influential reviews in a given product category, provide instructions to stimulate reviewers to write powerful reviews, and adapt the style of their own editorial reviews to the relevant product category.</t>
  </si>
  <si>
    <t>[Ludwig, Stephan] InSites Consulting ForwaR&amp;D Lab, Maastricht, Netherlands; [de Ruyter, Ko] Maastricht Univ, Sch Business &amp; Econ, Dept Mkt &amp; Supply Chain Management, Int Serv Res, Maastricht, Netherlands; [Friedman, Mike] Louvain Sch Management, Ctr Res Consumers &amp; Mkt Strategy, Louvain, Belgium; [Pfann, Gerard] Maastricht Univ, Sch Business &amp; Econ, Dept Quantitat Econ, Maastricht, Netherlands; [Pfann, Gerard] Maastricht Univ, Sch Business &amp; Econ, Dept Org Strategy, Maastricht, Netherlands</t>
  </si>
  <si>
    <t>Maastricht University; Universite Catholique Louvain; Maastricht University; Maastricht University</t>
  </si>
  <si>
    <t>Ludwig, S (corresponding author), InSites Consulting ForwaR&amp;D Lab, Maastricht, Netherlands.</t>
  </si>
  <si>
    <t>s.ludwig@maastrichtuniversity.nl; k.deruyter@maastrichtuniversity.nl; mike.friedman@uclouvain.be; e.bruggen@maastrichtuniversity.nl; m.wetzels@maastrichtuniversity.nl; G.Pfann@maastrichtuniversity.nl</t>
  </si>
  <si>
    <t>Wetzels, Martin/AAA-9399-2019; de Ruyter, Ko/AAA-9850-2021</t>
  </si>
  <si>
    <t>Wetzels, Martin/0000-0001-8569-5320; Ludwig, Stephan/0000-0001-5894-6294</t>
  </si>
  <si>
    <t>10.1509/jm.11.0560</t>
  </si>
  <si>
    <t>059DZ</t>
  </si>
  <si>
    <t>WOS:000312685900006</t>
  </si>
  <si>
    <t>Ludwig, S; de Ruyter, K; Mahr, D; Wetzels, M; Bruggen, E</t>
  </si>
  <si>
    <t>Ludwig, Stephan; de Ruyter, Ko; Mahr, Dominik; Wetzels, Martin; Bruggen, Elisabeth</t>
  </si>
  <si>
    <t>TAKE THEIR WORD FOR IT: THE SYMBOLIC ROLE OF LINGUISTIC STYLE MATCHES IN USER COMMUNITIES</t>
  </si>
  <si>
    <t>MIS QUARTERLY</t>
  </si>
  <si>
    <t>Linguistic style match (LSM); user communities; text mining; organizational identification; argument development quality</t>
  </si>
  <si>
    <t>COMMUNICATION PROCESSES; KNOWLEDGE CONTRIBUTION; SOCIAL-INFLUENCE; LANGUAGE; MODEL; COLLABORATION; PERSPECTIVE; INNOVATION; DISCOURSE; TURNOVER</t>
  </si>
  <si>
    <t>User communities are increasingly becoming an essential element of companies' business processes. However, reaping the benefits of such social systems does not always prove effective, often because companies fail to stimulate members' collaboration continuously or neglect their social integration. Following communication accommodation theory, the authors posit that members' communication style alignment symbolically reflects their community identification and affects subsequent participation behavior. This research uses text mining to extract the linguistic style properties of 74,246 members' posts across 37 user communities. Two mixed multilevel Poisson regression models show that when members' linguistic style matches with the conventional community style, it signals their community identification and affects their participation quantity and quality. Drawing on an expanded view of organizational identification, the authors consider dynamics in members' social identification by examining trends and reversals in linguistic style match developments. Whereas a stronger trend of alignment leads to greater participation quantity and quality, frequent reversals suggest lower participation quantity. At a community level, greater synchronicity in the linguistic style across all community members fosters individual members' participation behavior.</t>
  </si>
  <si>
    <t>[Ludwig, Stephan] Univ Westminster, Dept Management, London W1B 2HW, England; [de Ruyter, Ko; Mahr, Dominik; Wetzels, Martin; Bruggen, Elisabeth] Maastricht Univ, Dept Mkt &amp; Supply Chain Management, NL-6200 MD Maastricht, Netherlands</t>
  </si>
  <si>
    <t>University of Westminster; Maastricht University</t>
  </si>
  <si>
    <t>Ludwig, S (corresponding author), Univ Westminster, Dept Management, 309 Regent St, London W1B 2HW, England.</t>
  </si>
  <si>
    <t>s.ludwig@westminster.ac.uk; k.deruyter@maastrichtuniversity.nl; d.mahr@maastrichtuniversity.nl; m.wetzels@maastrichtuniversity.nl; e.bruggen@maastrichtuniversity.nl</t>
  </si>
  <si>
    <t>de Ruyter, Ko/AAA-9850-2021; Wetzels, Martin/AAA-9399-2019</t>
  </si>
  <si>
    <t>SOC INFORM MANAGE-MIS RES CENT</t>
  </si>
  <si>
    <t>MINNEAPOLIS</t>
  </si>
  <si>
    <t>UNIV MINNESOTA-SCH MANAGEMENT 271 19TH AVE SOUTH, MINNEAPOLIS, MN 55455 USA</t>
  </si>
  <si>
    <t>0276-7783</t>
  </si>
  <si>
    <t>MIS QUART</t>
  </si>
  <si>
    <t>MIS Q.</t>
  </si>
  <si>
    <t>10.25300/MISQ/2014/38.4.12</t>
  </si>
  <si>
    <t>Computer Science, Information Systems; Information Science &amp; Library Science; Management</t>
  </si>
  <si>
    <t>Computer Science; Information Science &amp; Library Science; Business &amp; Economics</t>
  </si>
  <si>
    <t>CA0IF</t>
  </si>
  <si>
    <t>Green Submitted, Green Accepted</t>
  </si>
  <si>
    <t>WOS:000348600300013</t>
  </si>
  <si>
    <t>Ludwig, S; Van Laer, T; De Ruyter, K; Friedman, M</t>
  </si>
  <si>
    <t>Ludwig, Stephan; Van Laer, Tom; De Ruyter, Ko; Friedman, Mike</t>
  </si>
  <si>
    <t>Untangling a Web of Lies: Exploring Automated Detection of Deception in Computer-Mediated Communication</t>
  </si>
  <si>
    <t>JOURNAL OF MANAGEMENT INFORMATION SYSTEMS</t>
  </si>
  <si>
    <t>automated text analysis; channel partners; computer-mediated communication; deception detection; deception severity; linguistic cues; speech act theory</t>
  </si>
  <si>
    <t>INTERPERSONAL DECEPTION; PREDICTING DECEPTION; LANGUAGE; CLASSIFICATION; CREDIBILITY; TRUTHFUL; OPPORTUNISM; BEHAVIOR; REVIEWS; MODEL</t>
  </si>
  <si>
    <t>Safeguarding organizations against opportunism and severe deception in computer-mediated communication (CMC) presents a major challenge to chief information officers and information technology managers. New insights into linguistic cues of deception derive from the speech acts innate to CMC. Applying automated text analysis to archival e-mail exchanges in a CMC system as part of a reward program, we assess the ability of word use (micro level), message development (macro level), and intertextual exchange cues (meta level) to detect severe deception by business partners. We empirically assess the predictive ability of our framework using an ordinal multilevel regression model. Results indicate that deceivers minimize the use of referencing and self-deprecation but include more superfluous descriptions and flattery. Deceitful channel partners also over-structure their arguments and rapidly mimic the linguistic style of the account manager across dyadic e-mail exchanges. Thanks to its diagnostic value, the proposed framework can support firms' decision making and guide compliance monitoring system development.</t>
  </si>
  <si>
    <t>[Ludwig, Stephan] Surrey Business Sch, Dept Mkt &amp; Retail Management, Guildford, Surrey, England; [Van Laer, Tom; De Ruyter, Ko] Cass Business Sch, Mkt, London, England; [Friedman, Mike] Catholic Univ Louvain, Louvain Sch Management, Louvain La Neuve, Belgium</t>
  </si>
  <si>
    <t>City University London; Universite Catholique Louvain</t>
  </si>
  <si>
    <t>Ludwig, S (corresponding author), Surrey Business Sch, Dept Mkt &amp; Retail Management, Guildford, Surrey, England.</t>
  </si>
  <si>
    <t>s.ludwig@surrey.ac.uk; tvanlaer@city.ac.uk; Ko.de-Ruyter.1@city.ac.uk; mike.friedman@uclouvain-mons.be</t>
  </si>
  <si>
    <t>de Ruyter, Ko/AAA-9850-2021; van Laer, Tom/AAC-2500-2019</t>
  </si>
  <si>
    <t>van Laer, Tom/0000-0003-4646-1569; Ludwig, Stephan/0000-0001-5894-6294</t>
  </si>
  <si>
    <t>ROUTLEDGE JOURNALS, TAYLOR &amp; FRANCIS LTD</t>
  </si>
  <si>
    <t>ABINGDON</t>
  </si>
  <si>
    <t>2-4 PARK SQUARE, MILTON PARK, ABINGDON OX14 4RN, OXON, ENGLAND</t>
  </si>
  <si>
    <t>0742-1222</t>
  </si>
  <si>
    <t>1557-928X</t>
  </si>
  <si>
    <t>J MANAGE INFORM SYST</t>
  </si>
  <si>
    <t>J. Manage. Inform. Syst.</t>
  </si>
  <si>
    <t>10.1080/07421222.2016.1205927</t>
  </si>
  <si>
    <t>EB2WD</t>
  </si>
  <si>
    <t>Green Submitted, Green Accepted, hybrid</t>
  </si>
  <si>
    <t>WOS:000387222400008</t>
  </si>
  <si>
    <t>Ma, LY; Sun, BH; Kekre, S</t>
  </si>
  <si>
    <t>Ma, Liye; Sun, Baohong; Kekre, Sunder</t>
  </si>
  <si>
    <t>The Squeaky Wheel Gets the Grease-An Empirical Analysis of Customer Voice and Firm Intervention on Twitter</t>
  </si>
  <si>
    <t>service intervention; social media; microblogging; word of mouth; customer relationship; hidden Markov model; choice model</t>
  </si>
  <si>
    <t>WORD-OF-MOUTH; USER-GENERATED CONTENT; SOCIAL MEDIA; MARKETING-STRATEGY; DYNAMICS; REVIEWS; PRODUCT; BRANDS; MODEL; LIKELIHOOD</t>
  </si>
  <si>
    <t>Firms are increasingly engaging with customers on social media. Despite this heightened interest, guidance for effective engagement is lacking. In this study, we investigate customers' compliments and complaints and firms' service interventions on social media. We develop a dynamic choice model that explicitly accounts for the evolutions of both customers' voicing decisions and their relationships with the firm. Voices are driven by both the customers' underlying relationships and other factors such as redress seeking. We estimate the model using a unique data set of customer voices and service interventions on Twitter. We find that redress seeking is a major driver of customer complaints, and although service intervention improves relationships, it also encourages more complaints later. Because of this dual effect, firms are likely to underestimate the returns on service intervention if measured using only voices. Furthermore, we find an error-correction effect in certain situations, where customers compliment or complain when others voice the opposite opinions. Finally, we characterize the distinct voicing tendencies in different relationship states, and show that uncovering the underlying relationship states enables effective targeting. We are among the first to analyze individual customer level voice dynamics and to evaluate the effects of service intervention on social media.</t>
  </si>
  <si>
    <t>[Ma, Liye] Univ Maryland, Robert H Smith Sch Business, College Pk, MD 20742 USA; [Sun, Baohong] Cheung Kong Grad Sch Business, New York, NY 10022 USA; [Kekre, Sunder] Carnegie Mellon Univ, Tepper Sch Business, Pittsburgh, PA 15213 USA</t>
  </si>
  <si>
    <t>University System of Maryland; University of Maryland College Park; Carnegie Mellon University</t>
  </si>
  <si>
    <t>Ma, LY (corresponding author), Univ Maryland, Robert H Smith Sch Business, College Pk, MD 20742 USA.</t>
  </si>
  <si>
    <t>liyema@rhsmith.umd.edu; bhsun@ckgsb.edu.cn; skekre@cmu.edu</t>
  </si>
  <si>
    <t>Carnegie Bosch Institute at Carnegie Mellon University</t>
  </si>
  <si>
    <t>The authors thank David Godes, Wendy W. Moe, David A. Schweidel, the editor, the associate editor, and the anonymous referees for comments on earlier drafts of this paper. The authors would also like to thank the participants at the 2012 INFORMS Marketing Science Conference. The authors acknowledge with appreciation financial support from the Carnegie Bosch Institute at Carnegie Mellon University for this study.</t>
  </si>
  <si>
    <t>SEP-OCT</t>
  </si>
  <si>
    <t>10.1287/mksc.2015.0912</t>
  </si>
  <si>
    <t>CR9MX</t>
  </si>
  <si>
    <t>WOS:000361681300001</t>
  </si>
  <si>
    <t>Manchanda, P; Packard, G; Pattabhiramaiah, A</t>
  </si>
  <si>
    <t>Manchanda, Puneet; Packard, Grant; Pattabhiramaiah, Adithya</t>
  </si>
  <si>
    <t>Social Dollars: The Economic Impact of Customer Participation in a Firm-Sponsored Online Customer Community</t>
  </si>
  <si>
    <t>online customer communities; online customer behavior; social networks; user-generated content; retailing; field data</t>
  </si>
  <si>
    <t>WORD-OF-MOUTH; BRAND COMMUNITIES; SAMPLE SELECTION; ANTECEDENTS; IDENTITY; MODEL; TRUST; BIAS</t>
  </si>
  <si>
    <t>Many firms operate customer communities online. This is motivated by the belief that customers who join the community become more engaged with the firm and/or its products, and as a result, increase their economic activity with the firm. We describe this potential economic benefit as social dollars. This paper contributes evidence for the existence and source of social dollars using data from a multichannel entertainment products retailer that launched a customer community online. We find a significant increase in customer expenditures attributable to customers joining the firm's community. While self-selection is a concern with field data, we rule out multiple alternative explanations. Social dollars persist over the time period observed and arose primarily in the online channel. To assess the source of the social dollar, we hypothesize and test whether it is moderated by participation behaviors conceptually linked to common attributes of customer communities. Our results reveal that posters (versus lurkers) of community content and those with more (versus fewer) social ties in the community generated more (fewer) social dollars. We found a null effect for our measure of the informational advantage expected to accrue to products that differentially benefit from content posted by like-minded community members. This overall pattern of results suggests a stronger social than informational source of economic benefits for firm operators of customer communities. Several implications for firms considering investments in and/or managing online customer communities are discussed.</t>
  </si>
  <si>
    <t>[Manchanda, Puneet] Univ Michigan, Stephen M Ross Sch Business, Ann Arbor, MI 48109 USA; [Packard, Grant] Wilfrid Laurier Univ, Laurier Sch Business &amp; Econ, Waterloo, ON N2L 3C5, Canada; [Pattabhiramaiah, Adithya] Georgia Inst Technol, Scheller Coll Business, Atlanta, GA 30332 USA</t>
  </si>
  <si>
    <t>University of Michigan System; University of Michigan; Wilfrid Laurier University; University System of Georgia; Georgia Institute of Technology</t>
  </si>
  <si>
    <t>Manchanda, P (corresponding author), Univ Michigan, Stephen M Ross Sch Business, Ann Arbor, MI 48109 USA.</t>
  </si>
  <si>
    <t>pmanchan@umich.edu; gpackard@wlu.ca; adithyap@gatech.edu</t>
  </si>
  <si>
    <t>Pattabhiramaiah, Adithya/AAP-3742-2021</t>
  </si>
  <si>
    <t>10.1287/mksc.2014.0890</t>
  </si>
  <si>
    <t>CI4MW</t>
  </si>
  <si>
    <t>WOS:000354725000005</t>
  </si>
  <si>
    <t>Mathwick, C; Wiertz, C; De Ruyter, K</t>
  </si>
  <si>
    <t>Mathwick, Charla; Wiertz, Caroline; De Ruyter, Ko</t>
  </si>
  <si>
    <t>Social Capital Production in a Virtual P3 Community</t>
  </si>
  <si>
    <t>WORD-OF-MOUTH; NETNOGRAPHY; CULTURE; MARKET; TIES; INFORMATION; CONSUMPTION; SUBCULTURE; INDICATORS; NETWORKS</t>
  </si>
  <si>
    <t>The purpose of this study is to examine the relational norms that determine social capital-an intangible resource embedded in and accumulated through a specific social structure. The social structure examined in this study is a virtual community created through text-based conversations oriented toward peer-to-peer problem solving (P3). Empirical results support the conceptualization of social capital as an index composed of the normative influences of voluntarism, reciprocity, and social trust. Membership length was found to moderate the virtual P3 community experience. Qualitative analysis of the community dialogue provides additional support for the characterization of virtual P3 activity as community based.</t>
  </si>
  <si>
    <t>[Mathwick, Charla] Portland State Univ, Sch Business, Portland, OR 97207 USA; [Wiertz, Caroline] City Univ London, Cass Business Sch, London EC1Y 8TZ, England; [De Ruyter, Ko] Maastricht Univ, Fac Econ &amp; Business Adm, NL-6200 MD Maastricht, Netherlands</t>
  </si>
  <si>
    <t>Portland State University; City University London; Maastricht University</t>
  </si>
  <si>
    <t>Mathwick, C (corresponding author), Portland State Univ, Sch Business, Portland, OR 97207 USA.</t>
  </si>
  <si>
    <t>charlam@sba.pdx.edu; c.wiertz@city.ac.uk; k.deruyter@mw.unimaas.nl</t>
  </si>
  <si>
    <t>de Ruyter, Ko/AAA-9850-2021; Mathwick, Charla/ABG-3413-2020</t>
  </si>
  <si>
    <t>10.1086/523291</t>
  </si>
  <si>
    <t>364BI</t>
  </si>
  <si>
    <t>WOS:000260310800008</t>
  </si>
  <si>
    <t>McCarthy, DM; Fader, PS</t>
  </si>
  <si>
    <t>McCarthy, Daniel M.; Fader, Peter S.</t>
  </si>
  <si>
    <t>Customer-Based Corporate Valuation for Publicly Traded Noncontractual Firms</t>
  </si>
  <si>
    <t>customer equity; customer lifetime value; unit economics; valuation</t>
  </si>
  <si>
    <t>LINKING CUSTOMER; EQUITY; DIFFUSION; METRICS</t>
  </si>
  <si>
    <t>There is growing interest in customer-based corporate valuation-that is, explicitly tying the value of a firm's customer base to its overall financial valuation using publicly disclosed data. While much progress has been made in building a well-validated customer-based valuation model for contractual (or subscription-based) firms, there has been little progress for noncontractual firms. Noncontractual businesses have more complex transactional patterns because customer churn is not observed, and customer purchase timing and spend amounts are more irregular. Furthermore, publicly disclosed data are aggregated over time and across customers, are often censored, and may vary from firm to firm, making it harder to estimate models for customer acquisition, ordering, and spend per order. The authors develop a general customer-based valuation methodology for noncontractual firms that accounts for these issues. They apply this methodology to publicly disclosed data from e-commerce retailers Overstock.com and Wayfair, provide valuation point estimates and valuation intervals for the firms, and compare the unit economics of newly acquired customers.</t>
  </si>
  <si>
    <t>[McCarthy, Daniel M.] Emory Univ, Mkt, Goizueta Business Sch, Atlanta, GA 30322 USA; [Fader, Peter S.] Univ Penn, Mkt, Wharton Sch, Philadelphia, PA 19104 USA</t>
  </si>
  <si>
    <t>Emory University; University of Pennsylvania</t>
  </si>
  <si>
    <t>McCarthy, DM (corresponding author), Emory Univ, Mkt, Goizueta Business Sch, Atlanta, GA 30322 USA.</t>
  </si>
  <si>
    <t>daniel.mccarthy@emory.edu; faderp@wharton.upenn.edu</t>
  </si>
  <si>
    <t>Adobe Corporation through the Digital Marketing Research Award; American Statistical Association through the Doctoral Research Award; Baker Retailing Center; INFORMS Society for Marketing Science through the Doctoral Dissertation Award; Marketing Science Institute through the Alden Clayton Award; American Marketing Association through the John Howard Award</t>
  </si>
  <si>
    <t>The author(s) disclosed receipt of the following financial support for the research, authorship, and/or publication of this article: The authors acknowledge financial support from Adobe Corporation through the Digital Marketing Research Award, the American Statistical Association through the Doctoral Research Award, the Baker Retailing Center, the INFORMS Society for Marketing Science through the Doctoral Dissertation Award, the Marketing Science Institute through the Alden Clayton Award, and the American Marketing Association through the John Howard Award (honorable mention). The authors are grateful for the research assistantship of Elliot Oblander and Namita Nandakumar. They thank Wharton's Research Computing team for access to and support in the use of computing resources. The authors do not have any financial interest, direct or indirect, in the companies studied in the manuscript.</t>
  </si>
  <si>
    <t>10.1177/0022243718802843</t>
  </si>
  <si>
    <t>HC4NM</t>
  </si>
  <si>
    <t>WOS:000451780300001</t>
  </si>
  <si>
    <t>McQuarrie, EF; Miller, J; Phillips, BJ</t>
  </si>
  <si>
    <t>McQuarrie, Edward F.; Miller, Jessica; Phillips, Barbara J.</t>
  </si>
  <si>
    <t>The Megaphone Effect: Taste and Audience in Fashion Blogging</t>
  </si>
  <si>
    <t>CONSUMER CULTURE; CONSUMPTION; IDENTITY; SOCIOLOGY</t>
  </si>
  <si>
    <t>The megaphone effect refers to the fact that the web makes a mass audience potentially available to ordinary consumers. The article focuses on fashion bloggers who acquire an audience by iterated displays of aesthetic discrimination applied to the selection and combination of clothing. The authors offer a theoretical account of bloggers' success in terms of the accumulation of cultural capital via public displays of taste and describe how the exercise of taste produces economic rewards and social capital for these bloggers. The article situates fashion blogging as one instance of a larger phenomenon that includes online reviews and user-generated content and extends to the consumption of food and home decor as well as clothing. In these instances of the megaphone effect, a select few ordinary consumers are able to acquire an audience without the institutional mediation historically required.</t>
  </si>
  <si>
    <t>[McQuarrie, Edward F.] Santa Clara Univ, Santa Clara, CA 95053 USA; [Miller, Jessica] So Methodist Univ, Temerlin Advertising Inst, Dallas, TX 75205 USA; [Phillips, Barbara J.] Univ Saskatchewan, Saskatoon, SK S7N 5A7, Canada</t>
  </si>
  <si>
    <t>Santa Clara University; Southern Methodist University; University of Saskatchewan</t>
  </si>
  <si>
    <t>McQuarrie, EF (corresponding author), Santa Clara Univ, Santa Clara, CA 95053 USA.</t>
  </si>
  <si>
    <t>emcquarrie@scu.edu; jlmiller@smu.edu; bphillips@edwards.usask.ca</t>
  </si>
  <si>
    <t>10.1086/669042</t>
  </si>
  <si>
    <t>145YJ</t>
  </si>
  <si>
    <t>WOS:000319055700009</t>
  </si>
  <si>
    <t>Melumad, S; Inman, JJ; Pham, MT</t>
  </si>
  <si>
    <t>Melumad, Shiri; Inman, J. Jeffrey; Pham, Michel Tuan</t>
  </si>
  <si>
    <t>Selectively Emotional: How Smartphone Use Changes User-Generated Content</t>
  </si>
  <si>
    <t>affect; emotion; mobile marketing; natural language processing; social media; word of mouth</t>
  </si>
  <si>
    <t>WORD-OF-MOUTH; FUZZY-TRACE THEORY; FEELINGS; COMMUNICATION; RELEVANCE; GIST</t>
  </si>
  <si>
    <t>User-generated content has become ubiquitous and very influential in the marketplace. Increasingly, this content is generated on smartphones rather than personal computers (PCs). This article argues that because of its physically constrained nature, smartphone (vs. PC) use leads consumers to generate briefer content, which encourages them to focus on the overall gist of their experiences. This focus on gist, in turn, tends to manifest as reviews that emphasize the emotional aspects of an experience in lieu of more specific details. Across five studies-two field studies and three controlled experiments-the authors use natural language processing tools and human assessments to analyze the linguistic characteristics of user-generated content. The findings support the thesis that smartphone use results in the creation of content that is less specific and privileges affect-especially positive affect-relative to PC-generated content. The findings also show that differences in emotional content are driven by the tendency to generate briefer content on smartphones rather than user self-selection, differences in topical content, or timing of writing. Implications for research and practice are discussed.</t>
  </si>
  <si>
    <t>[Melumad, Shiri] Univ Penn, Wharton Sch, Mkt, Philadelphia, PA 19104 USA; [Inman, J. Jeffrey] Univ Pittsburgh, Katz Grad Sch Business, Mkt, Pittsburgh, PA 15260 USA; [Pham, Michel Tuan] Columbia Univ, Grad Sch Business, Business, New York, NY 10027 USA</t>
  </si>
  <si>
    <t>University of Pennsylvania; Pennsylvania Commonwealth System of Higher Education (PCSHE); University of Pittsburgh; Columbia University</t>
  </si>
  <si>
    <t>Melumad, S (corresponding author), Univ Penn, Wharton Sch, Mkt, Philadelphia, PA 19104 USA.</t>
  </si>
  <si>
    <t>melumad@wharton.upenn.edu; jinman@katz.pitt.edu; tdp4@columbia.edu</t>
  </si>
  <si>
    <t>Pham, Michel Tuan/AAE-5140-2020</t>
  </si>
  <si>
    <t>10.1177/0022243718815429</t>
  </si>
  <si>
    <t>HP6CS</t>
  </si>
  <si>
    <t>WOS:000461770900006</t>
  </si>
  <si>
    <t>Moe, WW; Schweidel, DA</t>
  </si>
  <si>
    <t>Moe, Wendy W.; Schweidel, David A.</t>
  </si>
  <si>
    <t>Online Product Opinions: Incidence, Evaluation, and Evolution</t>
  </si>
  <si>
    <t>online social media; word of mouth; social dynamics; Bayesian estimation; Internet marketing; user-generated content</t>
  </si>
  <si>
    <t>ELECTION NIGHT PROJECTIONS; BANDWAGON; SELECTION; DYNAMICS; UNDERDOG; RATINGS; CHOICE; POLLS; WEST</t>
  </si>
  <si>
    <t>Whereas recent research has demonstrated the impact of online product ratings and reviews on product sales, we still have a limited understanding of the individual's decision to contribute these opinions. In this research, we empirically model the individual's decision to provide a product rating and investigate factors that influence this decision. Specifically, we consider how previously posted ratings may affect an individual's posting behavior in terms of whether to contribute (incidence) and what to contribute (evaluation), and we identify selection effects that influence the incidence decision and adjustment effects that influence the evaluation decision. Across individuals, our results show that positive ratings environments increase posting incidence, whereas negative ratings environments discourage posting. Our results also indicate important differences across individuals in how they respond to previously posted ratings, with less frequent posters exhibiting bandwagon behavior and more active customers revealing differentiation behavior. These dynamics affect the evolution of online product opinions. Through simulations, we illustrate how the evolution of posted product opinions is shaped by the underlying customer base and show that customer bases with the same median opinion may evolve in substantially different ways because of the presence of a core group of activists posting increasingly negative opinions.</t>
  </si>
  <si>
    <t>[Moe, Wendy W.] Univ Maryland, Robert H Smith Sch Business, College Pk, MD 20472 USA; [Schweidel, David A.] Univ Wisconsin, Wisconsin Sch Business, Madison, WI 53706 USA</t>
  </si>
  <si>
    <t>University System of Maryland; University of Maryland College Park; University of Wisconsin System; University of Wisconsin Madison</t>
  </si>
  <si>
    <t>Moe, WW (corresponding author), Univ Maryland, Robert H Smith Sch Business, College Pk, MD 20472 USA.</t>
  </si>
  <si>
    <t>wmoe@rhsmith.umd.edu; dschweidel@bus.wisc.edu</t>
  </si>
  <si>
    <t>10.1287/mksc.1110.0662</t>
  </si>
  <si>
    <t>WOS:000304638000002</t>
  </si>
  <si>
    <t>Moe, WW; Trusov, M</t>
  </si>
  <si>
    <t>Moe, Wendy W.; Trusov, Michael</t>
  </si>
  <si>
    <t>The Value of Social Dynamics in Online Product Ratings Forums</t>
  </si>
  <si>
    <t>online word of mouth; ratings; reviews; social dynamics; hazard models; Internet marketing</t>
  </si>
  <si>
    <t>WORD-OF-MOUTH; REVIEWS; INFORMATION; SALES</t>
  </si>
  <si>
    <t>Research has shown that consumer online product ratings reflect both the customers' experience with the product and the influence of others' ratings. In this article, the authors measure the impact of social dynamics in the ratings environment on both subsequent rating behavior and product sales. First, they model the arrival of product ratings and separate the effects of social influences from the underlying (or baseline) ratings behavior. Second, the authors model product sales as a function of posted product ratings while decomposing ratings into a baseline rating, the contribution of social influence, and idiosyncratic error. This enables them to quantify the sales impact of observed social dynamics. The authors consider both the direct effects on sales and the indirect effects that result from the influence of dynamics on future ratings (and thus future sales). The results show that although ratings behavior is significantly influenced by previously posted ratings and can directly improve sales, the effects are relatively short lived once indirect effects are considered.</t>
  </si>
  <si>
    <t>[Moe, Wendy W.; Trusov, Michael] Univ Maryland, Robert H Smith Sch Business, College Pk, MD 20742 USA</t>
  </si>
  <si>
    <t>University System of Maryland; University of Maryland College Park</t>
  </si>
  <si>
    <t>Moe, WW (corresponding author), Univ Maryland, Robert H Smith Sch Business, College Pk, MD 20742 USA.</t>
  </si>
  <si>
    <t>wmoe@rhsmith.umd.edu; mtrusov@rhsmith.umd.edu</t>
  </si>
  <si>
    <t>10.1509/jmkr.48.3.444</t>
  </si>
  <si>
    <t>770HF</t>
  </si>
  <si>
    <t>WOS:000291076900003</t>
  </si>
  <si>
    <t>Mogilner, C; Kamvar, SD; Aaker, J</t>
  </si>
  <si>
    <t>Mogilner, Cassie; Kamvar, Sepandar D.; Aaker, Jennifer</t>
  </si>
  <si>
    <t>The Shifting Meaning of Happiness</t>
  </si>
  <si>
    <t>SOCIAL PSYCHOLOGICAL AND PERSONALITY SCIENCE</t>
  </si>
  <si>
    <t>happiness; hedonics; age; time; emotion</t>
  </si>
  <si>
    <t>TIME; LIFE; EXPERIENCE; HAPPIER; OTHERS; MONEY; AGE</t>
  </si>
  <si>
    <t>An examination of emotions reported on 12 million personal blogs along with a series of surveys and laboratory experiments shows that the meaning of happiness is not fixed; instead, it systematically shifts over the course of one's lifetime. Whereas younger people are more likely to associate happiness with excitement, as they get older, they become more likely to associate happiness with peacefulness. This change appears to be driven by a redirection of attention from the future to the present as people age. The dynamic of what happiness means has broad implications, from purchasing behavior to ways to increase one's happiness.</t>
  </si>
  <si>
    <t>[Mogilner, Cassie] Univ Penn, Wharton Sch, Philadelphia, PA 19104 USA; [Kamvar, Sepandar D.; Aaker, Jennifer] Stanford Univ, Palo Alto, CA 94304 USA</t>
  </si>
  <si>
    <t>University of Pennsylvania; Stanford University</t>
  </si>
  <si>
    <t>Mogilner, C (corresponding author), Univ Penn, Wharton Sch, Dept Mkt, 700 Huntsman Hall,3730 Walnut St, Philadelphia, PA 19104 USA.</t>
  </si>
  <si>
    <t>mogilner@wharton.upenn.edu</t>
  </si>
  <si>
    <t>1948-5506</t>
  </si>
  <si>
    <t>1948-5514</t>
  </si>
  <si>
    <t>SOC PSYCHOL PERS SCI</t>
  </si>
  <si>
    <t>Soc. Psychol. Personal Sci.</t>
  </si>
  <si>
    <t>10.1177/1948550610393987</t>
  </si>
  <si>
    <t>V33AS</t>
  </si>
  <si>
    <t>WOS:000208992300009</t>
  </si>
  <si>
    <t>Molner, S; Prabhu, JC; Yadav, MS</t>
  </si>
  <si>
    <t>Molner, Sven; Prabhu, Jaideep C.; Yadav, Manjit S.</t>
  </si>
  <si>
    <t>Lost in a Universe of Markets: Toward a Theory of Market Scoping for Early-Stage Technologies</t>
  </si>
  <si>
    <t>early-stage technology; market ambiguity; technology commercialization; entrepreneurship; innovation</t>
  </si>
  <si>
    <t>PRIOR KNOWLEDGE; INNOVATION; ENTREPRENEURIAL; OPPORTUNITIES; DISCOVERY; CREATION; SCIENCE; COLLABORATION; DETERMINANTS; UNCERTAINTY</t>
  </si>
  <si>
    <t>This article examines market scoping for early-stage technologies, a fundamental yet underexplored marketing activity. Market scoping refers to managerial activities directed at the identification of market spaces for early-stage technologies. This discovery-oriented research aimed at theory development draws on an extensive, multiyear database of email trails and archival records detailing market-scoping efforts for early-stage technologies emerging from a global research university. From this longitudinal database, the authors provide an in-depth examination of managers' market space decisions and advance an initial theory of market scoping. They isolate managers' market-scoping mindse-which manifests as market ambiguity avoidance or acceptanceas-a key explanatory construct shaping market space decisions and outcomes. Market ambiguity avoidance results in managers' downstream orientation toward end users; this mindset, counterintuitively, may lead to technology commercialization failure. In contrast, market ambiguity acceptance results in managers' upstream orientation; this mindset directs attention away from end users but helps uncover indirect paths to viable market spaces. This article lays the groundwork for advancing marketing research in the context of early-stage technology commercialization.</t>
  </si>
  <si>
    <t>[Molner, Sven] Goldsmiths Univ London, Mkt, London, England; [Prabhu, Jaideep C.] Univ Cambridge, Mkt, Cambridge Judge Business Sch, Cambridge, England; [Prabhu, Jaideep C.] Univ Cambridge, Indian Business &amp; Enterprise, Cambridge Judge Business Sch, Cambridge, England; [Yadav, Manjit S.] Texas A&amp;M Univ, Mkt, College Stn, TX 77843 USA; [Yadav, Manjit S.] Texas A&amp;M Univ, Mays Business Sch, College Stn, TX 77843 USA</t>
  </si>
  <si>
    <t>University of London; Goldsmiths University London; University of Cambridge; University of Cambridge; Texas A&amp;M University System; Texas A&amp;M University College Station; Texas A&amp;M University System; Texas A&amp;M University College Station; Mays Business School</t>
  </si>
  <si>
    <t>Molner, S (corresponding author), Goldsmiths Univ London, Mkt, London, England.</t>
  </si>
  <si>
    <t>s.molner@gold.ac.uk; j.prabhu@jbs.cam.ac.uk; myadav@mays.tamu.edu</t>
  </si>
  <si>
    <t>Swiss National Science Foundation</t>
  </si>
  <si>
    <t>Swiss National Science Foundation(Swiss National Science Foundation (SNSF)European Commission)</t>
  </si>
  <si>
    <t>The author(s) disclosed receipt of the following financial support for the research, authorship, and/or publication of this article: The research was supported by a grant from the Swiss National Science Foundation.</t>
  </si>
  <si>
    <t>10.1177/0022242918813308</t>
  </si>
  <si>
    <t>HK6SD</t>
  </si>
  <si>
    <t>Green Accepted, Green Submitted</t>
  </si>
  <si>
    <t>WOS:000458113200003</t>
  </si>
  <si>
    <t>Moon, S; Kamakura, WA</t>
  </si>
  <si>
    <t>Moon, Sangkil; Kamakura, Wagner A.</t>
  </si>
  <si>
    <t>A picture is worth a thousand words: Translating product reviews into a product positioning map</t>
  </si>
  <si>
    <t>Online product reviews; Product positioning map; Text mining; Psychometrics; Experience products; Consumer segmentation</t>
  </si>
  <si>
    <t>ONLINE CUSTOMER REVIEWS; MARKETING-RESEARCH; IMPACT; BRAND</t>
  </si>
  <si>
    <t>Product reviews are becoming ubiquitous on the Web, representing a rich source of consumer information on a wide range of product categories (e.g., wines and hotels). Importantly, a product review reflects not only the perception and preference for a product, but also the acuity, bias, and writing style of the reviewer. This reviewer aspect has been overlooked in past studies that have drawn inferences about brands from online product reviews. Our framework combines ontology learning-based text mining and psychometric techniques to translate online product reviews into a product positioning map, while accounting for the idiosyncratic responses and writing styles of individual reviewers or a manageable number of reviewer groups (i.e., meta-reviewers). Our empirical illustrations using wine and hotel reviews demonstrate that a product review reveals information about the reviewer (for the wine example with a small number of expert reviewers) or the meta-reviewer (for the hotel example with an enormous number of reviewers reduced to a manageable number of meta-reviewers), as well as about the product under review. From a managerial perspective, product managers can use our framework focusing on meta-reviewers (e.g., traveler types and hotel reservation websites in our hotel example) as a way to obtain insights into their consumer segmentation strategy. (C) 2016 Elsevier B.V. All rights reserved.</t>
  </si>
  <si>
    <t>[Moon, Sangkil] Univ North Carolina Charlotte, Charlotte, NC 28223 USA; [Kamakura, Wagner A.] Rice Univ, Jones Grad Sch Business, 6100 Main St, Houston, TX 77005 USA</t>
  </si>
  <si>
    <t>University of North Carolina; University of North Carolina Charlotte; Rice University</t>
  </si>
  <si>
    <t>Moon, S (corresponding author), Univ North Carolina Charlotte, Charlotte, NC 28223 USA.</t>
  </si>
  <si>
    <t>smoon13@uncc.edu; kamakura@rice.edu</t>
  </si>
  <si>
    <t>Moon, Sangkil/0000-0002-4883-0498</t>
  </si>
  <si>
    <t>10.1016/j.ijresmar.2016.05.007</t>
  </si>
  <si>
    <t>ES8ZB</t>
  </si>
  <si>
    <t>WOS:000399844500015</t>
  </si>
  <si>
    <t>Moorman, C; van Heerde, HJ; Moreau, CP; Palmatier, RW</t>
  </si>
  <si>
    <t>Moorman, Christine; van Heerde, Harald J.; Moreau, C. Page; Palmatier, Robert W.</t>
  </si>
  <si>
    <t>JM as a Marketplace of Ideas</t>
  </si>
  <si>
    <t>Editorial Material</t>
  </si>
  <si>
    <t>[Moorman, Christine] Duke Univ, Business Adm, Fuqua Sch Business, Durham, NC 27706 USA; [van Heerde, Harald J.] Univ New South Wales, Mkt, Sydney, NSW, Australia; [van Heerde, Harald J.] Tilburg Univ, Tilburg, Netherlands; [Moreau, C. Page] Univ Wisconsin Madison, Mkt, Wisconsin Sch Business, Madison, WI USA; [Moreau, C. Page] Univ Wisconsin Madison, Ctr Brand &amp; Prod Management, Wisconsin Sch Business, Madison, WI USA; [Palmatier, Robert W.] Univ Washington, Foster Sch Business, Mkt, Seattle, WA USA; [Palmatier, Robert W.] Univ Washington, Foster Sch Business, Business Adm, Seattle, WA USA</t>
  </si>
  <si>
    <t>Duke University; University of New South Wales Sydney; Tilburg University; University of Wisconsin System; University of Wisconsin Madison; University of Wisconsin System; University of Wisconsin Madison; University of Washington; University of Washington Seattle; University of Washington; University of Washington Seattle</t>
  </si>
  <si>
    <t>Moorman, C (corresponding author), Duke Univ, Business Adm, Fuqua Sch Business, Durham, NC 27706 USA.</t>
  </si>
  <si>
    <t>moorman@duke.edu; h.vanheerde@unsw.edu.au; page.moreau@wisc.edu; palmatrw@uw.edu</t>
  </si>
  <si>
    <t>van Heerde, Harald J/A-7314-2010</t>
  </si>
  <si>
    <t>van Heerde, Harald J/0000-0001-6767-7591</t>
  </si>
  <si>
    <t>10.1177/0022242918818404</t>
  </si>
  <si>
    <t>HE4YL</t>
  </si>
  <si>
    <t>WOS:000453375700001</t>
  </si>
  <si>
    <t>Muniz, AM; O'Guinn, TC</t>
  </si>
  <si>
    <t>Brand community</t>
  </si>
  <si>
    <t>CONSUMER RESEARCH; CONSUMPTION; PRODUCT; NETWORKS</t>
  </si>
  <si>
    <t>This article introduces the idea of brand community. A brand community is a specialized, non-geographically bound community, based on a structured set of social relations among admirers of a brand. Grounded in both classic and contemporary sociology and consumer behavior, this article uses ethnographic and computer mediated environment data to explore the characteristics, processes, and particularities of three brand communities (those centered on Ford Bronco, Macintosh, and Saab). These brand communities exhibit three traditional markers of community: shared consciousness, rituals and traditions, and a sense of moral responsibility. The commercial and mass-mediated ethos in which these communities are situated affects their character and structure and gives rise to their particularities. Implications for branding, sociological theories of community, and consumer behavior are offered.</t>
  </si>
  <si>
    <t>DePaul Univ, DePaul Ctr 7510, Chicago, IL 60604 USA; Univ Illinois, Urbana, IL 61801 USA</t>
  </si>
  <si>
    <t>DePaul University; University of Illinois System; University of Illinois Urbana-Champaign</t>
  </si>
  <si>
    <t>Muniz, AM (corresponding author), DePaul Univ, DePaul Ctr 7510, 1 E Jackson Blvd, Chicago, IL 60604 USA.</t>
  </si>
  <si>
    <t>10.1086/319618</t>
  </si>
  <si>
    <t>415EX</t>
  </si>
  <si>
    <t>WOS:000167708800002</t>
  </si>
  <si>
    <t>Narayanan, S; Desiraju, R; Chintagunta, PK</t>
  </si>
  <si>
    <t>Return on investment implications for pharmaceutical promotional expenditures: The role of marketing-mix interactions</t>
  </si>
  <si>
    <t>CONSUMER BRAND CHOICE; EMPIRICAL-ANALYSIS; MODELS; IMPACT; SALES; PRICE</t>
  </si>
  <si>
    <t>The authors empirically explore the revenue impact of marketing-mix variables and their interactions. The findings include the following: pharmaceutical direct-to-consumer advertising and detailing (sales force) affect demand synergistically, detailing raises price elasticity, and detailing has a higher return on investment than does direct-to-consumer advertising. The authors also discuss other implications and provide future research directions.</t>
  </si>
  <si>
    <t>Univ Chicago, Grad Sch Business, Chicago, IL 60637 USA; Univ Cent Florida, Coll Business Adm, Dept Mkt, Orlando, FL 32816 USA</t>
  </si>
  <si>
    <t>University of Chicago; State University System of Florida; University of Central Florida</t>
  </si>
  <si>
    <t>Narayanan, S (corresponding author), Univ Chicago, Grad Sch Business, Chicago, IL 60637 USA.</t>
  </si>
  <si>
    <t>sridhar@uchicago.edu; rdesiraju@bus.ucf.edu; pradeep.chintagunta@gsb.uchicago.edu</t>
  </si>
  <si>
    <t>Desiraju, Ramarao/H-1912-2011; Chintagunta, Pradeep K/A-4764-2017</t>
  </si>
  <si>
    <t>Chintagunta, Pradeep/0000-0003-2854-5216</t>
  </si>
  <si>
    <t>10.1509/jmkg.68.4.90.42734</t>
  </si>
  <si>
    <t>863DG</t>
  </si>
  <si>
    <t>WOS:000224540200008</t>
  </si>
  <si>
    <t>Netzer, O; Feldman, R; Goldenberg, J; Fresko, M</t>
  </si>
  <si>
    <t>Netzer, Oded; Feldman, Ronen; Goldenberg, Jacob; Fresko, Moshe</t>
  </si>
  <si>
    <t>Mine Your Own Business: Market-Structure Surveillance Through Text Mining</t>
  </si>
  <si>
    <t>text mining; user-generated content; market structure; marketing research</t>
  </si>
  <si>
    <t>WORD-OF-MOUTH; BOX-OFFICE; INFORMATION; DISCOVERY; INFERENCE; REVIEWS; SALES; POWER</t>
  </si>
  <si>
    <t>Web 2.0 provides gathering places for Internet users in blogs, forums, and chat rooms. These gathering places leave footprints in the form of colossal amounts of data regarding consumers' thoughts, beliefs, experiences, and even interactions. In this paper, we propose an approach for firms to explore online user-generated content and listen to what customers write about their and their competitors' products. Our objective is to convert the user-generated content to market structures and competitive landscape insights. The difficulty in obtaining such market-structure insights from online user-generated content is that consumers' postings are often not easy to syndicate. To address these issues, we employ a text-mining approach and combine it with semantic network analysis tools. We demonstrate this approach using two cases-sedan cars and diabetes drugs-generating market-structure perceptual maps and meaningful insights without interviewing a single consumer. We compare a market structure based on user-generated content data with a market structure derived from more traditional sales and survey-based data to establish validity and highlight meaningful differences.</t>
  </si>
  <si>
    <t>[Netzer, Oded] Columbia Univ, Grad Sch Business, New York, NY 10027 USA; [Feldman, Ronen] Hebrew Univ Jerusalem, Sch Business Adm, Internet Studies Dept, IL-91905 Jerusalem, Israel; [Goldenberg, Jacob] Columbia Business Sch, New York, NY 10027 USA</t>
  </si>
  <si>
    <t>Columbia University; Hebrew University of Jerusalem; Columbia University</t>
  </si>
  <si>
    <t>Netzer, O (corresponding author), Columbia Univ, Grad Sch Business, New York, NY 10027 USA.</t>
  </si>
  <si>
    <t>on2110@columbia.edu; ronen.feldman@huji.ac.il; msgolden@huji.ac.il; freskom@gmail.com</t>
  </si>
  <si>
    <t>10.1287/mksc.1120.0713</t>
  </si>
  <si>
    <t>WOS:000304638000009</t>
  </si>
  <si>
    <t>Netzer, O; Lemaire, A; Herzenstein, M</t>
  </si>
  <si>
    <t>Netzer, Oded; Lemaire, Alain; Herzenstein, Michal</t>
  </si>
  <si>
    <t>When Words Sweat: Identifying Signals for Loan Default in the Text of Loan Applications</t>
  </si>
  <si>
    <t>consumer finance; loan default; machine learning; text mining</t>
  </si>
  <si>
    <t>LANGUAGE USE; PERSONALITY; DECEPTION; CONSEQUENCES; MONEY; LIFE; DISCRIMINATION; NARRATIVES; GENDER; TELL</t>
  </si>
  <si>
    <t>The authors present empirical evidence that borrowers, consciously or not, leave traces of their intentions, circumstances, and personality traits in the text they write when applying for a loan. This textual information has a substantial and significant ability to predict whether borrowers will pay back the loan above and beyond the financial and demographic variables commonly used in models predicting default. The authors use text-mining and machine learning tools to automatically process and analyze the raw text in over 120,000 loan requests from Prosper, an online crowdfunding platform. Including in the predictive model the textual information in the loan significantly helps predict loan default and can have substantial financial implications. The authors find that loan requests written by defaulting borrowers are more likely to include words related to their family, mentions of God, the borrower's financial and general hardship, pleading lenders for help, and short-term-focused words. The authors further observe that defaulting loan requests are written in a manner consistent with the writing styles of extroverts and liars.</t>
  </si>
  <si>
    <t>[Netzer, Oded] Columbia Univ, Business, Columbia Business Sch, New York, NY 10027 USA; [Lemaire, Alain] Columbia Univ, Columbia Business Sch, New York, NY 10027 USA; [Herzenstein, Michal] Univ Delaware, Lerner Coll Business &amp; Econ, Mkt, Newark, DE 19716 USA</t>
  </si>
  <si>
    <t>Columbia University; Columbia University; University of Delaware</t>
  </si>
  <si>
    <t>Netzer, O (corresponding author), Columbia Univ, Business, Columbia Business Sch, New York, NY 10027 USA.</t>
  </si>
  <si>
    <t>onetzer@gsb.columbia.edu; alemaire18@gsb.columbia.edu; michalh@udel.edu</t>
  </si>
  <si>
    <t>Columbia Business School; Lerner College at the University of Delaware</t>
  </si>
  <si>
    <t>The author(s) disclosed receipt of the following financial support for the research, authorship, and/or publication of this article: Financial support from Columbia Business School and Lerner College at the University of Delaware is greatly appreciated.</t>
  </si>
  <si>
    <t>10.1177/0022243719852959</t>
  </si>
  <si>
    <t>WOS:000500198400004</t>
  </si>
  <si>
    <t>Ordenes, FV; Grewal, D; Ludwig, S; De Ruyter, K; Mahr, D; Wetzels, M</t>
  </si>
  <si>
    <t>Ordenes, Francisco Villarroel; Grewal, Dhruv; Ludwig, Stephan; De Ruyter, Ko; Mahr, Dominik; Wetzels, Martin</t>
  </si>
  <si>
    <t>Cutting through Content Clutter: How Speech and Image Acts Drive Consumer Sharing of Social Media Brand Messages</t>
  </si>
  <si>
    <t>consumer sharing; brand communications; social media; speech act theory; rhetoric; image acts; text mining; message dynamics</t>
  </si>
  <si>
    <t>SENTIMENT; LANGUAGE; DISCOURSE; REPETITION; ATTENTION; REVIEWS; IMPACT; STYLE; TASTE</t>
  </si>
  <si>
    <t>Consumer-to-consumer brand message sharing is pivotal for effective social media marketing. Even as companies join social media conversations and generate millions of brand messages, it remains unclear what, how, and when brand messages stand out and prompt sharing by consumers. With a conceptual extension of speech act theory, this study offers a granular assessment of brands' message intentions (i.e., assertive, expressive, or directive) and the effects on consumer sharing. A text mining study of more than two years of Facebook posts and Twitter tweets by well-known consumer brands empirically demonstrates the impacts of distinct message intentions on consumers' message sharing. Specifically, the use of rhetorical styles (alliteration and repetitions) and cross-message compositions enhance consumer message sharing. As a further extension, an image-based study demonstrates that the presence of visuals, or so-called image acts, increases the ability to account for message sharing. The findings explicate brand message sharing by consumers and thus offer guidance to content managers for developing more effective conversational strategies in social media marketing.</t>
  </si>
  <si>
    <t>[Ordenes, Francisco Villarroel] Univ Massachusetts Amherst, Isenberg Sch Management, Dept Mkt, Mkt, 121 Presidents Dr, Amherst, MA 01003 USA; [Grewal, Dhruv] Babson Coll, Commerce &amp; Elect Business, Babson Pk, MA 02457 USA; [Grewal, Dhruv] Babson Coll, Mkt, Babson Pk, MA 02457 USA; [Ludwig, Stephan] Univ Surrey, Dept Retail Mkt &amp; Management, Mkt, Surrey GU2 7XH, England; [De Ruyter, Ko] City Univ London, Cass Business Sch, Mkt &amp; Head Discipline, 106 Bunhill Row, London EC1Y 8TZ, England; [De Ruyter, Ko] UNSW Sydney, UNSW Business Sch, Mkt, Sydney, NSW, Australia; [Mahr, Dominik] Maastricht Univ, Dept Mkt &amp; Supply Chain Management, Sch Business &amp; Econ, Mkt, Tongersestr 53, NL-6211 LM Maastricht, Netherlands; [Wetzels, Martin] Maastricht Univ, Dept Mkt &amp; Supply Chain Management, Sch Business &amp; Econ, Mkt &amp; Supply Chain Res, Tongersestr 53, NL-6211 LM Maastricht, Netherlands; [Wetzels, Martin] Univ Waikato, Waikato Management Sch, Hamilton, New Zealand</t>
  </si>
  <si>
    <t>University of Massachusetts System; University of Massachusetts Amherst; Babson College; Babson College; University of Surrey; City University London; University of New South Wales Sydney; Maastricht University; Maastricht University; University of Waikato</t>
  </si>
  <si>
    <t>Ordenes, FV (corresponding author), Univ Massachusetts Amherst, Isenberg Sch Management, Dept Mkt, Mkt, 121 Presidents Dr, Amherst, MA 01003 USA.</t>
  </si>
  <si>
    <t>fvillarroelo@isenberg.umass.edu; dgrewal@babson.edu; s.ludwig@westminster.ac.uk; Ko.De-Ruyter.1@city.ac.uk; d.mahr@maastrichtuniversity.nl; m.wetzels@maastrichtuniversity.nl</t>
  </si>
  <si>
    <t>Wetzels, Martin/AAA-9399-2019; de Ruyter, Ko/AAA-9850-2021; Grewal, Dhruv/B-7264-2013</t>
  </si>
  <si>
    <t>Wetzels, Martin/0000-0001-8569-5320; Grewal, Dhruv/0000-0002-7046-6063; Ludwig, Stephan/0000-0001-5894-6294</t>
  </si>
  <si>
    <t>10.1093/jcr/ucy032</t>
  </si>
  <si>
    <t>IS2JJ</t>
  </si>
  <si>
    <t>Green Submitted, Green Published, Green Accepted</t>
  </si>
  <si>
    <t>WOS:000481978500006</t>
  </si>
  <si>
    <t>Ordenes, FV; Ludwig, S; De Ruyter, K; Grewal, D; Wetzels, M</t>
  </si>
  <si>
    <t>Ordenes, Francisco Villarroel; Ludwig, Stephan; De Ruyter, Ko; Grewal, Dhruv; Wetzels, Martin</t>
  </si>
  <si>
    <t>Unveiling What Is Written in the Stars: Analyzing Explicit, Implicit, and Discourse Patterns of Sentiment in Social Media</t>
  </si>
  <si>
    <t>consumer sentiment; speech act theory; text mining; online reviews; sales ranks; social media</t>
  </si>
  <si>
    <t>LANGUAGE; REVIEWS; WORDS; DYNAMICS; STRENGTH; FEEDBACK; EMOTION; PRODUCT; MODEL</t>
  </si>
  <si>
    <t>Deciphering consumers' sentiment expressions from big data (e.g., online reviews) has become a managerial priority to monitor product and service evaluations. However, sentiment analysis, the process of automatically distilling sentiment from text, provides little insight regarding the language granularities beyond the use of positive and negative words. Drawing on speech act theory, this study provides a fine-grained analysis of the implicit and explicit language used by consumers to express sentiment in text. An empirical text-mining study using more than 45,000 consumer reviews demonstrates the differential impacts of activation levels (e.g., tentative language), implicit sentiment expressions (e.g., commissive language), and discourse patterns (e.g., incoherence) on overall consumer sentiment (i.e., star ratings). In two follow-up studies, we demonstrate that these speech act features also influence the readers' behavior and are generalizable to other social media contexts, such as Twitter and Facebook. We contribute to research on consumer sentiment analysis by offering a more nuanced understanding of consumer sentiments and their implications.</t>
  </si>
  <si>
    <t>[Ordenes, Francisco Villarroel] Univ Massachusetts Amherst, Mkt, Isenberg Sch Management, Dept Mkt, 121 Presidents Dr, Amherst, MA 01003 USA; [Ludwig, Stephan] Univ Surrey, Mkt, Dept Retail Mkt &amp; Management, Guildford GU2 7XH, Surrey, England; [De Ruyter, Ko] City Univ London, Cass Business Sch, Mkt, 106 Bunhill Row, London EC1Y 8TZ, England; [Grewal, Dhruv] Babson Coll, Commerce &amp; Elect Business, Babson Pk, MA 02457 USA; [Grewal, Dhruv] Babson Coll, Mkt, Babson Pk, MA 02457 USA; [Wetzels, Martin] Maastricht Univ, Mkt &amp; Supply Chain Res, Sch Business &amp; Econ, Dept Mkt &amp; Supply Chain Management, Tongersestr 53, NL-6211 LM Maastricht, Netherlands</t>
  </si>
  <si>
    <t>University of Massachusetts System; University of Massachusetts Amherst; University of Surrey; City University London; Babson College; Babson College; Maastricht University</t>
  </si>
  <si>
    <t>Ordenes, FV (corresponding author), Univ Massachusetts Amherst, Mkt, Isenberg Sch Management, Dept Mkt, 121 Presidents Dr, Amherst, MA 01003 USA.</t>
  </si>
  <si>
    <t>fvillarroelo@isenberg.umass.edu; s.ludwig@surrey.ac.uk; Ko.De-Ruyter.1@city.ac.uk; dgrewal@babson.edu; m.wetzels@maastrichtuniversity.nl</t>
  </si>
  <si>
    <t>Grewal, Dhruv/B-7264-2013; Wetzels, Martin/AAA-9399-2019; de Ruyter, Ko/AAA-9850-2021</t>
  </si>
  <si>
    <t>Grewal, Dhruv/0000-0002-7046-6063; Wetzels, Martin/0000-0001-8569-5320; Ludwig, Stephan/0000-0001-5894-6294</t>
  </si>
  <si>
    <t>10.1093/jcr/ucw070</t>
  </si>
  <si>
    <t>EQ7TU</t>
  </si>
  <si>
    <t>WOS:000398288100001</t>
  </si>
  <si>
    <t>Packard, G; Berger, J</t>
  </si>
  <si>
    <t>Packard, Grant; Berger, Jonah</t>
  </si>
  <si>
    <t>How Language Shapes Word of Mouth's Impact</t>
  </si>
  <si>
    <t>word of mouth; language; persuasion; consumer knowledge; social perception</t>
  </si>
  <si>
    <t>OF-MOUTH; CONSUMER KNOWLEDGE; SOURCE CREDIBILITY; ONLINE REVIEWS; PERSUASION; CHOICE; RECOMMENDATIONS; INVOLVEMENT; EXPERTISE; COMMUNICATION</t>
  </si>
  <si>
    <t>Word of mouth affects consumer behavior, but how does the language used in word of mouth shape that impact? Might certain types of consumers be more likely to use certain types of language, affecting whose words have more influence? Five studies, including textual analysis of more than 1,000 online reviews, demonstrate that compared to more implicit endorsements (e.g., I liked it,  I enjoyed it),explicit endorsements (e.g., I recommend it) are more persuasive and increase purchase intent. This occurs because explicit endorsers are perceived to like the product more and have more expertise. Looking at the endorsement language consumers actually use, however, shows that while consumer knowledge does affect endorsement style, its effect actually works in the opposite direction. Because novices are less aware that others have heterogeneous product preferences, they are more likely to use explicit endorsements. Consequently, the endorsement styles novices and experts tend to use may lead to greater persuasion by novices. These findings highlight the important role that language, and endorsement styles in particular, plays in shaping the effects of word of mouth.</t>
  </si>
  <si>
    <t>[Packard, Grant] Wilfrid Laurier Univ, Lazaridis Sch Business &amp; Econ, Mkt, Waterloo, ON, Canada; [Berger, Jonah] Univ Penn, Wharton Sch, Mkt, Philadelphia, PA 19104 USA</t>
  </si>
  <si>
    <t>Wilfrid Laurier University; University of Pennsylvania</t>
  </si>
  <si>
    <t>Packard, G (corresponding author), Wilfrid Laurier Univ, Lazaridis Sch Business &amp; Econ, Mkt, Waterloo, ON, Canada.</t>
  </si>
  <si>
    <t>gpackard@wlu.ca; jberger@wharton.upenn.edu</t>
  </si>
  <si>
    <t>10.1509/jmr.15.0248</t>
  </si>
  <si>
    <t>FG9UE</t>
  </si>
  <si>
    <t>WOS:000410784500005</t>
  </si>
  <si>
    <t>Packard, G; Moore, SG; Mcferran, B</t>
  </si>
  <si>
    <t>Packard, Grant; Moore, Sarah G.; Mcferran, Brent</t>
  </si>
  <si>
    <t>(I'm) Happy to Help (You): The Impact of Personal Pronoun Use in Customer-Firm Interactions</t>
  </si>
  <si>
    <t>language; social perception; customer service; personal selling; pronouns</t>
  </si>
  <si>
    <t>SERVICE; LANGUAGE; ORIENTATION; PERCEPTIONS; BEHAVIOR; MODEL; COMMUNICATION; CONSEQUENCES; SATISFACTION; HELPFULNESS</t>
  </si>
  <si>
    <t>In responding to customer questions or complaints, shouldmarketing agents linguistically put the customer first by using certain personal pronouns? Customer orientation theory, managerial literature, and surveys of managers, customer service representatives, and consumers suggest that firm agents should emphasize how we (the firm) serve you (the customer), while de-emphasizing I (the agent) in these customer-firm interactions. The authors find evidence of this language pattern in use at over 40 firms. However, they theorize and demonstrate that these personal pronoun emphases are often suboptimal. Five studies using lab experiments and field data reveal that firm agents who refer to themselves using I rather than we pronouns increase customers' perceptions that the agent feels and acts on their behalf. In turn, these positive perceptions of empathy and agency lead to increased customer satisfaction, purchase intentions, and purchase behavior. Furthermore, the authors find that customer-referencing you pronouns have little impact on these outcomes and can sometimes have negative consequences. These findings enhance understanding of how, when, and why language use affects social perception and behavior and provide valuable insights for marketers.</t>
  </si>
  <si>
    <t>[Packard, Grant] Wilfrid Laurier Univ, Lazaridis Sch Business &amp; Econ, Mkt, Waterloo, ON, Canada; [Moore, Sarah G.] Univ Alberta, Alberta Sch Business, Mkt, Edmonton, AB, Canada; [Mcferran, Brent] Simon Fraser Univ, Beedie Sch Business, Mkt, Burnaby, BC, Canada</t>
  </si>
  <si>
    <t>Wilfrid Laurier University; University of Alberta; Simon Fraser University</t>
  </si>
  <si>
    <t>gpackard@wlu.ca; sarah.g.moore@ualberta.ca; brent.mcferran@sfu.ca</t>
  </si>
  <si>
    <t>Moore, Sarah/0000-0002-8832-1444</t>
  </si>
  <si>
    <t>Social Sciences and Humanities Council of Canada</t>
  </si>
  <si>
    <t>Social Sciences and Humanities Council of Canada(Social Sciences and Humanities Research Council of Canada (SSHRC))</t>
  </si>
  <si>
    <t>The authors thank seminar or symposium participants at the following universities for their feedback: University of Alberta, University of California-Berkeley, University of Canterbury, Catolica-Lisbon School of Business &amp; Economics, University of Cincinnati, University of Guelph, Hong Kong Polytechnic University, University of Houston, University of Miami, Nanyang Technological University, University of San Diego, University of Southern California, Stanford University, University of Toronto, University of Utah, Vanderbilt University, Victoria University of Wellington, and York University. Thanks also to Annie Moore for her pronoun wizardry; Jim Bettman, Avni Shah, and the JMR review team for insightful suggestions; and Avi Goldfarb and an anonymous firm for the field data in Study 1. Funding support from the Social Sciences and Humanities Council of Canada is gratefully acknowledged.</t>
  </si>
  <si>
    <t>10.1509/jmr.16.0118</t>
  </si>
  <si>
    <t>GN7DB</t>
  </si>
  <si>
    <t>WOS:000439284200006</t>
  </si>
  <si>
    <t>Palmatier, RW; Dant, RR; Grewal, D</t>
  </si>
  <si>
    <t>Palmatier, Robert W.; Dant, Rajiv R.; Grewal, Dhruv</t>
  </si>
  <si>
    <t>A comparative longitudinal analysis of theoretical perspectives of interorganizational relationship performance</t>
  </si>
  <si>
    <t>INTERFIRM RELATIONSHIPS; SUPPLIER RELATIONSHIPS; EMPIRICAL-TEST; JOINT ACTION; COMMITMENT; TRUST; DETERMINANTS; INVESTMENTS; CHANNELS; NORMS</t>
  </si>
  <si>
    <t>Four theoretical perspectives currently dominate attempts to understand the drivers of successful interorganizational relationship performance: (1) commitment-trust, (2) dependence, (3) transaction cost economics, and (4) relational norms. Each perspective specifies a different set and distinct causal ordering of focal constructs as the most critical for understanding performance. Using four years of longitudinal data (N = 396), the authors compare the relative efficacy of these four perspectives for driving exchange performance and provide empirical insights into the causal ordering among key interorganizational constructs. The results demonstrate the parallel and equally important roles of commitment-trust and relationship-specific investments as immediate precursors to and key drivers of exchange performance. Building on the insights gleaned from tests of the four frameworks, the authors parsimoniously integrate these perspectives within a single model of interfirm relationship performance consistent with a resource-based view of an exchange. Managers may be able to increase performance by shifting resources from relationship building to specific investments targeted toward increasing the efficacy or effectiveness of the relationship itself to improve the relationship's ability to create value. Moderation analysis indicates that managers may find it productive to allocate more relationship marketing efforts and investments to exchanges in markets with higher levels of uncertainty.</t>
  </si>
  <si>
    <t>Univ Washington, Dept Mkt &amp; Int Business, Seattle, WA 98195 USA; Univ S Florida, Coll Business Adm, Tampa, FL 33620 USA; Babson Coll, Toyota Chair Commerce &amp; Elect Business, Babson Pk, MA 02157 USA</t>
  </si>
  <si>
    <t>University of Washington; University of Washington Seattle; State University System of Florida; University of South Florida; Babson College</t>
  </si>
  <si>
    <t>Palmatier, RW (corresponding author), Univ Washington, Dept Mkt &amp; Int Business, Seattle, WA 98195 USA.</t>
  </si>
  <si>
    <t>palmatrw@u.washington.edu; rdant@coba.usf.edu; dgrewal@babson.edu</t>
  </si>
  <si>
    <t>Mak, M.K./N-1520-2013; Grewal, Dhruv/B-7264-2013</t>
  </si>
  <si>
    <t>Mak, M.K./0000-0001-5997-4166; Grewal, Dhruv/0000-0002-7046-6063</t>
  </si>
  <si>
    <t>10.1509/jmkg.71.4.172</t>
  </si>
  <si>
    <t>222SF</t>
  </si>
  <si>
    <t>WOS:000250316600011</t>
  </si>
  <si>
    <t>Pennebaker, JW</t>
  </si>
  <si>
    <t>Pennebaker, James W.</t>
  </si>
  <si>
    <t>THE SECRET LIFE OF PRONOUNS</t>
  </si>
  <si>
    <t>NEW SCIENTIST</t>
  </si>
  <si>
    <t>Univ Texas Austin, Dept Psychol, Austin, TX 78712 USA</t>
  </si>
  <si>
    <t>University of Texas System; University of Texas Austin</t>
  </si>
  <si>
    <t>Pennebaker, JW (corresponding author), Univ Texas Austin, Dept Psychol, Austin, TX 78712 USA.</t>
  </si>
  <si>
    <t>REED BUSINESS INFORMATION LTD</t>
  </si>
  <si>
    <t>SUTTON</t>
  </si>
  <si>
    <t>QUADRANT HOUSE THE QUADRANT, SUTTON SM2 5AS, SURREY, ENGLAND</t>
  </si>
  <si>
    <t>0262-4079</t>
  </si>
  <si>
    <t>NEW SCI</t>
  </si>
  <si>
    <t>New Sci.</t>
  </si>
  <si>
    <t>SEP 3</t>
  </si>
  <si>
    <t>10.1016/S0262-4079(11)62167-2</t>
  </si>
  <si>
    <t>817VB</t>
  </si>
  <si>
    <t>WOS:000294703600033</t>
  </si>
  <si>
    <t>Pennebaker, JW; King, LA</t>
  </si>
  <si>
    <t>Linguistic styles: Language use as an individual difference</t>
  </si>
  <si>
    <t>COMPUTERIZED CONTENT-ANALYSIS; FREE SPEECH TECHNIQUES; EXPLANATORY STYLE; PERSONALITY; PREDICTORS; PATTERNS; TAT; PROTOCOLS</t>
  </si>
  <si>
    <t>Can language use reflect personality style? Studies examined the reliability, factor structure, and validity of written language using a word-based, computerized text analysis program. Daily diaries from 15 substance abuse inpatients, dairy writing assignments from 35 students, and journal abstracts from 40 social psychologists demonstrated good internal consistency for over 36 language dimensions. Analyses of the best 15 language dimensions from essays by 838 students yielded 4 factors that replicated across written samples from another 381 students. Finally, linguistic profiles from writing samples were compared with Thematic Apperception Test coding, self-reports, and behavioral measures from 79 students and with self-reports of a 5-factor measure and health markers from more than 1,200 students. Despite modest effect sizes, the data suggest that linguistic style is an independent and meaningful way of exploring personality.</t>
  </si>
  <si>
    <t>Univ Texas, Dept Psychol, Austin, TX 78712 USA; So Methodist Univ, Dept Psychol, Dallas, TX 75275 USA</t>
  </si>
  <si>
    <t>University of Texas System; University of Texas Austin; Southern Methodist University</t>
  </si>
  <si>
    <t>Pennebaker, JW (corresponding author), Univ Texas, Dept Psychol, Austin, TX 78712 USA.</t>
  </si>
  <si>
    <t>Pennebaker, James/GLR-6058-2022; Pennebaker, James W/E-5997-2013</t>
  </si>
  <si>
    <t>Pennebaker, James W/0000-0001-9091-214X</t>
  </si>
  <si>
    <t>NATIONAL INSTITUTE OF MENTAL HEALTH [R01MH054142, R29MH054142, R01MH052391] Funding Source: NIH RePORTER; NIMH NIH HHS [MH54142, MH52391] Funding Source: Medline</t>
  </si>
  <si>
    <t>10.1037/0022-3514.77.6.1296</t>
  </si>
  <si>
    <t>264XN</t>
  </si>
  <si>
    <t>WOS:000084208700015</t>
  </si>
  <si>
    <t>Pollach, I</t>
  </si>
  <si>
    <t>Pollach, Irene</t>
  </si>
  <si>
    <t>Taming Textual Data: The Contribution of Corpus Linguistics to Computer-Aided Text Analysis</t>
  </si>
  <si>
    <t>ORGANIZATIONAL RESEARCH METHODS</t>
  </si>
  <si>
    <t>computer-aided text analysis; corpus linguistics; content analysis; language analysis</t>
  </si>
  <si>
    <t>CRITICAL DISCOURSE ANALYSIS; EXTREME CASE FORMULATIONS; STRATEGIC MANAGEMENT; ESPOUSED VALUES; LANGUAGE; WORDS; ORGANIZATIONS; ATTRIBUTIONS; ATTENTION; RISK</t>
  </si>
  <si>
    <t>Corpus linguistics studies real-life language use on the basis of a text corpus, drawing on both quantitative and qualitative text analysis techniques. This article seeks to bridge the gap between the social sciences and linguistics by introducing the techniques of corpus linguistics to the field of computer-aided text analysis. The article first discusses the differences between corpus linguistics and computer-aided text analysis, which is divided into computer-aided content analysis and computer-aided interpretive textual analysis. It then outlines the techniques of corpus linguistics for exploring textual data. In an exemplary analysis of letters to shareholders, the article demonstrates how these techniques can be applied to compare letters to shareholders from two different years. The article concludes with a discussion of the strengths and limitations of corpus linguistics for management and organization studies.</t>
  </si>
  <si>
    <t>Univ Aarhus, Fac Business &amp; Social Sci, Dept Business Commun, DK-8210 Aarhus, Denmark</t>
  </si>
  <si>
    <t>Aarhus University</t>
  </si>
  <si>
    <t>Pollach, I (corresponding author), Univ Aarhus, Fac Business &amp; Social Sci, Dept Business Commun, Fuglesangs Alle 4, DK-8210 Aarhus, Denmark.</t>
  </si>
  <si>
    <t>irpo@asb.dk</t>
  </si>
  <si>
    <t>1094-4281</t>
  </si>
  <si>
    <t>1552-7425</t>
  </si>
  <si>
    <t>ORGAN RES METHODS</t>
  </si>
  <si>
    <t>Organ. Res. Methods</t>
  </si>
  <si>
    <t>10.1177/1094428111417451</t>
  </si>
  <si>
    <t>Psychology, Applied; Management</t>
  </si>
  <si>
    <t>Social Science Citation Index (SSCI); Arts &amp;amp; Humanities Citation Index (A&amp;amp;HCI)</t>
  </si>
  <si>
    <t>Psychology; Business &amp; Economics</t>
  </si>
  <si>
    <t>900YI</t>
  </si>
  <si>
    <t>WOS:000300928000005</t>
  </si>
  <si>
    <t>Provost, F; Dalessandro, B; Hook, R; Zhang, XH; Murray, A</t>
  </si>
  <si>
    <t>ACM</t>
  </si>
  <si>
    <t>Provost, Foster; Dalessandro, Brian; Hook, Rod; Zhang, Xiaohan; Murray, Alan</t>
  </si>
  <si>
    <t>Audience Selection for On-line Brand Advertising: Privacy-friendly Social Network Targeting</t>
  </si>
  <si>
    <t>KDD-09: 15TH ACM SIGKDD CONFERENCE ON KNOWLEDGE DISCOVERY AND DATA MINING</t>
  </si>
  <si>
    <t>15th ACM SIGKDD International Conference on Knowledge Discovery and Data Mining</t>
  </si>
  <si>
    <t>JUN 28-JUL 01, 2009</t>
  </si>
  <si>
    <t>Paris, FRANCE</t>
  </si>
  <si>
    <t>ACM SIGKDD,ACM SIGMOD</t>
  </si>
  <si>
    <t>on-line advertising; predictive modeling; social networks; user-generated content; privacy</t>
  </si>
  <si>
    <t>This paper describes and evaluates privacy-friendly methods for extracting quasi-social networks from browser behavior on user-generated content sites, for the purpose of finding good audiences for brand advertising (as opposed to click maximizing, for example). Targeting social-network neighbors resonates well with advertisers, and on-line browsing behavior data counterintuitively can allow the identification of good audiences anonymously. Besides being one of the first papers to our knowledge on data mining for on-line brand advertising, this paper makes several important contributions. We introduce a framework for evaluating brand audiences, in analogy to predictive-modeling holdout evaluation. We introduce methods for extracting quasi-social networks from data on visitations to social networking pages, without collecting any information on the identities of the browsers or the content of the social-network pages. We introduce measures of brand proximity in the network, and show that audiences with high brand proximity indeed show substantially higher brand affinity. Finally, we provide evidence that the quasi-social network embeds a true social network, which along with results from social theory offers one explanation for the increase in brand affinity of the selected audiences.</t>
  </si>
  <si>
    <t>[Provost, Foster; Dalessandro, Brian; Zhang, Xiaohan] NYC, NYU &amp; Media6, New York, NY USA</t>
  </si>
  <si>
    <t>Provost, F (corresponding author), NYC, NYU &amp; Media6, New York, NY USA.</t>
  </si>
  <si>
    <t>provost@acm.org; briand@media6degrees.com; rod@coriolisventures.com; zazahan@gmail.com; alan@coriolisventures.com</t>
  </si>
  <si>
    <t>Poopong, Patcharaporn/J-4500-2015</t>
  </si>
  <si>
    <t>978-1-60558-495-9</t>
  </si>
  <si>
    <t>Computer Science, Artificial Intelligence</t>
  </si>
  <si>
    <t>BLS23</t>
  </si>
  <si>
    <t>WOS:000270922000070</t>
  </si>
  <si>
    <t>Puranam, D; Narayan, V; Kadiyali, V</t>
  </si>
  <si>
    <t>Puranam, Dinesh; Narayan, Vishal; Kadiyali, Vrinda</t>
  </si>
  <si>
    <t>The Effect of Calorie Posting Regulation on Consumer Opinion: A Flexible Latent Dirichlet Allocation Model with Informative Priors</t>
  </si>
  <si>
    <t>Bayesian estimation; data mining; word-of-mouth</t>
  </si>
  <si>
    <t>OBESITY; IMPACT; RANKING; SEARCH</t>
  </si>
  <si>
    <t>In 2008, New York City mandated that all chain restaurants post calorie information on their menus. For managers of chain and standalone restaurants, as well as for policy makers, a pertinent goal might be to monitor the impact of this regulation on consumer conversations. We propose a scalable Bayesian topic model to measure and understand changes in consumer opinion about health (and other topics). We calibrate the model on 761,962 online reviews of restaurants posted over eight years. Our model allows managers to specify prior topics of interest such as health for a calorie posting regulation. It also allows the distribution of topic proportions within a review to be affected by its length, valence, and the experience level of its author. Using a difference-in-differences estimation approach, we isolate the potentially causal effect of the regulation on consumer opinion. Following the regulation, there was a statistically small but significant increase in the proportion of discussion of the health topic. This increase can be attributed largely to authors who did not post reviews before the regulation, suggesting that the regulation prompted several consumers to discuss health in online restaurant reviews.</t>
  </si>
  <si>
    <t>[Puranam, Dinesh] Univ Southern Calif, Marshall Sch Business, Los Angeles, CA 90089 USA; [Narayan, Vishal] Natl Univ Singapore, NUS Business Sch, Singapore 119245, Singapore; [Kadiyali, Vrinda] Cornell Univ, Samuel Curtis Johnson Grad Sch Management, Ithaca, NY 14853 USA</t>
  </si>
  <si>
    <t>University of Southern California; National University of Singapore; Cornell University</t>
  </si>
  <si>
    <t>Puranam, D (corresponding author), Univ Southern Calif, Marshall Sch Business, Los Angeles, CA 90089 USA.</t>
  </si>
  <si>
    <t>puranam@marshall.usc.edu; bizvn@nus.edu.sg; kadiyali@cornell.edu</t>
  </si>
  <si>
    <t>NUS Business School</t>
  </si>
  <si>
    <t>NUS Business School(National University of Singapore)</t>
  </si>
  <si>
    <t>The second author thanks NUS Business School for generous financial support for this research.</t>
  </si>
  <si>
    <t>10.1287/mksc.2017.1048</t>
  </si>
  <si>
    <t>FN9UR</t>
  </si>
  <si>
    <t>WOS:000416388900005</t>
  </si>
  <si>
    <t>Ransbotham, S; Lurie, NH; Liu, HJ</t>
  </si>
  <si>
    <t>Ransbotham, Sam; Lurie, Nicholas H.; Liu, Hongju</t>
  </si>
  <si>
    <t>Creation and Consumption of Mobile Word of Mouth: How Are Mobile Reviews Different?</t>
  </si>
  <si>
    <t>mobile; reviews; word of mouth; economertics</t>
  </si>
  <si>
    <t>SOCIAL MEDIA; ONLINE; DISTANCE; SALES; CONSUMERS; RESPONSES; INTERNET; RATINGS</t>
  </si>
  <si>
    <t>Mobile users can create word of mouth (WOM) wherever they are and whenever they want to do so. This real-time creation process may be associated with differences in the content and consumption value of mobile versus nonmobile word of mouth. We analyze 275,362 reviews from 117,827 reviewers describing their experiences at 134,976 restaurants as well as a dual platform subsample of 21,026 reviews written by 673 reviewers who wrote at least four mobile and four nonmobile reviews. We also examine how the introduction of the mobile platform affected WOM consumption. We find that WOM content is more affective, more concrete, and less extreme when created on mobile devices. These differences in content (more affective, more concrete, and less extreme) vary in their relationships with the perceived consumption value of mobile content. Beyond the indirect relationship between platform and consumption value through content, reviews created on mobile devices are associated with lower consumption value. This direct relationship grows stronger over time. Although consumers initially value both real-time mobile content and nonmobile content, even after controlling for a large set of content and contextual variables, over time consumers value mobile reviews less than they do nonmobile reviews.</t>
  </si>
  <si>
    <t>[Ransbotham, Sam] Boston Coll, Carroll Sch Management, Chestnut Hill, MA 02467 USA; [Lurie, Nicholas H.] Univ Connecticut, Sch Business, Storrs, CT 06269 USA; [Liu, Hongju] Peking Univ, Guanghua Sch Management, Beijing 100871, Peoples R China</t>
  </si>
  <si>
    <t>Boston College; University of Connecticut; Peking University</t>
  </si>
  <si>
    <t>Ransbotham, S (corresponding author), Boston Coll, Carroll Sch Management, Chestnut Hill, MA 02467 USA.</t>
  </si>
  <si>
    <t>sam.ransbotham@bc.edu; lurie@uconn.edu; hliu@gsm.pku.edu.cn</t>
  </si>
  <si>
    <t>; Lurie, Nicholas/F-6132-2017</t>
  </si>
  <si>
    <t>Ransbotham, Sam/0000-0001-5305-035X; Lurie, Nicholas/0000-0001-8505-9033</t>
  </si>
  <si>
    <t>Marketing Science Institute [4-1817]; Wharton Customer Analytics Initiative; Connecticut Information Technology Institute</t>
  </si>
  <si>
    <t>Marketing Science Institute; Wharton Customer Analytics Initiative; Connecticut Information Technology Institute</t>
  </si>
  <si>
    <t>This research was supported by grants from the Marketing Science Institute [Grant #4-1817], the Wharton Customer Analytics Initiative, and the Connecticut Information Technology Institute.</t>
  </si>
  <si>
    <t>10.1287/mksc.2018.1115</t>
  </si>
  <si>
    <t>JC8VD</t>
  </si>
  <si>
    <t>WOS:000489553300004</t>
  </si>
  <si>
    <t>Reagan, AJ; Mitchell, L; Kiley, D; Danforth, CM; Dodds, PS</t>
  </si>
  <si>
    <t>Reagan, Andrew J.; Mitchell, Lewis; Kiley, Dilan; Danforth, Christopher M.; Dodds, Peter Sheridan</t>
  </si>
  <si>
    <t>The emotional arcs of stories are dominated by six basic shapes</t>
  </si>
  <si>
    <t>EPJ DATA SCIENCE</t>
  </si>
  <si>
    <t>stories; sentiment mining; narratology; language; society</t>
  </si>
  <si>
    <t>Advances in computing power, natural language processing, and digitization of text now make it possible to study a culture's evolution through its texts using a 'big data' lens. Our ability to communicate relies in part upon a shared emotional experience, with stories often following distinct emotional trajectories and forming patterns that are meaningful to us. Here, by classifying the emotional arcs for a filtered subset of 1,327 stories from Project Gutenberg's fiction collection, we find a set of six core emotional arcs which form the essential building blocks of complex emotional trajectories. We strengthen our findings by separately applying matrix decomposition, supervised learning, and unsupervised learning. For each of these six core emotional arcs, we examine the closest characteristic stories in publication today and find that particular emotional arcs enjoy greater success, as measured by downloads.</t>
  </si>
  <si>
    <t>[Reagan, Andrew J.; Kiley, Dilan; Danforth, Christopher M.; Dodds, Peter Sheridan] Univ Vermont, 85 South Prospect St, Burlington, VT 05405 USA; [Mitchell, Lewis] Univ Adelaide, Adelaide, SA 5005, Australia</t>
  </si>
  <si>
    <t>University of Vermont; University of Adelaide</t>
  </si>
  <si>
    <t>Reagan, AJ (corresponding author), Univ Vermont, 85 South Prospect St, Burlington, VT 05405 USA.</t>
  </si>
  <si>
    <t>andrew.reagan@uvm.edu</t>
  </si>
  <si>
    <t>Mitchell, Lewis/W-1312-2018; Mitchell, Lewis/U-8250-2019; Dodds, Peter/C-9119-2014</t>
  </si>
  <si>
    <t>Mitchell, Lewis/0000-0001-8191-1997; Mitchell, Lewis/0000-0001-8191-1997; Dodds, Peter/0000-0003-1973-8614</t>
  </si>
  <si>
    <t>NSF Big Data Grant [1447634]</t>
  </si>
  <si>
    <t>NSF Big Data Grant</t>
  </si>
  <si>
    <t>PSD and CMD acknowledge support from NSF Big Data Grant #1447634.</t>
  </si>
  <si>
    <t>ONE NEW YORK PLAZA, SUITE 4600, NEW YORK, NY, UNITED STATES</t>
  </si>
  <si>
    <t>2193-1127</t>
  </si>
  <si>
    <t>EPJ DATA SCI</t>
  </si>
  <si>
    <t>EPJ Data Sci.</t>
  </si>
  <si>
    <t>NOV 4</t>
  </si>
  <si>
    <t>10.1140/epjds/s13688-016-0093-1</t>
  </si>
  <si>
    <t>Mathematics, Interdisciplinary Applications; Social Sciences, Mathematical Methods</t>
  </si>
  <si>
    <t>Mathematics; Mathematical Methods In Social Sciences</t>
  </si>
  <si>
    <t>EA9OV</t>
  </si>
  <si>
    <t>gold, Green Published, Green Submitted</t>
  </si>
  <si>
    <t>WOS:000386974500001</t>
  </si>
  <si>
    <t>Rocklage, MD; Fazio, RH</t>
  </si>
  <si>
    <t>Rocklage, Matthew D.; Fazio, Russell H.</t>
  </si>
  <si>
    <t>The Evaluative Lexicon: Adjective use as a means of assessing and distinguishing attitude valence, extremity, and emotionality</t>
  </si>
  <si>
    <t>JOURNAL OF EXPERIMENTAL SOCIAL PSYCHOLOGY</t>
  </si>
  <si>
    <t>Attitudes; Attitude measurement; Affect; Cognition; Text analysis</t>
  </si>
  <si>
    <t>PERSUASION; BASES; INFORMATION; COMPONENTS; BEHAVIOR</t>
  </si>
  <si>
    <t>The language - in particular, the adjectives - individuals use can be harnessed to understand the different aspects of their attitudes. The present research introduces a novel approach to measuring attitudes that allows researchers to quantify these aspects. In Study 1, we created a list of 94 evaluative adjectives and asked participant judges to rate the implied valence, extremity, and emotionality of each adjective. This approach allowed us to quantify each adjective along these dimensions and thereby create the Evaluative Lexicon (EL). We validated the EL in Study 2 by experimentally creating attitudes toward novel stimuli in the lab and then measuring them using our tool. In Study 3, we sought to further validate the EL as well as demonstrate its practical and theoretical contributions using a natural-text repository of 5.9 million Amazon.com product reviews. Results from the Amazon.com reviews indicate that individuals use the EL adjectives in ways that further validate their ability and usefulness in measuring valence, extremity, and emotionality even within natural text. These findings, in turn, produced new theoretical contributions regarding the separability of attitude extremity and emotionality as well as their relation to summaries of both univalent and ambivalent evaluations. The findings highlight the importance of attitude emotionality for understanding attitude expressions. (C) 2014 Elsevier Inc. All rights reserved.</t>
  </si>
  <si>
    <t>[Rocklage, Matthew D.; Fazio, Russell H.] Ohio State Univ, Columbus, OH 43210 USA</t>
  </si>
  <si>
    <t>Fazio, RH (corresponding author), Ohio State Univ, Dept Psychol, 1835 Neil Ave, Columbus, OH 43210 USA.</t>
  </si>
  <si>
    <t>rocklage.1@osu.edu; fazio.11@osu.edu</t>
  </si>
  <si>
    <t>Fazio, Russell H/A-3109-2008</t>
  </si>
  <si>
    <t>Fazio, Russell/0000-0002-0754-8234</t>
  </si>
  <si>
    <t>ACADEMIC PRESS INC ELSEVIER SCIENCE</t>
  </si>
  <si>
    <t>SAN DIEGO</t>
  </si>
  <si>
    <t>525 B ST, STE 1900, SAN DIEGO, CA 92101-4495 USA</t>
  </si>
  <si>
    <t>0022-1031</t>
  </si>
  <si>
    <t>1096-0465</t>
  </si>
  <si>
    <t>J EXP SOC PSYCHOL</t>
  </si>
  <si>
    <t>J. Exp. Soc. Psychol.</t>
  </si>
  <si>
    <t>10.1016/j.jesp.2014.10.005</t>
  </si>
  <si>
    <t>AY7YB</t>
  </si>
  <si>
    <t>WOS:000347770600029</t>
  </si>
  <si>
    <t>Rocklage, MD; Rucker, DD; Nordgren, LF</t>
  </si>
  <si>
    <t>Rocklage, Matthew D.; Rucker, Derek D.; Nordgren, Loran F.</t>
  </si>
  <si>
    <t>The Evaluative Lexicon 2.0: The measurement of emotionality, extremity, and valence in language</t>
  </si>
  <si>
    <t>BEHAVIOR RESEARCH METHODS</t>
  </si>
  <si>
    <t>Emotion; Text analysis; Language; Attitudes; Cognition</t>
  </si>
  <si>
    <t>CORE AFFECT; ATTITUDES; DOMINANCE; DYNAMICS; BEHAVIOR; ENGLISH; AROUSAL; NORMS; BASES</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</si>
  <si>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tools-LIWC and Warriner et al.'s (Behavior Research Methods, 45, 1191-1207,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in the wild. The EL 2.0 wordlist and normative emotionality, extremity, and valence ratings are freely available from www.evaluativelexicon.com.</t>
  </si>
  <si>
    <t>[Rocklage, Matthew D.; Rucker, Derek D.; Nordgren, Loran F.] Northwestern Univ, Kellogg Sch Management, 2211 Campus Dr, Evanston, IL 60208 USA</t>
  </si>
  <si>
    <t>Rocklage, MD (corresponding author), Northwestern Univ, Kellogg Sch Management, 2211 Campus Dr, Evanston, IL 60208 USA.</t>
  </si>
  <si>
    <t>matthew.rocklage@kellogg.northwestern.edu</t>
  </si>
  <si>
    <t>1554-351X</t>
  </si>
  <si>
    <t>1554-3528</t>
  </si>
  <si>
    <t>BEHAV RES METHODS</t>
  </si>
  <si>
    <t>Behav. Res. Methods</t>
  </si>
  <si>
    <t>10.3758/s13428-017-0975-6</t>
  </si>
  <si>
    <t>Psychology, Mathematical; Psychology, Experimental</t>
  </si>
  <si>
    <t>GO9WP</t>
  </si>
  <si>
    <t>WOS:000440459100002</t>
  </si>
  <si>
    <t>Rosa, JA; Porac, JF; Runser-Spanjol, J; Saxon, MS</t>
  </si>
  <si>
    <t>Sociocognitive dynamics in a product market</t>
  </si>
  <si>
    <t>ADVANTAGE; COMPETITION; RIVALRY; MODELS</t>
  </si>
  <si>
    <t>In this article, the authors explore the origins and evolution of product markets from a sociocognitive perspective. Product markets are defined as socially constructed knowledge structures (i.e., product conceptual systems) that are shared among producers and consumers-sharing that enables consumers and producers to interact in the market. The fundamental thesis is that product markets are neither imposed nor orchestrated by producers or consumers but evolve from producer-consumer interaction feedback effects. Starting as unstable, incomplete, and disjointed conceptual systems held by market actors-which is revealed by the cacophony of uses, claims, and product standards that characterize emerging product markets-product markets become coherent as a result of consumers and producers making sense of each other's behaviors. The authors further argue that the sensemaking process is revealed in the stories that consumers and producers tell each other in published media, such as industry newspapers and consumer magazines, which the authors use as data sources. Specific hypotheses pertaining to the use of product category labels in published sources and the acceptability of different product category members throughout the development process are tested for the minivan market between 1982 and 1988. The findings suggest that category stabilization causes significant differences between consumers and producers in how they use product category labels for emerging and preexisting categories. The findings also show that, as stabilization occurs around a category prototype, the acceptability of particular models changes without any physical changes to the models.</t>
  </si>
  <si>
    <t>Univ Illinois, Urbanachampaign, IL 60680 USA; Emory Univ, Atlanta, GA 30322 USA</t>
  </si>
  <si>
    <t>University of Illinois System; University of Illinois Urbana-Champaign; Emory University</t>
  </si>
  <si>
    <t>Rosa, JA (corresponding author), Univ Illinois, Urbanachampaign, IL 60680 USA.</t>
  </si>
  <si>
    <t>Spanjol, Jelena/AAS-7399-2021</t>
  </si>
  <si>
    <t>Spanjol, Jelena/0000-0002-2769-8176</t>
  </si>
  <si>
    <t>311S WACKER DR, STE S800, CHICAGO, IL 60606-6629 USA</t>
  </si>
  <si>
    <t>10.2307/1252102</t>
  </si>
  <si>
    <t>252DR</t>
  </si>
  <si>
    <t>WOS:000083485900008</t>
  </si>
  <si>
    <t>Rude, SS; Gortner, EM; Pennebaker, JW</t>
  </si>
  <si>
    <t>Language use of depressed and depression-vulnerable college students</t>
  </si>
  <si>
    <t>COGNITION &amp; EMOTION</t>
  </si>
  <si>
    <t>DYSFUNCTIONAL ATTITUDES; THOUGHT SUPPRESSION; DIAGNOSE DEPRESSION; LIFETIME VERSION; MOOD-STATE; INVENTORY; INDIVIDUALS; SPECIFICITY; RISK</t>
  </si>
  <si>
    <t>Essays written by currently-depressed, formerly-depressed, and never-depressed college students were examined for differences in language that might shed light on the cognitive operations associated with depression and depression-vulnerability. A text analysis program computed the incidence of words in predesignated categories. Consistent with Beck's cognitive model and with Pyczsinski and Greenberg's self-focus model of depression, depressed participants used more negatively valenced words and used the word. I more than did never-depressed participants. Formerly-depressed (presumably depression-vulnerable) participants did not differ from never-depressed participants on these indices of depressive processing. However, consistent with prediction, formerly-depressed participants' use of the word I increased across the essays and was significantly greater than that of never-depressed writers in the final portion of the essays.</t>
  </si>
  <si>
    <t>Univ Texas, Austin, TX 78712 USA</t>
  </si>
  <si>
    <t>Rude, SS (corresponding author), Univ Texas, SZB504, Austin, TX 78712 USA.</t>
  </si>
  <si>
    <t>Stephanie.Rude@mail.utexas.edu</t>
  </si>
  <si>
    <t>0269-9931</t>
  </si>
  <si>
    <t>1464-0600</t>
  </si>
  <si>
    <t>COGNITION EMOTION</t>
  </si>
  <si>
    <t>Cogn. Emot.</t>
  </si>
  <si>
    <t>10.1080/02699930441000030</t>
  </si>
  <si>
    <t>880AI</t>
  </si>
  <si>
    <t>WOS:000225760300006</t>
  </si>
  <si>
    <t>Salganik, MJ; Dodds, PS; Watts, DJ</t>
  </si>
  <si>
    <t>Experimental study of inequality and unpredictability in an artificial cultural market</t>
  </si>
  <si>
    <t>SCIENCE</t>
  </si>
  <si>
    <t>CASCADES; CONFORMITY; INDUSTRY; MODEL; FADS</t>
  </si>
  <si>
    <t>Hit songs, books, and movies are many times more successful than average, suggesting that the best alternatives are qualitatively different from the rest; yet experts routinely fail to predict which products wilt succeed. We investigated this paradox experimentally, by creating an artificial music market in which 14,341 participants downloaded previously unknown songs either with or without knowledge of previous participants' choices. Increasing the strength of social influence increased both inequality and unpredictabitity of success. Success was also only partly determined by quality: The best songs rarely did poorly, and the worst rarely did well, but any other result was possible.</t>
  </si>
  <si>
    <t>Columbia Univ, Dept Sociol, New York, NY 10027 USA; Columbia Univ, Inst Social &amp; Econ Res &amp; Policy, New York, NY 10027 USA; Santa Fe Inst, Santa Fe, NM 87501 USA</t>
  </si>
  <si>
    <t>Columbia University; Columbia University; The Santa Fe Institute</t>
  </si>
  <si>
    <t>Salganik, MJ (corresponding author), Columbia Univ, Dept Sociol, 413 Fayerweather Hall, New York, NY 10027 USA.</t>
  </si>
  <si>
    <t>mjs2105@columbia.edu; pd315@columbia.edu; djw24@columbia.edu</t>
  </si>
  <si>
    <t>Dodds, Peter S/C-9119-2014; Watts, Duncan J/J-6483-2012</t>
  </si>
  <si>
    <t xml:space="preserve">Dodds, Peter S/0000-0003-1973-8614; </t>
  </si>
  <si>
    <t>AMER ASSOC ADVANCEMENT SCIENCE</t>
  </si>
  <si>
    <t>1200 NEW YORK AVE, NW, WASHINGTON, DC 20005 USA</t>
  </si>
  <si>
    <t>0036-8075</t>
  </si>
  <si>
    <t>1095-9203</t>
  </si>
  <si>
    <t>Science</t>
  </si>
  <si>
    <t>FEB 10</t>
  </si>
  <si>
    <t>10.1126/science.1121066</t>
  </si>
  <si>
    <t>012XT</t>
  </si>
  <si>
    <t>WOS:000235374900050</t>
  </si>
  <si>
    <t>Scaraboto, D; Fischer, E</t>
  </si>
  <si>
    <t>Scaraboto, Daiane; Fischer, Eileen</t>
  </si>
  <si>
    <t>Frustrated Fatshionistas: An Institutional Theory Perspective on Consumer Quests for Greater Choice in Mainstream Markets</t>
  </si>
  <si>
    <t>CONSUMPTION PRACTICES; FIELD; ENTREPRENEURSHIP; LEGITIMACY; FASHION; ORGANIZATIONS; ACCEPTANCE; NARRATIVES; DISCOURSE; EDUCATION</t>
  </si>
  <si>
    <t>Why and how do marginalized consumers mobilize to seek greater inclusion in and more choice from mainstream markets? We develop answers to these questions drawing on institutional theory and a qualitative investigation of Fatshionistas, plus-sized consumers who want more options from mainstream fashion marketers. Three triggers for mobilization are posited: development of a collective identity, identification of inspiring institutional entrepreneurs, and access to mobilizing institutional logics from adjacent fields. Several change strategies that reinforce institutional logics while unsettling specific institutionalized practices are identified. Our discussion highlights diverse market change dynamics that are likely when consumers are more versus less legitimate in the eyes of mainstream marketers and in instances where the changes consumers seek are more versus less consistent with prevailing institutions and logics.</t>
  </si>
  <si>
    <t>[Scaraboto, Daiane] Pontificia Univ Catolica Chile, Santiago, Chile; [Fischer, Eileen] York Univ, Toronto, ON M3J 2R7, Canada</t>
  </si>
  <si>
    <t>Pontificia Universidad Catolica de Chile; York University - Canada</t>
  </si>
  <si>
    <t>Scaraboto, D (corresponding author), Pontificia Univ Catolica Chile, Alameda 340, Santiago, Chile.</t>
  </si>
  <si>
    <t>dscaraboto@uc.cl; efischer@schulich.yorku.ca</t>
  </si>
  <si>
    <t>Scaraboto, Daiane/AAD-7673-2020</t>
  </si>
  <si>
    <t>Scaraboto, Daiane/0000-0002-7658-9339</t>
  </si>
  <si>
    <t>10.1086/668298</t>
  </si>
  <si>
    <t>104OM</t>
  </si>
  <si>
    <t>WOS:000316003900007</t>
  </si>
  <si>
    <t>Schweidel, DA; Moe, WW</t>
  </si>
  <si>
    <t>Schweidel, David A.; Moe, Wendy W.</t>
  </si>
  <si>
    <t>Listening In on Social Media: A Joint Model of Sentiment and Venue Format Choice</t>
  </si>
  <si>
    <t>social media; brand tracking; online word of mouth; social media analytics; social media research</t>
  </si>
  <si>
    <t>USER-GENERATED CONTENT; WORD-OF-MOUTH; ONLINE; NETWORKS; DYNAMICS; BRAND; OPINION; TWITTER; RULES</t>
  </si>
  <si>
    <t>In this research, the authors jointly model the sentiment expressed in social media posts and the venue format to which it was posted as two interrelated processes in an effort to provide a measure of underlying brand sentiment Using social media data from firms in two distinct industries, they allow the content of the post and the underlying sentiment toward the brand to affect both processes. The results show that the inferences marketing researchers obtain from monitoring social media are dependent on where they listen and that common approaches that either focus on a single social media venue or ignore differences across venues in aggregated data can lead to misleading brand sentiment metrics. The authors validate the approach by comparing their model-based measure of brand sentiment with performance measures obtained from external data sets (stock prices for both brands and an offline brand-tracking study for one brand). They find that their measure of sentiment serves as a leading indicator of the changes observed in these external data sources and outperforms other social media metrics currently used.</t>
  </si>
  <si>
    <t>[Schweidel, David A.] Emory Univ, Goizueta Business Sch, Atlanta, GA 30322 USA; [Moe, Wendy W.] Univ Maryland, Robert H Smith Sch Business, College Pk, MD 20742 USA</t>
  </si>
  <si>
    <t>Emory University; University System of Maryland; University of Maryland College Park</t>
  </si>
  <si>
    <t>Schweidel, DA (corresponding author), Emory Univ, Goizueta Business Sch, Atlanta, GA 30322 USA.</t>
  </si>
  <si>
    <t>dschweidel@emory.edu; wmoe@rhsmith.umd.edu</t>
  </si>
  <si>
    <t>10.1509/jmr.12.0424</t>
  </si>
  <si>
    <t>AN8OP</t>
  </si>
  <si>
    <t>WOS:000340863800001</t>
  </si>
  <si>
    <t>Snefjella, B; Kuperman, V</t>
  </si>
  <si>
    <t>Snefjella, Bryor; Kuperman, Victor</t>
  </si>
  <si>
    <t>Concreteness and Psychological Distance in Natural Language Use</t>
  </si>
  <si>
    <t>psychological distance; construal-level theory; embodied cognition; social media; Twitter; abstraction; concreteness</t>
  </si>
  <si>
    <t>CONSTRUAL-LEVEL THEORY; SOCIAL DISTANCE; PHENOMENAL CHARACTERISTICS; MORAL JUDGMENT; MOTOR SYSTEM; EVENTS; COGNITION; MEMORIES; BEHAVIOR; THOUGHT</t>
  </si>
  <si>
    <t>Existing evidence shows that more abstract mental representations are formed and more abstract language is used to characterize phenomena that are more distant from the self. Yet the precise form of the functional relationship between distance and linguistic abstractness is unknown. In four studies, we tested whether more abstract language is used in textual references to more geographically distant cities (Study 1), time points further into the past or future (Study 2), references to more socially distant people (Study 3), and references to a specific topic (Study 4). Using millions of linguistic productions from thousands of social-media users, we determined that linguistic concreteness is a curvilinear function of the logarithm of distance, and we discuss psychological underpinnings of the mathematical properties of this relationship. We also demonstrated that gradient curvilinear effects of geographic and temporal distance on concreteness are nearly identical, which suggests uniformity in representation of abstractness along multiple dimensions.</t>
  </si>
  <si>
    <t>[Snefjella, Bryor; Kuperman, Victor] McMaster Univ, Hamilton, ON L8S 4M2, Canada</t>
  </si>
  <si>
    <t>McMaster University</t>
  </si>
  <si>
    <t>Snefjella, B (corresponding author), McMaster Univ, Dept Linguist &amp; Languages, Togo Salmon Hall 626,1280 Main St West, Hamilton, ON L8S 4M2, Canada.</t>
  </si>
  <si>
    <t>snefjebn@mcmaster.ca</t>
  </si>
  <si>
    <t>Social Sciences and Humanities Research Council Insight Development Grant [430-2012-0488]; Natural Sciences and Engineering Research Council of Canada Discovery Grant [402395-2012]; National Institutes of Health [R01 HD 073288]; Ontario Research Fund; EUNICE KENNEDY SHRIVER NATIONAL INSTITUTE OF CHILD HEALTH &amp; HUMAN DEVELOPMENT [R01HD073288] Funding Source: NIH RePORTER</t>
  </si>
  <si>
    <t>Social Sciences and Humanities Research Council Insight Development Grant; Natural Sciences and Engineering Research Council of Canada Discovery Grant(Natural Sciences and Engineering Research Council of Canada (NSERC)); National Institutes of Health(United States Department of Health &amp; Human ServicesNational Institutes of Health (NIH) - USA); Ontario Research Fund; EUNICE KENNEDY SHRIVER NATIONAL INSTITUTE OF CHILD HEALTH &amp; HUMAN DEVELOPMENT(United States Department of Health &amp; Human ServicesNational Institutes of Health (NIH) - USANIH Eunice Kennedy Shriver National Institute of Child Health &amp; Human Development (NICHD))</t>
  </si>
  <si>
    <t>This research was supported by Social Sciences and Humanities Research Council Insight Development Grant No. 430-2012-0488, Natural Sciences and Engineering Research Council of Canada Discovery Grant No. 402395-2012, National Institutes of Health Grant No. R01 HD 073288 (principal investigator: Julie A. Van Dyke), and an Early Researcher Award from the Ontario Research Fund to the second author.</t>
  </si>
  <si>
    <t>10.1177/0956797615591771</t>
  </si>
  <si>
    <t>CR2OY</t>
  </si>
  <si>
    <t>WOS:000361171200011</t>
  </si>
  <si>
    <t>Srivastava, SB; Goldberg, A</t>
  </si>
  <si>
    <t>Srivastava, Sameer B.; Goldberg, Amir</t>
  </si>
  <si>
    <t>Language as a Window into Culture</t>
  </si>
  <si>
    <t>CALIFORNIA MANAGEMENT REVIEW</t>
  </si>
  <si>
    <t>culture; networks; cultural fit; language; computational linguistics</t>
  </si>
  <si>
    <t>PEOPLE</t>
  </si>
  <si>
    <t>Culture is assumed to play a pivotal role in organizational success and failure. In contrast to prevailing top-down perspectives, this article proposes an approach to studying culture that accounts for myriad organizational subcultures, how individuals fit into those subcultures, and the causes and consequences of shifts in culture and cultural fit. The language through which people communicate with colleagues offers a powerful lens for studying cultural dynamics and its relationship to individual, group, and organizational success. This article describes a burgeoning stream of research that uses language as a window into culture and discusses its implications for managerial practice.</t>
  </si>
  <si>
    <t>[Srivastava, Sameer B.] Univ Calif Berkeley, Haas Sch Business, Management Philosophy &amp; Values, Berkeley, CA 94720 USA; [Srivastava, Sameer B.] Univ Calif Berkeley, Sociol, Berkeley, CA 94720 USA; [Goldberg, Amir] Stanford Grad Sch Business, Org Behav, Stanford, CA USA</t>
  </si>
  <si>
    <t>University of California System; University of California Berkeley; University of California System; University of California Berkeley; Stanford University</t>
  </si>
  <si>
    <t>Srivastava, SB (corresponding author), Univ Calif Berkeley, Haas Sch Business, Management Philosophy &amp; Values, Berkeley, CA 94720 USA.;Srivastava, SB (corresponding author), Univ Calif Berkeley, Sociol, Berkeley, CA 94720 USA.</t>
  </si>
  <si>
    <t>srivastava@haas.berkeley.edu; amirgo@stanford.edu</t>
  </si>
  <si>
    <t>Goldberg, Amir/Q-7557-2019</t>
  </si>
  <si>
    <t>Goldberg, Amir/0000-0002-0858-3058; Srivastava, Sameer/0000-0001-8793-0793</t>
  </si>
  <si>
    <t>0008-1256</t>
  </si>
  <si>
    <t>2162-8564</t>
  </si>
  <si>
    <t>CALIF MANAGE REV</t>
  </si>
  <si>
    <t>Calif. Manage. Rev.</t>
  </si>
  <si>
    <t>10.1177/0008125617731781</t>
  </si>
  <si>
    <t>FT6NK</t>
  </si>
  <si>
    <t>WOS:000423270700005</t>
  </si>
  <si>
    <t>Tausczik, YR; Pennebaker, JW</t>
  </si>
  <si>
    <t>Tausczik, Yla R.; Pennebaker, James W.</t>
  </si>
  <si>
    <t>The Psychological Meaning of Words: LIWC and Computerized Text Analysis Methods</t>
  </si>
  <si>
    <t>JOURNAL OF LANGUAGE AND SOCIAL PSYCHOLOGY</t>
  </si>
  <si>
    <t>computerized text analysis; LIWC; relationships; dominance; deception; attention; pronouns</t>
  </si>
  <si>
    <t>WRITTEN EMOTIONAL DISCLOSURE; LANGUAGE USE; LINGUISTIC ANALYSIS; INDIVIDUAL-DIFFERENCES; HEALTH-BENEFITS; SELF; EXPRESSION; NARRATIVES; PERSONALITY; INTERNET</t>
  </si>
  <si>
    <t>We are in the midst of a technological revolution whereby, for the first time, researchers can link daily word use to a broad array of real-world behaviors. This article reviews several computerized text analysis methods and describes how Linguistic Inquiry and Word Count (LIWC) was created and validated. LIWC is a transparent text analysis program that counts words in psychologically meaningful categories. Empirical results using LIWC demonstrate its ability to detect meaning in a wide variety of experimental settings, including to show attentional focus, emotionality, social relationships, thinking styles, and individual differences.</t>
  </si>
  <si>
    <t>[Tausczik, Yla R.; Pennebaker, James W.] Univ Texas Austin, Dept Psychol, Austin, TX 78712 USA</t>
  </si>
  <si>
    <t>Pennebaker@mail.utexas.edu</t>
  </si>
  <si>
    <t>0261-927X</t>
  </si>
  <si>
    <t>1552-6526</t>
  </si>
  <si>
    <t>J LANG SOC PSYCHOL</t>
  </si>
  <si>
    <t>J. Lang. Soc. Psychol.</t>
  </si>
  <si>
    <t>10.1177/0261927X09351676</t>
  </si>
  <si>
    <t>Communication; Linguistics; Psychology, Social</t>
  </si>
  <si>
    <t>Communication; Linguistics; Psychology</t>
  </si>
  <si>
    <t>554BI</t>
  </si>
  <si>
    <t>WOS:000274410100002</t>
  </si>
  <si>
    <t>Tellis, GJ; MacInnis, DJ; Tirunillai, S; Zhang, YW</t>
  </si>
  <si>
    <t>Tellis, Gerard J.; MacInnis, Deborah J.; Tirunillai, Seshadri; Zhang, Yanwei</t>
  </si>
  <si>
    <t>What Drives Virality (Sharing) of Online Digital Content? The Critical Role of Information, Emotion, and Brand Prominence</t>
  </si>
  <si>
    <t>virality; shares; ad cues; emotion; brand prominence</t>
  </si>
  <si>
    <t>WORD-OF-MOUTH; CONSUMERS; RESPONSES; TRANSPORTATION; ADVERTISEMENTS; MOTIVATIONS; KNOWLEDGE; IMPACT; AD</t>
  </si>
  <si>
    <t>The authors test five theoretically derived hypotheses about what drives video ad sharing across multiple social media platforms. Two independent field studies test these hypotheses using 11 emotions and over 60 ad characteristics. The results are consistent with theory and robust across studies. Information-focused content has a significantly negative effect on sharing, except in risky contexts. Positive emotions of amusement, excitement, inspiration, and warmth positively affect sharing. Various drama elements such as surprise, plot, and characters, including babies, animals, and celebrities arouse emotions. Prominent (early vs. late, long vs. short duration, persistent vs. pulsing) placement of brand names hurts sharing. Emotional ads are shared more on general platforms (Facebook, Google+, Twitter) than on Linkedln, and the reverse holds for informational ads. Sharing is also greatest when ad length is moderate (1.2 to 1.7 minutes). Contrary to these findings, ads use information more than emotions, celebrities more than babies or animals, prominent brand placement, little surprise, and very short or very long ads. A third study shows that the identified drivers predict sharing accurately in an entirely independent sample.</t>
  </si>
  <si>
    <t>[Tellis, Gerard J.] Univ Southern Calif, Ctr Global Innovat, Marshall Sch Business, Los Angeles, CA 90089 USA; [Tellis, Gerard J.] Univ Southern Calif, Amer Enterprise, Marshall Sch Business, Los Angeles, CA 90089 USA; [MacInnis, Deborah J.] Univ Southern Calif, Business Adm, Marshall Sch Business, Los Angeles, CA USA; [MacInnis, Deborah J.] Univ Southern Calif, Mkt, Marshall Sch Business, Los Angeles, CA USA; [Tirunillai, Seshadri] Univ Houston, CT Bauer Coll Business, Houston, TX 77004 USA; [Zhang, Yanwei] Uber Technol Inc, San Francisco, CA USA</t>
  </si>
  <si>
    <t>University of Southern California; University of Southern California; University of Southern California; University of Southern California; University of Houston System; University of Houston; Uber Technologies, Inc.</t>
  </si>
  <si>
    <t>Tellis, GJ (corresponding author), Univ Southern Calif, Ctr Global Innovat, Marshall Sch Business, Los Angeles, CA 90089 USA.;Tellis, GJ (corresponding author), Univ Southern Calif, Amer Enterprise, Marshall Sch Business, Los Angeles, CA 90089 USA.</t>
  </si>
  <si>
    <t>tellis@usc.edu; macinnis@usc.edu; seshadri@bauer.uh.edu; actuary_zhang@hotmail.com</t>
  </si>
  <si>
    <t>Marketing Science Institute</t>
  </si>
  <si>
    <t>The author(s) disclosed receipt of the following financial support for the research, authorship, and/or publication of this article: This study benefited from a grant of Marketing Science Institute and a grant of Don Murray to the USC Marshall Center for Global Innovation.</t>
  </si>
  <si>
    <t>10.1177/0022242919841034</t>
  </si>
  <si>
    <t>IG0MJ</t>
  </si>
  <si>
    <t>WOS:000473484500001</t>
  </si>
  <si>
    <t>Thompson, CJ; Coskuner-Balli, G</t>
  </si>
  <si>
    <t>Thompson, Craig J.; Coskuner-Balli, Gokcen</t>
  </si>
  <si>
    <t>Countervailing market responses to corporate co-optation and the ideological recruitment of consumption communities</t>
  </si>
  <si>
    <t>CONSUMER CULTURE; EXPERIENCE; MEANINGS</t>
  </si>
  <si>
    <t>From a conventional theoretical standpoint, the corporatization of the organic food movement is an example of co-optation. Co-optation theory conceptualizes the commercial marketplace as an ideological force that assimilates the symbols and practices of a counterculture into dominant norms. Our alternative argument is that co-optation can generate a countervailing market response that actively promotes the oppositional aspects of a counterculture attenuated by the process of commercial mainstreaming. To develop this theoretical argument, we analyze community-supported agriculture, which has emerged in response to the corporate co-optation of the organic food movement. We conclude by discussing how tacit political ideologies structure consumption communities.</t>
  </si>
  <si>
    <t>Univ Wisconsin, Madison, WI 53706 USA</t>
  </si>
  <si>
    <t>University of Wisconsin System; University of Wisconsin Madison</t>
  </si>
  <si>
    <t>Thompson, CJ (corresponding author), Univ Wisconsin, 975 Univ Ave, Madison, WI 53706 USA.</t>
  </si>
  <si>
    <t>cthompson@bus.wisc.edu; gcoskuner@bus.wisc.edu</t>
  </si>
  <si>
    <t>10.1086/519143</t>
  </si>
  <si>
    <t>190DG</t>
  </si>
  <si>
    <t>WOS:000248037600002</t>
  </si>
  <si>
    <t>Timoshenko, A; Hauser, JR</t>
  </si>
  <si>
    <t>Timoshenko, Artem; Hauser, John R.</t>
  </si>
  <si>
    <t>Identifying Customer Needs from User-Generated Content</t>
  </si>
  <si>
    <t>customer needs; online reviews; machine learning; voice of the customer; user-generated content; market research; text mining; deep learning; natural language processing</t>
  </si>
  <si>
    <t>PRODUCT DEVELOPMENT; MANAGEMENT; CONSUMER; DESIGN; MODEL</t>
  </si>
  <si>
    <t>Firms traditionally rely on interviews and focus groups to identify customer needs for marketing strategy and product development. User-generated content (UGC) is a promising alternative source for identifying customer needs. However, established methods are neither efficient nor effective for large UGC corpora because much content is noninformative or repetitive. We propose a machine-learning approach to facilitate qualitative analysis by selecting content for efficient review. We use a convolutional neural network to filter out noninformative content and cluster dense sentence embeddings to avoid sampling repetitive content. We further address two key questions: Are UGC-based customer needs comparable to interview-based customer needs? Do the machine-learning methods improve customer-need identification? These comparisons are enabled by a custom data set of customer needs for oral care products identified by professional analysts using industry-standard experiential interviews. The analysts also coded 12,000 UGC sentences to identify which previously identified customer needs and/or new customer needs were articulated in each sentence. We show that (1) UGC is at least as valuable as a source of customer needs for product development, likely more valuable, compared with conventional methods, and (2) machine-learning methods improve efficiency of identifying customer needs from UGC (unique customer needs per unit of professional services cost).</t>
  </si>
  <si>
    <t>[Timoshenko, Artem; Hauser, John R.] MIT, MIT Sloan Sch Management, 77 Massachusetts Ave, Cambridge, MA 02139 USA</t>
  </si>
  <si>
    <t>Massachusetts Institute of Technology (MIT)</t>
  </si>
  <si>
    <t>Timoshenko, A (corresponding author), MIT, MIT Sloan Sch Management, 77 Massachusetts Ave, Cambridge, MA 02139 USA.</t>
  </si>
  <si>
    <t>artem.timoshenko@sloan.mit.edu; hauser@mit.edu</t>
  </si>
  <si>
    <t>Hauser, John R/O-3046-2019</t>
  </si>
  <si>
    <t>/0000-0002-5431-2136; /0000-0001-8510-8640</t>
  </si>
  <si>
    <t>10.1287/mksc.2018.1123</t>
  </si>
  <si>
    <t>HM0HF</t>
  </si>
  <si>
    <t>WOS:000459127200001</t>
  </si>
  <si>
    <t>Tirunillai, S; Tellis, GJ</t>
  </si>
  <si>
    <t>Tirunillai, Seshadri; Tellis, Gerard J.</t>
  </si>
  <si>
    <t>Mining Marketing Meaning from Online Chatter: Strategic Brand Analysis of Big Data Using Latent Dirichlet Allocation</t>
  </si>
  <si>
    <t>consumer satisfaction; quality; dimensions; brand mapping; big data; latent Dirichlet allocation; user-generated content</t>
  </si>
  <si>
    <t>CATEGORICAL-DATA; QUALITY; REVIEWS; METHODOLOGY; PERFORMANCE; LIKELIHOOD; INFERENCE; SALES</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</si>
  <si>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t>
  </si>
  <si>
    <t>[Tirunillai, Seshadri] Univ Houston, CT Bauer Coll Business, Houston, TX 77004 USA; [Tellis, Gerard J.] Univ So Calif, Los Angeles, CA 90089 USA; [Tellis, Gerard J.] Univ So Calif, Ctr Global Innovat, Los Angeles, CA 90089 USA; [Tellis, Gerard J.] Univ So Calif, Marshall Sch Business, Los Angeles, CA 90089 USA</t>
  </si>
  <si>
    <t>University of Houston System; University of Houston; University of Southern California; University of Southern California; University of Southern California</t>
  </si>
  <si>
    <t>Tirunillai, S (corresponding author), Univ Houston, CT Bauer Coll Business, Houston, TX 77004 USA.</t>
  </si>
  <si>
    <t>seshadri@bauer.uh.edu; tellis@usc.edu</t>
  </si>
  <si>
    <t>Gomaa, Ahmed/I-6442-2017</t>
  </si>
  <si>
    <t>Gomaa, Ahmed/0000-0003-0869-7888</t>
  </si>
  <si>
    <t>10.1509/jmr.12.0106</t>
  </si>
  <si>
    <t>WOS:000340863800006</t>
  </si>
  <si>
    <t>Does Chatter Really Matter? Dynamics of User-Generated Content and Stock Performance</t>
  </si>
  <si>
    <t>user-generated content (UGC); stock returns; online word of mouth; vector autoregression (VAR); computational text processing</t>
  </si>
  <si>
    <t>WORD-OF-MOUTH; MARKET RESPONSE; TRADING VOLUME; FIRM VALUE; IMPACT; SALES; RETURNS; REVIEWS; INFORMATION; MODELS</t>
  </si>
  <si>
    <t>This study examines whether user-generated content (UGC) is related to stock market performance, which metric of UGC has the strongest relationship, and what the dynamics of the relationship are. We aggregate UGC from multiple websites over a four-year period across 6 markets and 15 firms. We derive multiple metrics of UGC and use multivariate time-series models to assess the relationship between UGC and stock market performance. Volume of chatter significantly leads abnormal returns by a few days (supported by Granger causality tests). Of all the metrics of UGC, volume of chatter has the strongest positive effect on abnormal returns and trading volume. The effect of negative and positive metrics of UGC on abnormal returns is asymmetric. Whereas negative UGC has a significant negative effect on abnormal returns with a short wear-in and long wear-out, positive UGC has no significant effect on these metrics. The volume of chatter and negative chatter have a significant positive effect on trading volume. Idiosyncratic risk increases significantly with negative information in UGC. Positive information does not have much influence on the risk of the firm. An increase in off-line advertising significantly increases the volume of chatter and decreases negative chatter. These results have important implications for managers and investors.</t>
  </si>
  <si>
    <t>[Tirunillai, Seshadri] Univ Houston, CT Bauer Coll Business, Houston, TX 77204 USA; [Tellis, Gerard J.] Univ So Calif, Marshall Sch Business, Los Angeles, CA 90089 USA</t>
  </si>
  <si>
    <t>University of Houston System; University of Houston; University of Southern California</t>
  </si>
  <si>
    <t>Tirunillai, S (corresponding author), Univ Houston, CT Bauer Coll Business, Houston, TX 77204 USA.</t>
  </si>
  <si>
    <t>10.1287/mksc.1110.0682</t>
  </si>
  <si>
    <t>920ET</t>
  </si>
  <si>
    <t>WOS:000302386200002</t>
  </si>
  <si>
    <t>Toubia, O; Iyengar, G; Bunnell, R; Lemaire, A</t>
  </si>
  <si>
    <t>Toubia, Olivier; Iyengar, Garud; Bunnell, Renee; Lemaire, Alain</t>
  </si>
  <si>
    <t>Extracting Features of Entertainment Products: A Guided Latent Dirichlet Allocation Approach Informed by the Psychology of Media Consumption</t>
  </si>
  <si>
    <t>topic models; natural language processing; entertainment industry; positive psychology; media psychology</t>
  </si>
  <si>
    <t>WORD-OF-MOUTH; BOX-OFFICE PERFORMANCE; INDIVIDUAL-DIFFERENCES; POSITIVE PSYCHOLOGY; RECOMMENDATION; PERSONALITY; DYNAMICS; SYSTEMS; INFORMATION; MOVIES</t>
  </si>
  <si>
    <t>The authors propose a quantitative approach for describing entertainment products, in a way that allows for improving the predictive performance of consumer choice models for these products. Their approach is based on the media psychology literature, which suggests that people's consumption of entertainment products is influenced by the psychological themes featured in these products. They classify psychological themes on the basis of the character strengths taxonomy from the positive psychology literature (Peterson and Seligman 2004). They develop a natural language processing tool, guided latent Dirichlet allocation (LDA), that automatically extracts a set of features of entertainment products from their descriptions. Guided LDA is flexible enough to allow features to be informed by psychological themes while allowing other relevant dimensions to emerge. The authors apply this tool to movies and show that guided LDA features help better predict movie-watching behavior at the individual level. They find this result with both award-winning movies and blockbuster movies. They illustrate the potential of the proposed approach in pure content-based predictive models of consumer behavior, as well as in hybrid predictive models that combine content-based models with collaborative filtering. They also show that guided LDA can improve the performance of models that predict aggregate outcomes.</t>
  </si>
  <si>
    <t>[Toubia, Olivier] Columbia Univ, Grad Sch Business, Business, New York, NY 10027 USA; [Iyengar, Garud] Columbia Univ, Ind Engn &amp; Operat Res Dept, New York, NY 10027 USA; [Bunnell, Renee] Real Engagement &amp; Loyalty, New York, NY USA; [Lemaire, Alain] Columbia Univ, Grad Sch Business, New York, NY 10027 USA</t>
  </si>
  <si>
    <t>Columbia University; Columbia University; Columbia University</t>
  </si>
  <si>
    <t>Toubia, O (corresponding author), Columbia Univ, Grad Sch Business, Business, New York, NY 10027 USA.</t>
  </si>
  <si>
    <t>ot2107@gsb.columbia.edu; garud@ieor.columbia.edu; rb@real.org; alemaire18@gsb.columbia.edu</t>
  </si>
  <si>
    <t>10.1177/0022243718820559</t>
  </si>
  <si>
    <t>HI9ZV</t>
  </si>
  <si>
    <t>WOS:000456817200002</t>
  </si>
  <si>
    <t>Toubia, O; Netzer, O</t>
  </si>
  <si>
    <t>Toubia, Olivier; Netzer, Oded</t>
  </si>
  <si>
    <t>Idea Generation, Creativity, and Prototypicality</t>
  </si>
  <si>
    <t>creativity; innovation; idea generation; data mining; text mining</t>
  </si>
  <si>
    <t>LATENT DIRICHLET ALLOCATION; SPREADING ACTIVATION THEORY; AVERAGENESS; CONSUMERS; PRODUCT; SYMMETRY; FLUENCY; BEAUTY; IMPACT; FACES</t>
  </si>
  <si>
    <t>We explore the use of big data tools to shed new light on the idea generation process, automatically read ideas to identify promising ones, and help people be more creative. The literature suggests that creativity results from the optimal balance between novelty and familiarity, which can be measured based on the combinations of words in an idea. We build semantic networks where nodes represent word stems in a particular idea generation topic, and edge weights capture the degree of novelty versus familiarity of word stem combinations (i.e., the weight of an edge that connects two word stems measures their scaled co-occurrence in the relevant language). Each idea contains a set of word stems, which form a semantic subnetwork. The edge weight distribution in that subnetwork reflects how the idea balances novelty with familiarity. Based on the beauty in averageness effect, we hypothesize that ideas with semantic subnetworks that have a more prototypical edge weight distribution are judged as more creative. We show this effect in eight studies involving over 4,000 ideas across multiple domains. Practically, we demonstrate how our research can be used to automatically identify promising ideas and recommend words to users on the fly to help them improve their ideas.</t>
  </si>
  <si>
    <t>[Toubia, Olivier; Netzer, Oded] Columbia Business Sch, New York, NY 10027 USA</t>
  </si>
  <si>
    <t>Columbia University</t>
  </si>
  <si>
    <t>Toubia, O (corresponding author), Columbia Business Sch, New York, NY 10027 USA.</t>
  </si>
  <si>
    <t>ot2107@gsb.columbia.edu; onetzer@gsb.columbia.edu</t>
  </si>
  <si>
    <t>The authors would like to thank Alain Lemaire and Erin Michet for their outstanding research assistance on this project. The authors are thankful to the Marketing Science Institute for their financial support in developing the ideation tool.</t>
  </si>
  <si>
    <t>10.1287/mksc.2016.0994</t>
  </si>
  <si>
    <t>EK1KR</t>
  </si>
  <si>
    <t>WOS:000393684700001</t>
  </si>
  <si>
    <t>Tsai, JL</t>
  </si>
  <si>
    <t>Tsai, Jeanne L.</t>
  </si>
  <si>
    <t>Ideal Affect Cultural Causes and Behavioral Consequences</t>
  </si>
  <si>
    <t>PERSPECTIVES ON PSYCHOLOGICAL SCIENCE</t>
  </si>
  <si>
    <t>UNITED-STATES; INDIVIDUAL-DIFFERENCES; FACIAL EXPRESSIONS; EUROPEAN-AMERICAN; CHINESE-AMERICAN; NEGATIVE AFFECT; GOOD FEELINGS; EMOTION; SELF; PERSONALITY</t>
  </si>
  <si>
    <t>Most research focuses on actual affect, or the affective states that people actually feel. In this article, I demonstrate the importance and utility of studying ideal affect, or the affective states that people ideally want to feel. First, I define ideal affect and describe the cultural causes and behavioral consequences of ideal affect. To illustrate these points, I compare American and East Asian cultures, which differ in their valuation of high-arousal positive affective states ( e. g., excitement, enthusiasm) and low-arousal positive affective states ( e. g., calm, peacefulness). I then introduce affect valuation theory, which integrates ideal affect with current models of affect and emotion and, in doing so, provides a new framework for understanding how cultural and temperamental factors may shape affect and behavior.</t>
  </si>
  <si>
    <t>Stanford Univ, Dept Psychol, Stanford, CA 94305 USA</t>
  </si>
  <si>
    <t>Tsai, JL (corresponding author), Stanford Univ, Dept Psychol, Bldg 420,Jordan Hall, Stanford, CA 94305 USA.</t>
  </si>
  <si>
    <t>jeanne.tsai@stanford.edu</t>
  </si>
  <si>
    <t>SAGE PUBLICATIONS LTD</t>
  </si>
  <si>
    <t>1 OLIVERS YARD, 55 CITY ROAD, LONDON EC1Y 1SP, ENGLAND</t>
  </si>
  <si>
    <t>1745-6916</t>
  </si>
  <si>
    <t>1745-6924</t>
  </si>
  <si>
    <t>PERSPECT PSYCHOL SCI</t>
  </si>
  <si>
    <t>Perspect. Psychol. Sci.</t>
  </si>
  <si>
    <t>10.1111/j.1745-6916.2007.00043.x</t>
  </si>
  <si>
    <t>V10FS</t>
  </si>
  <si>
    <t>WOS:000207450500002</t>
  </si>
  <si>
    <t>Vosoughi, S; Roy, D; Aral, S</t>
  </si>
  <si>
    <t>Vosoughi, Soroush; Roy, Deb; Aral, Sinan</t>
  </si>
  <si>
    <t>The spread of true and false news online</t>
  </si>
  <si>
    <t>We investigated the differential diffusion of all of the verified true and false news stories distributed on Twitter from 2006 to 2017. The data comprise similar to 126,000 stories tweeted by similar to 3 million people more than 4.5 million times. We classified news as true or false using information from six independent fact-checking organizations that exhibited 95 to 98% agreement on the classifications. Falsehood diffused significantly farther, faster, deeper, and more broadly than the truth in all categories of information, and the effects were more pronounced for false political news than for false news about terrorism, natural disasters, science, urban legends, or financial information. We found that false news was more novel than true news, which suggests that people were more likely to share novel information. Whereas false stories inspired fear, disgust, and surprise in replies, true stories inspired anticipation, sadness, joy, and trust. Contrary to conventional wisdom, robots accelerated the spread of true and false news at the same rate, implying that false news spreads more than the truth because humans, not robots, are more likely to spread it.</t>
  </si>
  <si>
    <t>[Vosoughi, Soroush; Roy, Deb] MIT, Media Lab, E14-526,75 Amherst St, Cambridge, MA 02142 USA; [Aral, Sinan] MIT, E62-364,100 Main St, Cambridge, MA 02142 USA</t>
  </si>
  <si>
    <t>Massachusetts Institute of Technology (MIT); Massachusetts Institute of Technology (MIT)</t>
  </si>
  <si>
    <t>Aral, S (corresponding author), MIT, E62-364,100 Main St, Cambridge, MA 02142 USA.</t>
  </si>
  <si>
    <t>sinan@mit.edu</t>
  </si>
  <si>
    <t>Vosoughi, Soroush/0000-0002-2564-8909; Aral, Sinan/0000-0002-2762-058X</t>
  </si>
  <si>
    <t>MAR 9</t>
  </si>
  <si>
    <t>10.1126/science.aap9559</t>
  </si>
  <si>
    <t>FY4ZM</t>
  </si>
  <si>
    <t>WOS:000426835900044</t>
  </si>
  <si>
    <t>Wang, X; Mai, F; Chiang, RHL</t>
  </si>
  <si>
    <t>Wang, Xin (Shane); Mai, Feng; Chiang, Roger H. L.</t>
  </si>
  <si>
    <t>Market Dynamics and User-Generated Content About Tablet Computers</t>
  </si>
  <si>
    <t>market dynamics; online product reviews; tablet computers; user-generated content</t>
  </si>
  <si>
    <t>WORD-OF-MOUTH; PRICE DISPERSION; INTERNET; IMPACT; TRAVEL; SALES</t>
  </si>
  <si>
    <t>Our Tablet Computer data set, collected from various websites, contains market dynamics related to 2,163 products, characteristics of 794 products, more than 40,000 consumer-generated product reviews, and information about 39,278 reviewers. The market dynamic information was collected weekly for 24 weeks starting February 1, 2012. Our Tablet Computer data set comprises four tables: the Market Dynamics of Products, Product Characteristic Information, Consumer-Generated Product Reviews, and Reviewer Information tables. In turn, it offers three unique properties. First, it contains both structured product information and unstructured product reviews. Second, it comprises product characteristic information and market dynamic information. Third, this data set integrates user-generated content with manufacturer-provided content. This integrated data set (available at http://pubsonline.informs.org/page/mksc/online-databases) is valuable for both academics and practitioners who conduct research related to marketing, information systems, computer science, and other fields using digital data readily available through the Internet.</t>
  </si>
  <si>
    <t>[Wang, Xin (Shane)] Univ Cincinnati, Carl H Lindner Coll Business, Dept Mkt, Cincinnati, OH 45221 USA; [Mai, Feng; Chiang, Roger H. L.] Univ Cincinnati, Carl H Lindner Coll Business, Dept Operat Business Analyt &amp; Informat Syst, Cincinnati, OH 45221 USA</t>
  </si>
  <si>
    <t>University System of Ohio; University of Cincinnati; University System of Ohio; University of Cincinnati</t>
  </si>
  <si>
    <t>Wang, X (corresponding author), Univ Cincinnati, Carl H Lindner Coll Business, Dept Mkt, Cincinnati, OH 45221 USA.</t>
  </si>
  <si>
    <t>wang2x5@mail.uc.edu; maifg@mail.uc.edu; roger.chiang@uc.edu</t>
  </si>
  <si>
    <t>Chiang, Roger/AHC-8217-2022</t>
  </si>
  <si>
    <t>Mai, Feng/0000-0001-6897-8935</t>
  </si>
  <si>
    <t>10.1287/mksc.2013.0821</t>
  </si>
  <si>
    <t>AI3EV</t>
  </si>
  <si>
    <t>WOS:000336743700010</t>
  </si>
  <si>
    <t>Wang, YW; Lewis, M; Schweidel, DA</t>
  </si>
  <si>
    <t>Wang, Yanwen; Lewis, Michael; Schweidel, David A.</t>
  </si>
  <si>
    <t>A Border Strategy Analysis of Ad Source and Message Tone in Senatorial Campaigns</t>
  </si>
  <si>
    <t>political advertising; super PAC; negative advertising; senatorial elections</t>
  </si>
  <si>
    <t>VOTER TURNOUT; NEGATIVITY; IMPACT; CREDIBILITY; INVOLVEMENT; PERSUASION; ELECTIONS; QUALITY; PRICE; BIAS</t>
  </si>
  <si>
    <t>Political advertising is controversial, as there is widespread concern about money from political action committees (PACs and super PACs) distorting the democratic process. Studying advertising effectiveness is, however, a challenging topic for several reasons, including the endogenous nature of fundraising and ad spending rates. However, the extensive use of targeting based on designated marketing areas (DMAs) creates a setting in which neighboring counties with comparable demographics receive different levels of advertising exposure. In this paper, we leverage these advertising discontinuities along DMA borders to study the relative effectiveness of political advertising on vote shares and turnout rates in 2010 and 2012 senatorial elections. We find that negative advertising sponsored by PACs is significantly less effective than that sponsored by candidates in affecting two-party vote shares and voter turnout. A 1% increase in negative advertising by the candidate produces a significant 0.015% lift in the candidate's unconditional vote shares. By contrast, negative advertising from PACs is ineffective in increasing its supported candidate's unconditional vote share. Further analysis reveals that the competitiveness of races moderates the effectiveness of political advertising, providing implications for those managing candidates' campaigns, PACs, and super PACs.</t>
  </si>
  <si>
    <t>[Wang, Yanwen] Univ British Columbia, Sauder Sch Business, Mkt, Vancouver, BC V6T 1Z2, Canada; [Lewis, Michael] Emory Univ, Goizueta Business Sch, Mkt, Atlanta, GA 30322 USA; [Schweidel, David A.] Georgetown Univ, Mkt, Washington, DC 20057 USA</t>
  </si>
  <si>
    <t>University of British Columbia; Emory University; Georgetown University</t>
  </si>
  <si>
    <t>Wang, YW (corresponding author), Univ British Columbia, Sauder Sch Business, Mkt, Vancouver, BC V6T 1Z2, Canada.</t>
  </si>
  <si>
    <t>yanwen.wang@sauder.ubc.ca; mike.lewis@emory.edu; david.schweidel@georgetown.edu</t>
  </si>
  <si>
    <t>10.1287/mksc.2017.1079</t>
  </si>
  <si>
    <t>GN4QS</t>
  </si>
  <si>
    <t>WOS:000439017700001</t>
  </si>
  <si>
    <t>Weber, K</t>
  </si>
  <si>
    <t>A toolkit for analyzing corporate cultural toolkits</t>
  </si>
  <si>
    <t>INDUSTRY; RIVALRY; SENSEMAKING; IDENTITY; MODELS; FIRM</t>
  </si>
  <si>
    <t>The cultural and discursive underpinning of industries and markets has received growing attention in recent years. I use Ann Swidler's conceptualization of culture as toolkit. and Pierre Bourdieu's concept of habitus as the starting point to further this enterprise. The article illustrates a strategy for measuring and comparing the cultural toolkits in use by different actors in a larger field. The strategy allows quantitative comparisons of similarity at the level of large comprehensive toolkits instead of selective elements or inferred deeper dimensions. It also takes into account the embeddedness of actors' cultural toolkits in the structures of larger social fields and the specificity of toolkits to communication contexts. While this analytic strategy is potentially applicable to any actor's toolkit in a recurring communication context, I use as an illustration the repertoires that different corporations in the pharmaceutical industry employ to account for their activities in their annual reports. (c) 2005 Elsevier B.V. All rights reserved.</t>
  </si>
  <si>
    <t>Northwestern Univ, Kellogg Sch Management, Evanston, IL 60208 USA</t>
  </si>
  <si>
    <t>Weber, K (corresponding author), Northwestern Univ, Kellogg Sch Management, 2001 Sheridan Rd, Evanston, IL 60208 USA.</t>
  </si>
  <si>
    <t>klausweber@northwestern.edu</t>
  </si>
  <si>
    <t>Weber, Klaus/P-7387-2015</t>
  </si>
  <si>
    <t>Weber, Klaus/0000-0002-4460-4733</t>
  </si>
  <si>
    <t>1872-7514</t>
  </si>
  <si>
    <t>JUN-AUG</t>
  </si>
  <si>
    <t>3-4</t>
  </si>
  <si>
    <t>10.1016/j.poetic.2005.09.011</t>
  </si>
  <si>
    <t>991CK</t>
  </si>
  <si>
    <t>WOS:000233789700005</t>
  </si>
  <si>
    <t>Wies, S; Hoffmann, AOI; Aspara, J; Pennings, JME</t>
  </si>
  <si>
    <t>Wies, Simone; Hoffmann, Arvid Oskar Ivar; Aspara, Jaakko; Pennings, Joost M. E.</t>
  </si>
  <si>
    <t>Can Advertising Investments Counter the Negative Impact of Shareholder Complaints on Firm Value?</t>
  </si>
  <si>
    <t>advertising investments; firm value; market impact; marketing strategy; shareholder proposals; stock</t>
  </si>
  <si>
    <t>RESEARCH-AND-DEVELOPMENT; CORPORATE SOCIAL-RESPONSIBILITY; STOCK-MARKET; INSTITUTIONAL INVESTORS; FINANCIAL PERFORMANCE; EARNINGS MANAGEMENT; MEDIA COVERAGE; WALL-STREET; ACTIVISM; STRATEGY</t>
  </si>
  <si>
    <t>Shareholder complaints put pressure on publicly listed firms, yet firms rarely directly address the actual issues raised in these complaints. The authors examine whether firms respond in an alternative way by altering advertising investments in an effort to ward off the financial damage associated with shareholder complaints. By analyzing a unique data set of shareholder complaints submitted to S&amp;P 1500 firms between 2001 and 2016, supplemented with qualitative interviews of executives of publicly listed firms, the authors document that firms increase advertising investments following shareholder complaints and that such an advertising investment response mitigates a postcomplaint decline in firm value. Furthermore, results suggest that firms are more likely to increase advertising investments when shareholder complaints are submitted by institutional investors, pertain to nonfinancial concerns, and relate to topics that receive high media attention. The findings provide new insights on how firms address stock market adversities with advertising investments and inform managers about the effectiveness of such a response.</t>
  </si>
  <si>
    <t>[Wies, Simone] Goethe Univ Frankfurt, Mkt Financial Prod, Res Ctr SAFE, Frankfurt, Germany; [Hoffmann, Arvid Oskar Ivar] Univ Adelaide, Sch Business, Mkt, Adelaide, SA, Australia; [Aspara, Jaakko] Hanken Sch Econ, Res, Helsinki, Finland; [Aspara, Jaakko] Hanken Sch Econ, Mkt, Helsinki, Finland; [Pennings, Joost M. E.] Maastricht Univ, Finance, Mkt Finance Res Lab, Maastricht, Netherlands; [Pennings, Joost M. E.] Maastricht Univ, Mkt, Mkt Finance Res Lab, Maastricht, Netherlands; [Pennings, Joost M. E.] Wageningen Univ, Commod Futures Markets, Wageningen, Netherlands</t>
  </si>
  <si>
    <t>Goethe University Frankfurt; University of Adelaide; Hanken School of Economics; Hanken School of Economics; Maastricht University; Maastricht University; Wageningen University &amp; Research</t>
  </si>
  <si>
    <t>Wies, S (corresponding author), Goethe Univ Frankfurt, Mkt Financial Prod, Res Ctr SAFE, Frankfurt, Germany.</t>
  </si>
  <si>
    <t>wies@econ.uni-frankfurt.de; arvid.hoffmann@adelaide.edu.au; jaakko.aspara@hanken.fi; joost.pennings@maastrichtuniversity.nl</t>
  </si>
  <si>
    <t>Aspara, Jaakko/G-2205-2013</t>
  </si>
  <si>
    <t>Aspara, Jaakko/0000-0001-7982-5053</t>
  </si>
  <si>
    <t>Research Center SAFE; Jenny and Antti Wihuri Foundation, Finland</t>
  </si>
  <si>
    <t>The author(s) disclosed receipt of the following financial support for the research, authorship, and/or publication of this article: The first author acknowledges the financial support of the Research Center SAFE. The third author acknowledges a personal research grant from the Jenny and Antti Wihuri Foundation, Finland.</t>
  </si>
  <si>
    <t>10.1177/0022242919841584</t>
  </si>
  <si>
    <t>WOS:000473484500004</t>
  </si>
  <si>
    <t>S</t>
  </si>
  <si>
    <t>Xiao, L; Kim, HJ; Ding, M</t>
  </si>
  <si>
    <t>Malhotra, NK</t>
  </si>
  <si>
    <t>Xiao, Li; Kim, Hye-jin; Ding, Min</t>
  </si>
  <si>
    <t>AN INTRODUCTION TO AUDIO AND VISUAL RESEARCH AND APPLICATIONS IN MARKETING</t>
  </si>
  <si>
    <t>REVIEW OF MARKETING RESEARCH</t>
  </si>
  <si>
    <t>Review of Marketing Research</t>
  </si>
  <si>
    <t>Editorial Material; Book Chapter</t>
  </si>
  <si>
    <t>Audio data; video data; computer technology; machine learning; marketing</t>
  </si>
  <si>
    <t>FACIAL EXPRESSION RECOGNITION; OF-THE-ART; EMOTION RECOGNITION; BEHAVIOR ACQUISITION; GESTURE RECOGNITION; OBJECT RECOGNITION; SPEECH RECOGNITION; VOICE; FACE; CLASSIFICATION</t>
  </si>
  <si>
    <t>Purpose - The advancement of multimedia technology has spurred the use of multimedia in business practice. The adoption of audio and visual data will accelerate as marketing scholars become more aware of the value of audio and visual data and the technologies required to reveal insights into marketing problems. This chapter aims to introduce marketing scholars into this field of research. Design/methodology/approach - This chapter reviews the current technology in audio and visual data analysis and discusses rewarding research opportunities in marketing using these data. Findings - Compared with traditional data like survey and scanner data, audio and visual data provides richer information and is easier to collect. Given these superiority, data availability, feasibility of storage, and increasing computational power, we believe that these data will contribute to better marketing practices with the help of marketing scholars in the near future. Practical implications: The adoption of audio and visual data in marketing practices will help practitioners to get better insights into marketing problems and thus make better decisions. Value/originality - This chapter makes first attempt in the marketing literature to review the current technology in audio and visual data analysis and proposes promising applications of such technology. We hope it will inspire scholars to utilize audio and visual data in marketing research.</t>
  </si>
  <si>
    <t>[Xiao, Li] Fudan Univ, Sch Management, Shanghai 200433, Peoples R China; [Kim, Hye-jin] Korea Adv Inst Sci &amp; Technol, Sch Innovat, Taejon 305701, South Korea; [Ding, Min] Penn State Univ, Smeal Coll Business, University Pk, PA 16802 USA; [Ding, Min] Fudan Univ, Sch Management, Shanghai 200433, Peoples R China</t>
  </si>
  <si>
    <t>Fudan University; Korea Advanced Institute of Science &amp; Technology (KAIST); Pennsylvania Commonwealth System of Higher Education (PCSHE); Pennsylvania State University; Pennsylvania State University - University Park; Fudan University</t>
  </si>
  <si>
    <t>Xiao, L (corresponding author), Fudan Univ, Sch Management, Shanghai 200433, Peoples R China.</t>
  </si>
  <si>
    <t>Kim, Hye-jin/0000-0001-8586-5625</t>
  </si>
  <si>
    <t>EMERALD GROUP PUBLISHING LTD</t>
  </si>
  <si>
    <t>BINGLEY</t>
  </si>
  <si>
    <t>HOWARD HOUSE, WAGON LANE, BINGLEY, W YORKSHIRE BD16 1WA, ENGLAND</t>
  </si>
  <si>
    <t>1548-6435</t>
  </si>
  <si>
    <t>978-1-78190-761-0; 978-1-78190-760-3</t>
  </si>
  <si>
    <t>REV MARKET RES</t>
  </si>
  <si>
    <t>10.1108/S1548-6435(2013)0000010012</t>
  </si>
  <si>
    <t>Book Citation Index – Social Sciences &amp; Humanities (BKCI-SSH)</t>
  </si>
  <si>
    <t>BD2BB</t>
  </si>
  <si>
    <t>WOS:000358642300009</t>
  </si>
  <si>
    <t>Xiong, Y; Cho, M; Boatwright, B</t>
  </si>
  <si>
    <t>Xiong, Ying; Cho, Moonhee; Boatwright, Brandon</t>
  </si>
  <si>
    <t>Hashtag activism and message frames among social movement organizations: Semantic network analysis and thematic analysis of Twitter during the #MeToo movement</t>
  </si>
  <si>
    <t>PUBLIC RELATIONS REVIEW</t>
  </si>
  <si>
    <t>Social movement organization (SMO); #MeToo; Hashtag activism; Feminism; Activism</t>
  </si>
  <si>
    <t>PUBLIC-RELATIONS; MEDIA; ENGAGEMENT; ADVOCACY; POWER; MANAGEMENT; DEMOCRACY; INTERNET; CRISIS</t>
  </si>
  <si>
    <t>During the #MeToo movement, social movement organizations (SMOs) played a crucial role in the online mobilization by utilizing various message frames and appealing hashtags during the social movement. Applying a co-creational approach and using framing as a theoretical framework, the study explored how SMOs use words and hashtags to participate in the #MeToo movement through Twitter. Based on both semantic network analysis and thematic analysis methods, findings of the study enhance literature of social movement organizations and activism as well as provide practical implications for effective social movement campaigns.</t>
  </si>
  <si>
    <t>[Xiong, Ying; Cho, Moonhee; Boatwright, Brandon] Univ Tennessee, Coll Commun &amp; Informat, Sch Advertising &amp; Publ Relat, 476 Commun Bldg, Knoxville, TN 37996 USA</t>
  </si>
  <si>
    <t>University of Tennessee System; University of Tennessee Knoxville</t>
  </si>
  <si>
    <t>Cho, M (corresponding author), Univ Tennessee, Coll Commun &amp; Informat, Sch Advertising &amp; Publ Relat, 476 Commun Bldg, Knoxville, TN 37996 USA.</t>
  </si>
  <si>
    <t>yxiong7@vols.utk.edu; mcho4@utk.edu; bboatwr1@vols.utk.edu</t>
  </si>
  <si>
    <t>Cho, Moonhee/0000-0002-5572-4714</t>
  </si>
  <si>
    <t>STE 800, 230 PARK AVE, NEW YORK, NY 10169 USA</t>
  </si>
  <si>
    <t>0363-8111</t>
  </si>
  <si>
    <t>1873-4537</t>
  </si>
  <si>
    <t>PUBLIC RELAT REV</t>
  </si>
  <si>
    <t>Public Relat. Rev.</t>
  </si>
  <si>
    <t>10.1016/j.pubrev.2018.10.014</t>
  </si>
  <si>
    <t>Business; Communication</t>
  </si>
  <si>
    <t>Business &amp; Economics; Communication</t>
  </si>
  <si>
    <t>HM1RQ</t>
  </si>
  <si>
    <t>WOS:000459230700002</t>
  </si>
  <si>
    <t>Yadav, MS; Prabhu, JC; Chandy, RK</t>
  </si>
  <si>
    <t>Yadav, Manjit S.; Prabhu, Jaideep C.; Chandy, Rajesh K.</t>
  </si>
  <si>
    <t>Managing the future: CEO attention and innovation outcomes</t>
  </si>
  <si>
    <t>MARKET ORIENTATION; ORGANIZATIONAL PERFORMANCE; STRATEGIC ORIENTATION; MANAGEMENT; FIRM; CAPABILITIES; TECHNOLOGY; MANAGERIAL; CONSEQUENCES; DETERMINANTS</t>
  </si>
  <si>
    <t>The current literature presents a mixed view of top managers, often characterizing them as an impediment to innovation, irrelevant for innovation, or, at best, having an indirect effect on innovation. In contrast, the authors use an attentional perspective to argue that chief executive officers (CEOs) have a positive, direct, and long-term impact on how firms detect, develop, and deploy new technologies over time. The authors test their arguments on longitudinal data from the U.S. retail banking industry. They show that CEO attention is a critical driver of innovation even (1) when the target of attention is not innovation per se but simply future events and external events in a generic sense; (2) when the innovation outcomes occur far in the future (sometimes several years in the future); (3) when the innovation outcomes are conceptually, empirically, and temporally distinct; and (4) in an empirical context (i.e., banking) that is not traditionally viewed as high tech and, thus, innovation centric.</t>
  </si>
  <si>
    <t>Texas A&amp;M Univ, Mays Business Sch, College Stn, TX 77843 USA; Univ London Imperial Coll Sci Technol &amp; Med, Tanaka Business Sch, London SW7 2AZ, England; Univ Minnesota, Carlson Sch Management, Minneapolis, MN 55455 USA</t>
  </si>
  <si>
    <t>Texas A&amp;M University System; Texas A&amp;M University College Station; Mays Business School; Imperial College London; University of Minnesota System; University of Minnesota Twin Cities</t>
  </si>
  <si>
    <t>Yadav, MS (corresponding author), Texas A&amp;M Univ, Mays Business Sch, College Stn, TX 77843 USA.</t>
  </si>
  <si>
    <t>yadav@tamu.edu; j.prabhu@imperial.ac.uk; rchandy@umn.edu</t>
  </si>
  <si>
    <t>Chandy, Rajesh/E-6737-2013</t>
  </si>
  <si>
    <t>10.1509/jmkg.71.4.84</t>
  </si>
  <si>
    <t>WOS:000250316600006</t>
  </si>
  <si>
    <t>Ying, YP; Feinberg, F; Wedel, M</t>
  </si>
  <si>
    <t>Ying, Yuanping; Feinberg, Fred; Wedel, Michel</t>
  </si>
  <si>
    <t>Leveraging missing ratings to improve online recommendation systems</t>
  </si>
  <si>
    <t>MODELS</t>
  </si>
  <si>
    <t>w Product recommendation systems are backbones of the Internet economy, leveraging customers' prior product ratings to. generate subsequent suggestions. A key feature of recommendation data is that few customers,rate more than a handful of items. Extant models take missing recommendation rating data to be missing completely at random, implicitly presuming that they lack meaningful patterns or utility in improving ratings accuracy. For the widely studied EachMovie data, the authors find that missing data are strongly. nonignorable. Recommendation quality is improved substantially by jointly modeling selection and ratings, both whether and how an item is rated. Accounting for missing ratings and various sources of heterogeneity offers a rich portrait of which items are rated well, which are rated at all, and how these processes are intertwined, while reducing holdout error by 10% or more. The authors discuss ways to implement the proposed framework within existing recommendation systems and its implications for marketers.</t>
  </si>
  <si>
    <t>Univ Texas, Sch Management, Dallas, TX 75230 USA; Univ Michigan, Stephen M Ross Sch Business, Ann Arbor, MI 48109 USA; Univ Maryland, Robert H Smith Sch Business, College Pk, MD 20742 USA</t>
  </si>
  <si>
    <t>University of Texas System; University of Texas Dallas; University of Michigan System; University of Michigan; University System of Maryland; University of Maryland College Park</t>
  </si>
  <si>
    <t>Ying, YP (corresponding author), Univ Texas, Sch Management, Dallas, TX 75230 USA.</t>
  </si>
  <si>
    <t>yingyp@utdallas.edu; feinf@umich.edu; mwedel@rhsmith.umd.edu</t>
  </si>
  <si>
    <t>Feinberg, Fred/ABB-7766-2020; Wedel, Michel/AAQ-2512-2021</t>
  </si>
  <si>
    <t xml:space="preserve">Feinberg, Fred/0000-0003-2238-0721; </t>
  </si>
  <si>
    <t>10.1509/jmkr.43.3.355</t>
  </si>
  <si>
    <t>WOS:000239878300006</t>
  </si>
  <si>
    <t>Review id</t>
  </si>
  <si>
    <t>Berger</t>
  </si>
  <si>
    <t>Lee, D; Hosanagar, K; Nair, HS</t>
  </si>
  <si>
    <t>Lee, Dokyun; Hosanagar, Kartik; Nair, Harikesh S.</t>
  </si>
  <si>
    <t>Advertising Content and Consumer Engagement on Social Media: Evidence from Facebook</t>
  </si>
  <si>
    <t>consumer engagement; social media; advertising content; content engineering; marketing communication; machine learning; natural language processing; selection; Facebook; EdgeRank; News Feed algorithm</t>
  </si>
  <si>
    <t>INFORMATION-CONTENT; MODELS</t>
  </si>
  <si>
    <t>We describe the effect of social media advertising content on customer engagement using data from Facebook. We content-code 106,316 Facebook messages across 782 companies, using a combination of Amazon Mechanical Turk and natural language processing algorithms. We use this data set to study the association of various kinds of social media marketing content with user engagement-defined as Likes, comments, shares, and click-throughs-with the messages. We find that inclusion of widely used content related to brand personality-like humor and emotion-is associated with higher levels of consumer engagement (Likes, comments, shares) with a message. We find that directly informative content-like mentions of price and deals-is associated with lower levels of engagement when included in messages in isolation, but higher engagement levels when provided in combination with brand personality-related attributes. Also, certain directly informative content, such as deals and promotions, drive consumers' path to conversion (click-throughs). These results persist after incorporating corrections for the nonrandom targeting of Facebook's EdgeRank (News Feed) algorithm and so reflect more closely user reaction to content than Facebook's behavioral targeting. Our results suggest that there are benefits to content engineering that combines informative characteristics that help in obtaining immediate leads (via improved click-throughs) with brand personality-related content that helps in maintaining future reach and branding on the social media site (via improved engagement). These results inform content design strategies. Separately, the methodologywe apply to content-code text is useful for future studies utilizing unstructured data such as advertising content or product reviews.</t>
  </si>
  <si>
    <t>[Lee, Dokyun] Carnegie Mellon Univ, Tepper Sch Business, Pittsburgh, PA 15213 USA; [Hosanagar, Kartik] Univ Penn, Wharton Sch, Philadelphia, PA 19104 USA; [Nair, Harikesh S.] Stanford Univ, Stanford Grad Sch Business, Stanford, CA 94305 USA; [Nair, Harikesh S.] JD Com Amer Technol Corp USA, Santa Clara, CA 95054 USA</t>
  </si>
  <si>
    <t>Carnegie Mellon University; University of Pennsylvania; Stanford University</t>
  </si>
  <si>
    <t>Lee, D (corresponding author), Carnegie Mellon Univ, Tepper Sch Business, Pittsburgh, PA 15213 USA.</t>
  </si>
  <si>
    <t>dokyun@cmu.edu; kartikh@wharton.upenn.edu; harikesh.nair@stanford.edu</t>
  </si>
  <si>
    <t>Lee, Dokyun/0000-0002-3186-3349</t>
  </si>
  <si>
    <t>Jay H. Baker Retailing Center; Mack Institute of the Wharton School; Wharton Risk Center</t>
  </si>
  <si>
    <t>The authors gratefully acknowledge financial support from the Jay H. Baker Retailing Center and Mack Institute of the Wharton School, and the Wharton Risk Center (Russell Ackoff Fellowship).</t>
  </si>
  <si>
    <t>10.1287/mnsc.2017.2902</t>
  </si>
  <si>
    <t>GZ7AT</t>
  </si>
  <si>
    <t>WOS:000449627200008</t>
  </si>
  <si>
    <t>JOURNAL OF INTERACTIVE MARKETING</t>
  </si>
  <si>
    <t>1094-9968</t>
  </si>
  <si>
    <t>1520-6653</t>
  </si>
  <si>
    <t>J INTERACT MARK</t>
  </si>
  <si>
    <t>J. Interact. Mark.</t>
  </si>
  <si>
    <t>Brand Buzz in the Echoverse</t>
  </si>
  <si>
    <t>DN8RZ</t>
  </si>
  <si>
    <t>B</t>
  </si>
  <si>
    <t>Book</t>
  </si>
  <si>
    <t>CAMBRIDGE UNIV PRESS</t>
  </si>
  <si>
    <t>CAMBRIDGE</t>
  </si>
  <si>
    <t>Statistics &amp; Probability</t>
  </si>
  <si>
    <t>Book Citation Index – Science (BKCI-S)</t>
  </si>
  <si>
    <t>Mathematics</t>
  </si>
  <si>
    <t>Computer Science, Theory &amp; Methods; Engineering, Electrical &amp; Electronic</t>
  </si>
  <si>
    <t>EXPERT SYSTEMS WITH APPLICATIONS</t>
  </si>
  <si>
    <t>PERGAMON-ELSEVIER SCIENCE LTD</t>
  </si>
  <si>
    <t>THE BOULEVARD, LANGFORD LANE, KIDLINGTON, OXFORD OX5 1GB, ENGLAND</t>
  </si>
  <si>
    <t>0957-4174</t>
  </si>
  <si>
    <t>1873-6793</t>
  </si>
  <si>
    <t>EXPERT SYST APPL</t>
  </si>
  <si>
    <t>Expert Syst. Appl.</t>
  </si>
  <si>
    <t>Computer Science, Artificial Intelligence; Engineering, Electrical &amp; Electronic; Operations Research &amp; Management Science</t>
  </si>
  <si>
    <t>Computer Science; Engineering; Operations Research &amp; Management Science</t>
  </si>
  <si>
    <t>COMMUNICATIONS OF THE ACM</t>
  </si>
  <si>
    <t>2 PENN PLAZA, STE 701, NEW YORK, NY 10121-0701 USA</t>
  </si>
  <si>
    <t>0001-0782</t>
  </si>
  <si>
    <t>1557-7317</t>
  </si>
  <si>
    <t>COMMUN ACM</t>
  </si>
  <si>
    <t>Commun. ACM</t>
  </si>
  <si>
    <t>Computer Science, Hardware &amp; Architecture; Computer Science, Software Engineering; Computer Science, Theory &amp; Methods</t>
  </si>
  <si>
    <t>Ghose, A; Ipeirotis, PG; Li, BB</t>
  </si>
  <si>
    <t>Ghose, Anindya; Ipeirotis, Panagiotis G.; Li, Beibei</t>
  </si>
  <si>
    <t>Designing Ranking Systems for Hotels on Travel Search Engines by Mining User-Generated and Crowdsourced Content</t>
  </si>
  <si>
    <t>user-generated content; social media; search engines; hotels; ranking system; structural models; text mining; crowdsourcing</t>
  </si>
  <si>
    <t>WORD-OF-MOUTH; BOX-OFFICE; ONLINE; CHOICE; REVIEWS; MODELS; SALES; ENDOGENEITY; IMPACT; MATTER</t>
  </si>
  <si>
    <t>User-generated content on social media platforms and product search engines is changing the way consumers shop for goods online. However, current product search engines fail to effectively leverage information created across diverse social media platforms. Moreover, current ranking algorithms in these product search engines tend to induce consumers to focus on one single product characteristic dimension (e.g., price, star rating). This approach largely ignores consumers' multidimensional preferences for products. In this paper, we propose to generate a ranking system that recommends products that provide, on average, the best value for the consumer's money. The key idea is that products that provide a higher surplus should be ranked higher on the screen in response to consumer queries. We use a unique data set of U.S. hotel reservations made over a three-month period through Travelocity, which we supplement with data from various social media sources using techniques from text mining, image classification, social geotagging, human annotations, and geomapping. We propose a random coefficient hybrid structural model, taking into consideration the two sources of consumer heterogeneity the different travel occasions and different hotel characteristics introduce. Based on the estimates from the model, we infer the economic impact of various location and service characteristics of hotels. We then propose a new hotel ranking system based on the average utility gain a consumer receives from staying in a particular hotel. By doing so, we can provide customers with the best-value hotels early on. Our user studies, using ranking comparisons from several thousand users, validate the superiority of our ranking system relative to existing systems on several travel search engines. On a broader note, this paper illustrates how social media can be mined and incorporated into a demand estimation model in order to generate a new ranking system in product search engines. We thus highlight the tight linkages between user behavior on social media and search engines. Our interdisciplinary approach provides several insights for using machine learning techniques in economics and marketing research.</t>
  </si>
  <si>
    <t>[Ghose, Anindya; Ipeirotis, Panagiotis G.; Li, Beibei] NYU, Stern Sch Business, Dept Informat Operat &amp; Management Sci, New York, NY 10012 USA</t>
  </si>
  <si>
    <t>Ghose, A (corresponding author), NYU, Stern Sch Business, Dept Informat Operat &amp; Management Sci, 550 1St Ave, New York, NY 10012 USA.</t>
  </si>
  <si>
    <t>aghose@stern.nyu.edu; panos@stern.nyu.edu; bli@stern.nyu.edu</t>
  </si>
  <si>
    <t>Ipeirotis, Panos/AAB-2041-2020; Ipeirotis, Panagiotis G./A-7148-2008; Pettit, Krista/G-3549-2012; Ipeirotis, Panos/O-8700-2018</t>
  </si>
  <si>
    <t>Ipeirotis, Panagiotis G./0000-0002-2966-7402; Ipeirotis, Panos/0000-0002-2966-7402</t>
  </si>
  <si>
    <t>10.1287/mksc.1110.0700</t>
  </si>
  <si>
    <t>WOS:000304638000008</t>
  </si>
  <si>
    <t>MAR 15</t>
  </si>
  <si>
    <t>Computer Science, Information Systems; Computer Science, Theory &amp; Methods; Engineering, Electrical &amp; Electronic</t>
  </si>
  <si>
    <t>KNOWLEDGE AND INFORMATION SYSTEMS</t>
  </si>
  <si>
    <t>SPRINGER LONDON LTD</t>
  </si>
  <si>
    <t>236 GRAYS INN RD, 6TH FLOOR, LONDON WC1X 8HL, ENGLAND</t>
  </si>
  <si>
    <t>0219-1377</t>
  </si>
  <si>
    <t>0219-3116</t>
  </si>
  <si>
    <t>KNOWL INF SYST</t>
  </si>
  <si>
    <t>Knowl. Inf. Syst.</t>
  </si>
  <si>
    <t>Computer Science, Artificial Intelligence; Computer Science, Information Systems</t>
  </si>
  <si>
    <t>10662 LOS VAQUEROS CIRCLE, PO BOX 3014, LOS ALAMITOS, CA 90720-1264 USA</t>
  </si>
  <si>
    <t>Computer Science, Artificial Intelligence; Imaging Science &amp; Photographic Technology</t>
  </si>
  <si>
    <t>Computer Science; Imaging Science &amp; Photographic Technology</t>
  </si>
  <si>
    <t>Computer Science, Theory &amp; Methods</t>
  </si>
  <si>
    <t>MIT PRESS</t>
  </si>
  <si>
    <t>ONE ROGERS ST, CAMBRIDGE, MA 02142 USA</t>
  </si>
  <si>
    <t>Cornell University</t>
  </si>
  <si>
    <t>Conference Proceedings Citation Index - Science (CPCI-S); Conference Proceedings Citation Index - Social Science &amp;amp; Humanities (CPCI-SSH)</t>
  </si>
  <si>
    <t>DORDRECHT</t>
  </si>
  <si>
    <t>VAN GODEWIJCKSTRAAT 30, 3311 GZ DORDRECHT, NETHERLANDS</t>
  </si>
  <si>
    <t>KLUWER ACADEMIC PUBL</t>
  </si>
  <si>
    <t>SPUIBOULEVARD 50, PO BOX 17, 3300 AA DORDRECHT, NETHERLANDS</t>
  </si>
  <si>
    <t>2-3</t>
  </si>
  <si>
    <t>ONE ROGERS ST, CAMBRIDGE, MA 02142-1209 USA</t>
  </si>
  <si>
    <t>Spiller, SA; Belogolova, L</t>
  </si>
  <si>
    <t>Spiller, Stephen A.; Belogolova, Lena</t>
  </si>
  <si>
    <t>On Consumer Beliefs about Quality and Taste</t>
  </si>
  <si>
    <t>product differentiation; perceived quality; preferences; beliefs; reasoning; inference</t>
  </si>
  <si>
    <t>SUBJECTIVE JUDGMENTS; PRICE FAIRNESS; SELF-REFERENCE; NAIVE THEORIES; PERCEPTIONS; CHOICES; OTHERS; INCONSISTENCY; INFORMATION; OBJECTIVITY</t>
  </si>
  <si>
    <t>Marketers and researchers alike typically regard products as differentiated by quality (modeled via vertical differentiation) or taste (modeled via horizontal differentiation). This research examines consumer beliefs about product differentiation. For a wide variety of product pairs, different consumers hold divergent beliefs about whether each pair is a matter of quality (such that one product is objectively better) or taste (such that one product is a better match with their own personal preferences). These beliefs have meaningful consequences. When consumers believe their chosen products are objectively better rather than better matches with their preferences: (1) they are willing to pay more for the chosen product over the alternative; (2) they self-reference less when explaining their choices; and (3) they are more likely to make transitive inferences from choices across other consumers. Observing others' contradictory choices increases the likelihood of believing those products differ by taste rather than quality. Understanding consumer beliefs about product differentiation has implications for understanding consumer decision delegation and decisions that are made in group contexts and for strategic decisions including customer segmentation, product positioning, and pricing policies.</t>
  </si>
  <si>
    <t>[Spiller, Stephen A.] Univ Calif Los Angeles, Anderson Sch Management, Mkt, Los Angeles, CA 90095 USA; [Belogolova, Lena] Facebook, Los Angeles, CA 90066 USA</t>
  </si>
  <si>
    <t>University of California System; University of California Los Angeles; Facebook Inc</t>
  </si>
  <si>
    <t>Spiller, SA (corresponding author), Univ Calif Los Angeles, Anderson Sch Management, Mkt, Los Angeles, CA 90095 USA.</t>
  </si>
  <si>
    <t>stephen.spiller@anderson.ucla.edu; lena.belkor@gmail.com</t>
  </si>
  <si>
    <t>10.1093/jcr/ucw065</t>
  </si>
  <si>
    <t>WOS:000398288100006</t>
  </si>
  <si>
    <t>Markowitz, DM; Hancock, JT</t>
  </si>
  <si>
    <t>Markowitz, David M.; Hancock, Jeffrey T.</t>
  </si>
  <si>
    <t>Linguistic Obfuscation in Fraudulent Science</t>
  </si>
  <si>
    <t>text analysis; deception; scientific fraud; LIWC; Coh-Metrix</t>
  </si>
  <si>
    <t>DECEPTION; LANGUAGE; READABILITY; WORDS</t>
  </si>
  <si>
    <t>The rise of scientific fraud has drawn significant attention to research misconduct across disciplines. Documented cases of fraud provide an opportunity to examine whether scientists write differently when reporting on fraudulent research. In an analysis of over two million words, we evaluated 253 publications retracted for fraudulent data and compared the linguistic style of each paper to a corpus of 253 unretracted publications and 62 publications retracted for reasons other than fraud (e.g., ethics violations). Fraudulent papers were written with significantly higher levels of linguistic obfuscation, including lower readability and higher rates of jargon than unretracted and nonfraudulent papers. We also observed a positive association between obfuscation and the number of references per paper, suggesting that fraudulent authors obfuscate their reports to mask their deception by making them more costly to analyze and evaluate. This is the first large-scale analysis of fraudulent papers across authors and disciplines to reveal how changes in writing style are related to fraudulent data reporting.</t>
  </si>
  <si>
    <t>[Markowitz, David M.; Hancock, Jeffrey T.] Stanford Univ, Dept Commun, Stanford, CA 94305 USA</t>
  </si>
  <si>
    <t>Markowitz, DM (corresponding author), Stanford Univ, McClatchy Hall,Bldg 120, Stanford, CA 94305 USA.</t>
  </si>
  <si>
    <t>markowitz@stanford.edu</t>
  </si>
  <si>
    <t>Markowitz, David/L-5563-2019</t>
  </si>
  <si>
    <t>Markowitz, David/0000-0002-7159-7014</t>
  </si>
  <si>
    <t>NSF SATC [TWC SBES-1228857]</t>
  </si>
  <si>
    <t>NSF SATC</t>
  </si>
  <si>
    <t>The author(s) disclosed receipt of the following financial support for the research, authorship, and/or publication of this article: This research was supported by the NSF SATC Grant TWC SBES-1228857.</t>
  </si>
  <si>
    <t>10.1177/0261927X15614605</t>
  </si>
  <si>
    <t>DV0EH</t>
  </si>
  <si>
    <t>WOS:000382590300005</t>
  </si>
  <si>
    <t>Mankad, S; Han, H; Goh, J; Gavirneni, S</t>
  </si>
  <si>
    <t>Mankad, Shawn; Han, Hyunjeong Spring; Goh, Joel; Gavirneni, Srinagesh</t>
  </si>
  <si>
    <t>Understanding Online Hotel Reviews Through Automated Text Analysis</t>
  </si>
  <si>
    <t>SERVICE SCIENCE</t>
  </si>
  <si>
    <t>online reviews; text analysis; customer reviews</t>
  </si>
  <si>
    <t>SALES</t>
  </si>
  <si>
    <t>Customer reviews submitted at Internet travel portals are an important yet underexplored new resource for obtaining feedback on customer experience for the hospitality industry. These data are often voluminous and unstructured, presenting analytical challenges for traditional tools that were designed for well-structured, quantitative data. We adapt methods from natural language processing and machine learning to illustrate how the hotel industry can leverage this new data source by performing automated evaluation of the quality of writing, sentiment estimation, and topic extraction. By analyzing 5,830 reviews from 57 hotels in Moscow, Russia, we find that (i) negative reviews tend to focus on a small number of topics, whereas positive reviews tend to touch on a greater number of topics; (ii) negative sentiment inherent in a review has a larger downward impact than corresponding positive sentiment; and (iii) negative reviews contain a larger variation in sentiment on average than positive reviews. These insights can be instrumental in helping hotels achieve their strategic, financial, and operational objectives.</t>
  </si>
  <si>
    <t>[Mankad, Shawn; Gavirneni, Srinagesh] Cornell Univ, Ithaca, NY 14853 USA; [Han, Hyunjeong Spring] Natl Res Univ HSE, Moscow 101000, Russia; [Goh, Joel] Harvard Univ, Cambridge, MA 02138 USA</t>
  </si>
  <si>
    <t>Cornell University; HSE University (National Research University Higher School of Economics); Harvard University</t>
  </si>
  <si>
    <t>Mankad, S (corresponding author), Cornell Univ, Ithaca, NY 14853 USA.</t>
  </si>
  <si>
    <t>spm263@cornell.edu; hhyun@hse.ru; jgoh@hbs.edu; sg337@cornell.edu</t>
  </si>
  <si>
    <t>Goh, Joel/B-5669-2016</t>
  </si>
  <si>
    <t>Gavirneni, Srinagesh/0000-0002-4107-8539; Mankad, Shawn/0000-0001-7945-8556; Goh, Joel/0000-0002-3473-9191</t>
  </si>
  <si>
    <t>2164-3962</t>
  </si>
  <si>
    <t>2164-3970</t>
  </si>
  <si>
    <t>SERV SCI</t>
  </si>
  <si>
    <t>Serv. Sci.</t>
  </si>
  <si>
    <t>10.1287/serv.2016.0126</t>
  </si>
  <si>
    <t>EF8GA</t>
  </si>
  <si>
    <t>WOS:000390565900004</t>
  </si>
  <si>
    <t>Brockmeyer, T; Zimmermann, J; Kulessa, D; Hautzinger, M; Bents, H; Friederich, HC; Herzog, W; Backenstrass, M</t>
  </si>
  <si>
    <t>Brockmeyer, Timo; Zimmermann, Johannes; Kulessa, Dominika; Hautzinger, Martin; Bents, Hinrich; Friederich, Hans-Christoph; Herzog, Wolfgang; Backenstrass, Matthias</t>
  </si>
  <si>
    <t>Me, myself, and I: self-referent word use as an indicator of self-focused attention in relation to depression and anxiety</t>
  </si>
  <si>
    <t>FRONTIERS IN PSYCHOLOGY</t>
  </si>
  <si>
    <t>self-focused attention; language; pronoun use; depression; chronic depression; anxiety</t>
  </si>
  <si>
    <t>ANOREXIA-NERVOSA; LANGUAGE USE; AUTOBIOGRAPHICAL MEMORIES; EPISODIC DEPRESSION; MAJOR DEPRESSION; RUMINATION; DISORDERS; VALIDITY; ONSET; MOOD</t>
  </si>
  <si>
    <t>Self-focused attention (SFA) is considered a cognitive bias that is closely related to depression. However, it is not yet well understood whether it represents a disorder-specific or a trans-diagnostic phenomenon and which role the valence of a given context is playing in this regard. Computerized quantitative text-analysis offers an integrative psycho-linguistic approach that may help to provide new insights into these complex relationships. The relative frequency of first-person singular pronouns in natural language is regarded as an objective, linguistic marker of SFA. Here we present two studies that examined the associations between SFA and symptoms of depression and anxiety in two different contexts (positive vs. negative valence), as well as the convergence between pronoun-use and self-reported aspects of SFA. In the first study, we found that the use of first-person singular pronouns during negative but not during positive memory recall was positively related to symptoms of depression and anxiety in patients with anorexia nervosa with varying levels of co-morbid depression and anxiety. In the second study, we found the same pattern of results in non-depressed individuals. In addition, use of first-person singular pronouns during negative memory recall was positively related to brooding (i.e., the assumed maladaptive sub-component of rumination) but not to reflection. These findings could not be replicated in two samples of depressed patients. However, non-chronically depressed patients used more first-person singular pronouns than healthy controls, irrespective of context. Taken together, the findings lend partial support to theoretical models that emphasize the effects of context on self-focus and consider SFA as a relevant trans-diagnostic phenomenon. In addition, the present findings point to the construct validity of pronoun-use as a linguistic marker of maladaptive self-focus.</t>
  </si>
  <si>
    <t>[Brockmeyer, Timo; Friederich, Hans-Christoph; Herzog, Wolfgang] Univ Heidelberg Hosp, Dept Gen Internal Med &amp; Psychosomat, Heidelberg, Germany; [Zimmermann, Johannes] Univ Kassel, Dept Psychol, D-34125 Kassel, Germany; [Kulessa, Dominika; Backenstrass, Matthias] Hosp Stuttgart, Inst Clin Psychol, Stuttgart, Germany; [Kulessa, Dominika; Hautzinger, Martin] Univ Tubingen, Dept Clin Psychol, Tubingen, Germany; [Bents, Hinrich] Heidelberg Univ, Ctr Psychol Psychotherapy, Heidelberg, Germany; [Friederich, Hans-Christoph] Univ Duisburg Essen, Dept Psychosomat Med &amp; Psychotherapy, LVR Clin, Essen, Germany</t>
  </si>
  <si>
    <t>Ruprecht Karls University Heidelberg; Universitat Kassel; Eberhard Karls University of Tubingen; Ruprecht Karls University Heidelberg; University of Duisburg Essen</t>
  </si>
  <si>
    <t>Brockmeyer, T (corresponding author), Univ Heidelberg Hosp, Dept Gen Internal Med &amp; Psychosomat, Heidelberg, Germany.</t>
  </si>
  <si>
    <t>timo.brockmeyer@med.uni-heidelberg.de</t>
  </si>
  <si>
    <t>Brockmeyer, Timo/K-8180-2019; Zimmermann, Johannes/K-3151-2013</t>
  </si>
  <si>
    <t>Brockmeyer, Timo/0000-0003-2544-7610; Zimmermann, Johannes/0000-0001-6975-2356</t>
  </si>
  <si>
    <t>FRONTIERS MEDIA SA</t>
  </si>
  <si>
    <t>LAUSANNE</t>
  </si>
  <si>
    <t>AVENUE DU TRIBUNAL FEDERAL 34, LAUSANNE, CH-1015, SWITZERLAND</t>
  </si>
  <si>
    <t>1664-1078</t>
  </si>
  <si>
    <t>FRONT PSYCHOL</t>
  </si>
  <si>
    <t>Front. Psychol.</t>
  </si>
  <si>
    <t>OCT 9</t>
  </si>
  <si>
    <t>10.3389/fpsyg.2015.01564</t>
  </si>
  <si>
    <t>CU4DV</t>
  </si>
  <si>
    <t>Green Published, gold</t>
  </si>
  <si>
    <t>WOS:000363477800001</t>
  </si>
  <si>
    <t>Vasi, IB; Walker, ET; Johnson, JS; Tan, HF</t>
  </si>
  <si>
    <t>Vasi, Ion Bogdan; Walker, Edward T.; Johnson, John S.; Tan, Hui Fen</t>
  </si>
  <si>
    <t>No Fracking Way! Documentary Film, Discursive Opportunity, and Local Opposition against Hydraulic Fracturing in the United States, 2010 to 2013</t>
  </si>
  <si>
    <t>social movements; environment; hydraulic fracturing; social media; mass media</t>
  </si>
  <si>
    <t>SOCIAL-MOVEMENTS; MEDIA DISCOURSE; NEWS MEDIA; MOBILIZATION; DYNAMICS; ORGANIZATIONS; EVOLUTION; DIFFUSION; NETWORKS; OUTCOMES</t>
  </si>
  <si>
    <t>Recent scholarship highlights the importance of public discourse for the mobilization and impact of social movements, but it neglects how cultural products may shift discourse and thereby influence mobilization and political outcomes. This study investigates how activism against hydraulic fracturing (fracking) utilized cultural artifacts to influence public perceptions and effect change. A systematic analysis of Internet search data, social media postings, and newspaper articles allows us to identify how the documentary Gasland reshaped public discourse. We find that Gasland contributed not only to greater online searching about fracking, but also to increased social media chatter and heightened mass media coverage. Local screenings of Gasland contributed to anti-fracking mobilizations, which, in turn, affected the passage of local fracking moratoria in the Marcellus Shale states. These results have implications not only for understanding movement outcomes, but also for theory and research on media, the environment, and energy.</t>
  </si>
  <si>
    <t>[Vasi, Ion Bogdan] Univ Iowa, Dept Sociol, Iowa City, IA 52241 USA; [Vasi, Ion Bogdan] Univ Iowa, Coll Business, Iowa City, IA 52241 USA; [Walker, Edward T.] Univ Calif Los Angeles, Dept Sociol, Los Angeles, CA 90024 USA; [Johnson, John S.] Harmony Inst, New York, NY USA; [Tan, Hui Fen] Cornell Univ, Stat, Ithaca, NY 14853 USA</t>
  </si>
  <si>
    <t>University of Iowa; University of Iowa; University of California System; University of California Los Angeles; Cornell University</t>
  </si>
  <si>
    <t>Vasi, IB (corresponding author), Univ Iowa, Dept Sociol, 120 Seashore Hall, Iowa City, IA 52241 USA.</t>
  </si>
  <si>
    <t>ion-vasi@uiowa.edu</t>
  </si>
  <si>
    <t>10.1177/0003122415598534</t>
  </si>
  <si>
    <t>CS9XZ</t>
  </si>
  <si>
    <t>WOS:000362448400003</t>
  </si>
  <si>
    <t>Shor, E; van de Rijt, A; Miltsov, A; Kulkarni, V; Skiena, S</t>
  </si>
  <si>
    <t>Shor, Eran; van de Rijt, Arnout; Miltsov, Alex; Kulkarni, Vivek; Skiena, Steven</t>
  </si>
  <si>
    <t>A Paper Ceiling: Explaining the Persistent Underrepresentation of Women in Printed News</t>
  </si>
  <si>
    <t>gender; sex; women; media; inequality; news; computational sociology</t>
  </si>
  <si>
    <t>LOCAL NEWSPAPER COVERAGE; GENDER-DIFFERENCES; SOURCE SELECTION; FEMALE SUBJECTS; SOCIAL-CONTROL; EMPIRICAL-TEST; MEDIA; BIAS; JOURNALISTS; EVENTS</t>
  </si>
  <si>
    <t>In the early twenty-first century, women continue to receive substantially less media coverage than men, despite women's much increased participation in public life. Media scholars argue that actors in news organizations skew news coverage in favor of men and male-related topics. However, no previous study has systematically examined whether such media bias exists beyond gender ratio imbalances in coverage that merely mirror societal-level structural and occupational gender inequalities. Using novel longitudinal data, we empirically isolate media-level factors and examine their effects on women's coverage rates in hundreds of newspapers. We find that societal-level inequalities are the dominant determinants of continued gender differences in coverage. The media focuses nearly exclusively on the highest strata of occupational and social hierarchies, in which women's representation has remained poor. We also find that women receive greater exposure in newspaper sections led by female editors, as well as in newspapers whose editorial boards have higher female representation. However, these differences appear to be mostly correlational, as women's coverage rates do not noticeably improve when male editors are replaced by female editors in a given newspaper.</t>
  </si>
  <si>
    <t>[Shor, Eran; Miltsov, Alex] McGill Univ, Dept Sociol, Montreal, PQ H3H 2J2, Canada; [van de Rijt, Arnout] SUNY Stony Brook, Dept Sociol, Stony Brook, NY USA; [van de Rijt, Arnout] SUNY Stony Brook, Inst Adv Computat Sci, Stony Brook, NY USA; [Kulkarni, Vivek] SUNY Stony Brook, Dept Comp Sci, Stony Brook, NY USA; [Skiena, Steven] SUNY Stony Brook, Comp Sci, Stony Brook, NY USA</t>
  </si>
  <si>
    <t>McGill University; State University of New York (SUNY) System; State University of New York (SUNY) Stony Brook; State University of New York (SUNY) System; State University of New York (SUNY) Stony Brook; State University of New York (SUNY) System; State University of New York (SUNY) Stony Brook; State University of New York (SUNY) System; State University of New York (SUNY) Stony Brook</t>
  </si>
  <si>
    <t>Shor, E (corresponding author), McGill Univ, Dept Sociol, 855 Sherbrooke St West, Montreal, PQ H3H 2J2, Canada.</t>
  </si>
  <si>
    <t>eran.shor@mcgill.ca</t>
  </si>
  <si>
    <t>Miltsov, Alexandre/0000-0003-2561-1871; van de Rijt, Arnout/0000-0002-4208-3452</t>
  </si>
  <si>
    <t>Social Sciences and Humanities Research Council of Canada; American Sociological Association fund for the Advancement of the Discipline; National Science Foundation [SES-1340122, DBI-1355990, IIS-1017181]; Google Faculty Research Award</t>
  </si>
  <si>
    <t>Social Sciences and Humanities Research Council of Canada(Social Sciences and Humanities Research Council of Canada (SSHRC)); American Sociological Association fund for the Advancement of the Discipline; National Science Foundation(National Science Foundation (NSF)); Google Faculty Research Award(Google Incorporated)</t>
  </si>
  <si>
    <t>This research was partially supported by a Social Sciences and Humanities Research Council of Canada Insight Grant (to Shor); by an American Sociological Association fund for the Advancement of the Discipline (to Shor and Van de Rijt); by National Science Foundation Grants SES-1340122 (to Van de Rijt), DBI-1355990 (to Skiena), and IIS-1017181 (to Skiena); and by a Google Faculty Research Award (to Skiena).</t>
  </si>
  <si>
    <t>10.1177/0003122415596999</t>
  </si>
  <si>
    <t>WOS:000362448400004</t>
  </si>
  <si>
    <t>Lewinski, P</t>
  </si>
  <si>
    <t>Lewinski, Peter</t>
  </si>
  <si>
    <t>Automated facial coding software outperforms people in recognizing neutral faces as neutral from standardized datasets</t>
  </si>
  <si>
    <t>non-verbal communication; facial expression; face recognition; neutral face; automated facial coding</t>
  </si>
  <si>
    <t>RECOGNITION; EXPRESSION; VALIDATION; EMOTION</t>
  </si>
  <si>
    <t>Little is known about people's accuracy of recognizing neutral faces as neutral. In this paper, I demonstrate the importance of knowing how well people recognize neutral faces. I contrasted human recognition scores of 100 typical, neutral front-up facial images with scores of an arguably objective judge automated facial coding (AFC) software. I hypothesized that the software would outperform humans in recognizing neutral faces because of the inherently objective nature of computer algorithms. Results confirmed this hypothesis. I provided the first-ever evidence that computer software (90%) was more accurate in recognizing neutral faces than people were (59%). I posited two theoretical mechanisms, i.e., smile-as-a-baseline and false recognition of emotion, as possible explanations for my findings.</t>
  </si>
  <si>
    <t>Univ Amsterdam, Amsterdam Sch Commun Res, Dept Commun Sci, NL-1001 NG Amsterdam, Netherlands</t>
  </si>
  <si>
    <t>University of Amsterdam</t>
  </si>
  <si>
    <t>Lewinski, P (corresponding author), Univ Amsterdam, Amsterdam Sch Commun Res, Dept Commun Sci, Postbus 15793, NL-1001 NG Amsterdam, Netherlands.</t>
  </si>
  <si>
    <t>p.lewinski@uva.nl</t>
  </si>
  <si>
    <t>European Union [290255]</t>
  </si>
  <si>
    <t>European Union(European Commission)</t>
  </si>
  <si>
    <t>The research leading to these results has received funding from the People Programme (Marie Curie Actions) of the European Union's Seventh Framework Programme FP7/2007-2013/ under REA grant agreement 290255.</t>
  </si>
  <si>
    <t>SEP 11</t>
  </si>
  <si>
    <t>10.3389/fpsyg.2015.01386</t>
  </si>
  <si>
    <t>CR1EF</t>
  </si>
  <si>
    <t>WOS:000361065900001</t>
  </si>
  <si>
    <t>Genevsky, A; Knutson, B</t>
  </si>
  <si>
    <t>Genevsky, Alexander; Knutson, Brian</t>
  </si>
  <si>
    <t>Neural Affective Mechanisms Predict Market-Level Microlending</t>
  </si>
  <si>
    <t>affect; accumbens; microlending; preference; fMRI; prosocial; human</t>
  </si>
  <si>
    <t>DECISION-MAKING; EMPATHY; PREFERENCES; RESPONSES; ALTRUISM; EMOTION; SYSTEMS; REVEAL</t>
  </si>
  <si>
    <t>Humans sometimes share with others whom they may never meet or know, in violation of the dictates of pure self-interest. Research has not established which neuropsychological mechanisms support lending decisions, nor whether their influence extends to markets involving significant financial incentives. In two studies, we found that neural affective mechanisms influence the success of requests for microloans. In a large Internet database of microloan requests (N = 13,500), we found that positive affective features of photographs promoted the success of those requests. We then established that neural activity (i.e., in the nucleus accumbens) and self-reported positive arousal in a neuroimaging sample (N = 28) predicted the success of loan requests on the Internet, above and beyond the effects of the neuroimaging sample's own choices (i.e., to lend or not). These findings suggest that elicitation of positive arousal can promote the success of loan requests, both in the laboratory and on the Internet. They also highlight affective neuroscience's potential to probe neuropsychological mechanisms that drive microlending, enhance the effectiveness of loan requests, and forecast market-level behavior.</t>
  </si>
  <si>
    <t>[Genevsky, Alexander; Knutson, Brian] Stanford Univ, Dept Psychol, Stanford, CA 94305 USA; [Knutson, Brian] Stanford Univ, Stanford Neurosci Inst, Stanford, CA 94305 USA</t>
  </si>
  <si>
    <t>Stanford University; Stanford University</t>
  </si>
  <si>
    <t>Genevsky, A (corresponding author), Stanford Univ, Dept Psychol, Jordan Hall,450 Serra Mall, Stanford, CA 94305 USA.</t>
  </si>
  <si>
    <t>genevsky@stanford.edu</t>
  </si>
  <si>
    <t>Knutson, Brian/0000-0002-7669-426X; Genevsky, Alexander/0000-0003-1048-3256</t>
  </si>
  <si>
    <t>Stanford Neuroscience Institute Big Ideas Initiative; Stanford Center for Compassion and Altruism Research and Education (CCARE)</t>
  </si>
  <si>
    <t>This research was funded by internal grants from the Stanford Neuroscience Institute Big Ideas Initiative and the Stanford Center for Compassion and Altruism Research and Education (CCARE).</t>
  </si>
  <si>
    <t>10.1177/0956797615588467</t>
  </si>
  <si>
    <t>WOS:000361171200007</t>
  </si>
  <si>
    <t>Fetterman, AK; Boyd, RL; Robinson, MD</t>
  </si>
  <si>
    <t>Fetterman, Adam K.; Boyd, Ryan L.; Robinson, Michael D.</t>
  </si>
  <si>
    <t>Power Versus Affiliation in Political Ideology: Robust Linguistic Evidence for Distinct Motivation-Related Signatures</t>
  </si>
  <si>
    <t>PERSONALITY AND SOCIAL PSYCHOLOGY BULLETIN</t>
  </si>
  <si>
    <t>political ideology; affiliation; power; language; content analysis</t>
  </si>
  <si>
    <t>LANGUAGE USE; WORDS; PERSONALITY; VALUES; MOTIVES; PROFILES; COMPUTER; LIBERALS; TRAITS; STYLES</t>
  </si>
  <si>
    <t>Posited motivational differences between liberals and conservatives have historically been controversial. This motivational interface has recently been bridged, but the vast majority of studies have used self-reports of values or motivation. Instead, the present four studies investigated whether two classic social motive themespower and affiliationvary by political ideology in objective linguistic analysis terms. Study 1 found that posts to liberal chat rooms scored higher in standardized affiliation than power, whereas the reverse was true of posts to conservative chat rooms. Study 2 replicated this pattern in the context of materials posted to liberal versus conservative political news websites. Studies 3 and 4, finally, replicated a similar interactive (ideology by motive type) pattern in State of the State and State of the Union addresses. Differences in political ideology, these results suggest, are marked by, and likely reflective of, mind-sets favoring affiliation (liberal) or power (conservative).</t>
  </si>
  <si>
    <t>[Fetterman, Adam K.] Knowledge Media Res Ctr, D-72076 Tubingen, Germany; [Boyd, Ryan L.] Univ Texas Austin, Austin, TX 78712 USA; [Robinson, Michael D.] N Dakota State Univ, Fargo, ND 58105 USA</t>
  </si>
  <si>
    <t>Eberhard Karls University of Tubingen; Leibniz Institut fur Wissensmedien; University of Texas System; University of Texas Austin; North Dakota State University Fargo</t>
  </si>
  <si>
    <t>Fetterman, AK (corresponding author), Knowledge Media Res Ctr, Schleichstr 6, D-72076 Tubingen, Germany.</t>
  </si>
  <si>
    <t>A.Fetterman@iwm-tuebingen.de</t>
  </si>
  <si>
    <t>Boyd, Ryan L/I-9148-2019; Boyd, Ryan/GZH-1468-2022; Fetterman, Adam/ABG-1483-2020</t>
  </si>
  <si>
    <t>Boyd, Ryan L/0000-0002-1876-6050; Fetterman, Adam/0000-0001-5957-7670</t>
  </si>
  <si>
    <t>0146-1672</t>
  </si>
  <si>
    <t>1552-7433</t>
  </si>
  <si>
    <t>PERS SOC PSYCHOL B</t>
  </si>
  <si>
    <t>Pers. Soc. Psychol. Bull.</t>
  </si>
  <si>
    <t>10.1177/0146167215591960</t>
  </si>
  <si>
    <t>CO0XK</t>
  </si>
  <si>
    <t>WOS:000358876900003</t>
  </si>
  <si>
    <t>Settanni, M; Marengo, D</t>
  </si>
  <si>
    <t>Settanni, Michele; Marengo, Davide</t>
  </si>
  <si>
    <t>Sharing feelings online: studying emotional well-being via automated text analysis of Facebook posts</t>
  </si>
  <si>
    <t>emotional well-being; psychological measurement; psychological assessment; social networking sites; cyberpsychology; psychoinformatics</t>
  </si>
  <si>
    <t>COMPUTERIZED CONTENT-ANALYSIS; SOCIAL NETWORKING; COLLEGE-STUDENTS; SUBCLINICAL DEPRESSION; LAY ASSESSMENT; ANXIETY; NARCISSISM; STRESS; MEDIA; DISCLOSURES</t>
  </si>
  <si>
    <t>Digital traces of activity on social network sites represent a vast source of ecological data with potential connections with individual behavioral and psychological characteristics. The present study investigates the relationship between user-generated textual content shared on Facebook and emotional well-being. Self-report measures of depression, anxiety, and stress were collected from 201 adult Facebook users from North Italy. Emotion-related textual indicators, including emoticon use, were extracted form users' Facebook posts via automated text analysis. Correlation analyses revealed that individuals with higher levels of depression, anxiety expressed negative emotions on Facebook more frequently. In addition, use of emoticons expressing positive emotions correlated negatively with stress level. When comparing age groups, younger users reported higher frequency of both emotion-related words and emoticon use in their posts. Also, the relationship between online emotional expression and self-report emotional well-being was generally stronger in the younger group. Overall, findings support the feasibility and validity of studying individual emotional well-being by means of examination of Facebook profiles. Implications for online screening purposes and future research directions are discussed.</t>
  </si>
  <si>
    <t>[Settanni, Michele] Univ Turin, Dept Psychol, I-10124 Turin, Italy; [Marengo, Davide] Univ Aosta Valley, Dept Social Sci &amp; Humanities, Aosta, Italy</t>
  </si>
  <si>
    <t>University of Turin; Universita Della Valle D'aosta</t>
  </si>
  <si>
    <t>Settanni, M (corresponding author), Univ Turin, Dept Psychol, Via Verdi 10, I-10124 Turin, Italy.</t>
  </si>
  <si>
    <t>michele.settanni@unito.it</t>
  </si>
  <si>
    <t>Marengo, Davide/AAE-5400-2021</t>
  </si>
  <si>
    <t>Marengo, Davide/0000-0002-7107-0810; Settanni, Michele/0000-0001-9115-4555</t>
  </si>
  <si>
    <t>JUL 23</t>
  </si>
  <si>
    <t>10.3389/fpsyg.2015.01045</t>
  </si>
  <si>
    <t>CO0YB</t>
  </si>
  <si>
    <t>gold, Green Published</t>
  </si>
  <si>
    <t>WOS:000358878800001</t>
  </si>
  <si>
    <t>Moore, SG</t>
  </si>
  <si>
    <t>Moore, Sarah G.</t>
  </si>
  <si>
    <t>Attitude Predictability and Helpfulness in Online Reviews: The Role of Explained Actions and Reactions</t>
  </si>
  <si>
    <t>word of mouth; explaining; explanation; online reviews; utilitarian; hedonic</t>
  </si>
  <si>
    <t>WORD-OF-MOUTH; CONSUMER REVIEWS; SELF-TALK; CHOICE; CONSEQUENCES; EXPERIENCES; CONSUMPTION; KNOWLEDGE; LANGUAGE; SALES</t>
  </si>
  <si>
    <t>This article examines explanation type in online word of mouth (WOM), focusing on what individuals explain: their actions (I chose this product because ...) or their reactions (I love this product because ...). Results show that review writers explain their actions more than their reactions for utilitarian products, but they explain their reactions more than their actions for hedonic products. They do so to be helpful to review readers, who find explained actions more helpful for utilitarian products and explained reactions more helpful for hedonic products. Explained actions and reactions are differentially helpful across product type because they increase readers' ability to predict their attitude toward the reviewed product: explained actions increase attitude predictability for utilitarian products, whereas explained reactions increase attitude predictability for hedonic products. These increases in attitude predictability and review helpfulness ultimately increase readers' choice of the product in question. This article contributes to the explaining and the WOM literatures by focusing on what individuals explain, rather than on how they explain, by identifying product type as a novel moderator of what review writers explain (actions or reactions), and by examining when and why review readers prefer different types of explanations.</t>
  </si>
  <si>
    <t>Univ Alberta, Alberta Sch Business, Mkt, Edmonton, AB T6G 2R6, Canada</t>
  </si>
  <si>
    <t>University of Alberta</t>
  </si>
  <si>
    <t>Moore, SG (corresponding author), Univ Alberta, Alberta Sch Business, Mkt, Edmonton, AB T6G 2R6, Canada.</t>
  </si>
  <si>
    <t>sarah.g.moore@ualberta.ca</t>
  </si>
  <si>
    <t>Social Sciences and Humanities Research Council of Canada</t>
  </si>
  <si>
    <t>Social Sciences and Humanities Research Council of Canada(Social Sciences and Humanities Research Council of Canada (SSHRC))</t>
  </si>
  <si>
    <t>Financial support from the Social Sciences and Humanities Research Council of Canada is gratefully acknowledged. For more details on study stimuli, please see the online supplemental material.</t>
  </si>
  <si>
    <t>10.1093/jcr/ucv003</t>
  </si>
  <si>
    <t>CK9ZA</t>
  </si>
  <si>
    <t>WOS:000356596900004</t>
  </si>
  <si>
    <t>Boyd, RL; Pennebaker, JW</t>
  </si>
  <si>
    <t>Boyd, Ryan L.; Pennebaker, James W.</t>
  </si>
  <si>
    <t>Did Shakespeare Write Double Falsehood? Identifying Individuals by Creating Psychological Signatures With Text Analysis</t>
  </si>
  <si>
    <t>language; thinking; individual differences; LIWC; personality; cognitive complexity</t>
  </si>
  <si>
    <t>LANGUAGE USE; WORDS; INDUCTION; FLETCHER</t>
  </si>
  <si>
    <t>More than 100 years after Shakespeare's death, Lewis Theobald published Double Falsehood, a play supposedly sourced from a lost play by Shakespeare and John Fletcher. Since its release, scholars have attempted to determine its true authorship. Using new approaches to language and psychological analysis, we examined Double Falsehood and the works of Theobald, Shakespeare, and Fletcher. Specifically, we created a psychological signature from each author's language and statistically compared the features of each signature with those of Double Falsehood's signature. Multiple analytic approaches converged in suggesting that Double Falsehood's psychological style and content architecture predominantly resemble those of Shakespeare, showing some similarity with Fletcher's signature and only traces of Theobald's. Closer inspection revealed that Shakespeare's influence is most apparent early in the play, whereas Fletcher's is most apparent in later acts. Double Falsehood has a psychological signature consistent with that expected to be present in the long-lost play The History of Cardenio, cowritten by Shakespeare and Fletcher.</t>
  </si>
  <si>
    <t>[Boyd, Ryan L.; Pennebaker, James W.] Univ Texas Austin, Austin, TX 78712 USA</t>
  </si>
  <si>
    <t>Boyd, RL (corresponding author), Univ Texas Austin, Dept Psychol A8000, 108 E Dean Keaton, Austin, TX 78712 USA.</t>
  </si>
  <si>
    <t>ryanboyd@utexas.edu</t>
  </si>
  <si>
    <t>Boyd, Ryan L/I-9148-2019; Boyd, Ryan/GZH-1468-2022; Pennebaker, James/GLR-6058-2022; Pennebaker, James W/E-5997-2013</t>
  </si>
  <si>
    <t>Boyd, Ryan L/0000-0002-1876-6050; Pennebaker, James W/0000-0001-9091-214X</t>
  </si>
  <si>
    <t>Army Research Institute [W5J9CQ12C0043]; National Science Foundation [IIS-1344257]</t>
  </si>
  <si>
    <t>Army Research Institute; National Science Foundation(National Science Foundation (NSF))</t>
  </si>
  <si>
    <t>Preparation of this manuscript was aided by grants from the Army Research Institute (W5J9CQ12C0043) and the National Science Foundation (IIS-1344257). The views, opinions, and findings contained in this report are those of the authors and should not be construed as the position, policy, or decision of these agencies, unless so designated by other documents.</t>
  </si>
  <si>
    <t>10.1177/0956797614566658</t>
  </si>
  <si>
    <t>CH8EM</t>
  </si>
  <si>
    <t>WOS:000354269100002</t>
  </si>
  <si>
    <t>Dore, B; Ort, L; Braverman, O; Ochsner, KN</t>
  </si>
  <si>
    <t>Dore, Bruce; Ort, Leonard; Braverman, Ofir; Ochsner, Kevin N.</t>
  </si>
  <si>
    <t>Sadness Shifts to Anxiety Over Time and Distance From the National Tragedy in Newtown, Connecticut</t>
  </si>
  <si>
    <t>emotions; cognitive appraisal</t>
  </si>
  <si>
    <t>PSYCHOLOGICAL DISTANCE; VICTIMS; MODEL</t>
  </si>
  <si>
    <t>How do increasing temporal and spatial distance affect the emotions people feel and express in response to tragic events? Standard views suggest that emotional intensity should decrease but are silent on changes in emotional quality. Using a large Twitter data set, we identified temporal and spatial patterns in use of emotional and cognitive words in tweets about the Sandy Hook Elementary School shooting. Although use of sadness words decreased with time and spatial distance, use of anxiety words showed the opposite pattern and was associated with concurrent increases in language reflecting causal thinking. In a follow-up experiment, we found that thinking about abstract causes (as opposed to concrete details) of this event similarly evoked decreased sadness but increased anxiety, which was associated with perceptions that a similar event might occur in the future. These data challenge current theories of emotional reactivity and identify time, space, and abstract causal thinking as factors that elicit categorical shifts in emotional responses to tragedy.</t>
  </si>
  <si>
    <t>[Dore, Bruce; Ort, Leonard; Braverman, Ofir; Ochsner, Kevin N.] Columbia Univ, New York, NY 10027 USA</t>
  </si>
  <si>
    <t>Dore, B (corresponding author), Columbia Univ, Dept Psychol, 324 Schermerhorn, New York, NY 10027 USA.</t>
  </si>
  <si>
    <t>bpd2108@columbia.edu; ochsner@psych.columbia.edu</t>
  </si>
  <si>
    <t>Dore, Bruce/AAF-7321-2021</t>
  </si>
  <si>
    <t>National Institute on Aging [R01AG043463-01]; National Institutes of Health Conte Center [PAR-11-126]; NATIONAL INSTITUTE OF MENTAL HEALTH [P50MH090964] Funding Source: NIH RePORTER; NATIONAL INSTITUTE ON AGING [R01AG043463] Funding Source: NIH RePORTER</t>
  </si>
  <si>
    <t>National Institute on Aging(United States Department of Health &amp; Human ServicesNational Institutes of Health (NIH) - USANIH National Institute on Aging (NIA)); National Institutes of Health Conte Center(United States Department of Health &amp; Human ServicesNational Institutes of Health (NIH) - USA); NATIONAL INSTITUTE OF MENTAL HEALTH(United States Department of Health &amp; Human ServicesNational Institutes of Health (NIH) - USANIH National Institute of Mental Health (NIMH)); NATIONAL INSTITUTE ON AGING(United States Department of Health &amp; Human ServicesNational Institutes of Health (NIH) - USANIH National Institute on Aging (NIA))</t>
  </si>
  <si>
    <t>This work was supported by National Institute on Aging Grant R01AG043463-01 and by National Institutes of Health Conte Center Grant PAR-11-126.</t>
  </si>
  <si>
    <t>10.1177/0956797614562218</t>
  </si>
  <si>
    <t>CG0UI</t>
  </si>
  <si>
    <t>WOS:000352986600001</t>
  </si>
  <si>
    <t>Senay, I; Usak, M; Prokop, P</t>
  </si>
  <si>
    <t>Senay, Ibrahim; Usak, Muhammet; Prokop, Pavol</t>
  </si>
  <si>
    <t>Talking About Behaviors in the Passive Voice Increases Task Performance</t>
  </si>
  <si>
    <t>APPLIED COGNITIVE PSYCHOLOGY</t>
  </si>
  <si>
    <t>SELF-TALK</t>
  </si>
  <si>
    <t>Self-talk can help people redirect their attention focused on themselves to the tasks they are working on with important consequences for their task performance. Across four experiments and two different types of languages, Turkish and Slovak, people describing their own behaviors to themselves, as well as merely reading or writing sentences depicting some fictitious events, in the passive (vs. the active) voice performed better on various tasks of motor and verbal performance. The effect was present to the extent that people maintained their control over task-distracting thoughts or felt more responsible for their task success/failure. In sum, talking about task behaviors in the passive voice may increase the perceived role of task-related factors while decreasing the role of agent-related factors in achieving task success, whereby the task focus, hence performance, increases. The results are important for understanding the role of self-talk in performance with implications for changing important outcomes. Copyright (c) 2014 John Wiley &amp; Sons, Ltd.</t>
  </si>
  <si>
    <t>[Senay, Ibrahim] Istanbul Sehir Univ, Dept Psychol, TR-34660 Istanbul, Turkey; [Usak, Muhammet] Gazi Univ, Dept Sci Educ, Ankara, Turkey; [Prokop, Pavol] Slovak Acad Sci, Inst Zool, Bratislava, Slovakia; [Prokop, Pavol] Trnava Univ, Dept Biol, Bratislava, Slovakia</t>
  </si>
  <si>
    <t>Istanbul Sehir University; Gazi University; Slovak Academy of Sciences; University of Trnava</t>
  </si>
  <si>
    <t>Senay, I (corresponding author), Istanbul Sehir Univ, Dept Psychol, TR-34660 Istanbul, Turkey.</t>
  </si>
  <si>
    <t>ibrahimsenay@sehir.edu.tr</t>
  </si>
  <si>
    <t>Prokop, Pavol/ABD-9546-2020; Usak, Muhammet/E-3176-2016</t>
  </si>
  <si>
    <t>Prokop, Pavol/0000-0003-2016-7468; Usak, Muhammet/0000-0002-6537-9993</t>
  </si>
  <si>
    <t>0888-4080</t>
  </si>
  <si>
    <t>1099-0720</t>
  </si>
  <si>
    <t>APPL COGNITIVE PSYCH</t>
  </si>
  <si>
    <t>Appl. Cogn. Psychol.</t>
  </si>
  <si>
    <t>10.1002/acp.3104</t>
  </si>
  <si>
    <t>CD6BL</t>
  </si>
  <si>
    <t>WOS:000351173400012</t>
  </si>
  <si>
    <t>Ertimur, B; Coskuner-Balli, G</t>
  </si>
  <si>
    <t>Ertimur, Burcak; Coskuner-Balli, Gokcen</t>
  </si>
  <si>
    <t>Navigating the Institutional Logics of Markets: Implications for Strategic Brand Management</t>
  </si>
  <si>
    <t>institutional logics; market evolution; strategic branding; competition; yoga</t>
  </si>
  <si>
    <t>NICHE WIDTH; ORGANIZATIONS; DYNAMICS; TRANSFORMATION; EVOLUTION; CONSUMERS; RESPONSES; EDUCATION; MOVEMENT; INSIGHTS</t>
  </si>
  <si>
    <t>Adopting an institutional theoretic framework, this article examines the evolution and competitive dynamics of markets composed of multiple practices, beliefs, and rule systems. The 30-year historical analysis of the U.S. yoga market illustrates the coexistence of spirituality, medical, fitness, and commercial logics. Using data gathered through archival sources, netnography, in-depth interviews, and participant observations, the authors link shifting emphases on institutional logics and their sustenance to institutional entrepreneurs' accumulation and transmission of cultural capital, strategies to legitimize plural logics, distinct branding practices, and contestations among the pervading logics. The study offers a managerial framework for managing conflicting demands of logics, conveying brand legitimacy, and creating a coherent brand identity in plural logic markets; in addition, it develops a theoretical account of links between institutional logics, competitive dynamics, and market evolution.</t>
  </si>
  <si>
    <t>[Ertimur, Burcak] Fairleigh Dickinson Univ, Mkt, Silberman Coll Business, Teaneck, NJ 07666 USA; [Coskuner-Balli, Gokcen] Chapman Univ, Mkt, Argyros Sch Business &amp; Econ, Orange, CA USA</t>
  </si>
  <si>
    <t>Fairleigh Dickinson University; Chapman University System; Chapman University</t>
  </si>
  <si>
    <t>Ertimur, B (corresponding author), Fairleigh Dickinson Univ, Mkt, Silberman Coll Business, Teaneck, NJ 07666 USA.</t>
  </si>
  <si>
    <t>bertimur@fdu.edu; balli@chapman.edu</t>
  </si>
  <si>
    <t>10.1509/jm.13.0218</t>
  </si>
  <si>
    <t>CD7XQ</t>
  </si>
  <si>
    <t>WOS:000351309300003</t>
  </si>
  <si>
    <t>Eichstaedt, JC; Schwartz, HA; Kern, ML; Park, G; Labarthe, DR; Merchant, RM; Jha, S; Agrawal, M; Dziurzynski, LA; Sap, M; Weeg, C; Larson, EE; Ungar, LH; Seligman, MEP</t>
  </si>
  <si>
    <t>Eichstaedt, Johannes C.; Schwartz, Hansen Andrew; Kern, Margaret L.; Park, Gregory; Labarthe, Darwin R.; Merchant, Raina M.; Jha, Sneha; Agrawal, Megha; Dziurzynski, Lukasz A.; Sap, Maarten; Weeg, Christopher; Larson, Emily E.; Ungar, Lyle H.; Seligman, Martin E. P.</t>
  </si>
  <si>
    <t>Psychological Language on Twitter Predicts County-Level Heart Disease Mortality</t>
  </si>
  <si>
    <t>heart disease; risk factors; well-being; language; big data; emotions; social media; open data; open materials</t>
  </si>
  <si>
    <t>PUBLIC-HEALTH; CARDIOVASCULAR-DISEASE; RISK; ASSOCIATION; DEPRESSION</t>
  </si>
  <si>
    <t>Hostility and chronic stress are known risk factors for heart disease, but they are costly to assess on a large scale. We used language expressed on Twitter to characterize community-level psychological correlates of age-adjusted mortality from atherosclerotic heart disease (AHD). Language patterns reflecting negative social relationships, disengagement, and negative emotionsespecially angeremerged as risk factors; positive emotions and psychological engagement emerged as protective factors. Most correlations remained significant after controlling for income and education. A cross-sectional regression model based only on Twitter language predicted AHD mortality significantly better than did a model that combined 10 common demographic, socioeconomic, and health risk factors, including smoking, diabetes, hypertension, and obesity. Capturing community psychological characteristics through social media is feasible, and these characteristics are strong markers of cardiovascular mortality at the community level.</t>
  </si>
  <si>
    <t>[Eichstaedt, Johannes C.; Schwartz, Hansen Andrew; Kern, Margaret L.; Park, Gregory; Dziurzynski, Lukasz A.; Sap, Maarten; Weeg, Christopher; Larson, Emily E.; Ungar, Lyle H.; Seligman, Martin E. P.] Univ Penn, Dept Psychol, Philadelphia, PA 19104 USA; [Schwartz, Hansen Andrew; Jha, Sneha; Agrawal, Megha; Ungar, Lyle H.] Univ Penn, Dept Comp &amp; Informat Sci, Philadelphia, PA 19104 USA; [Kern, Margaret L.] Univ Melbourne, Grad Sch Educ, Melbourne, Vic 3010, Australia; [Labarthe, Darwin R.] Northwestern Univ, Sch Med, Evanston, IL 60208 USA; [Merchant, Raina M.] Univ Penn, Dept Emergency Med, Philadelphia, PA 19104 USA</t>
  </si>
  <si>
    <t>University of Pennsylvania; University of Pennsylvania; University of Melbourne; Northwestern University; University of Pennsylvania</t>
  </si>
  <si>
    <t>Eichstaedt, JC (corresponding author), Univ Penn, Dept Psychol, 3701 Market St,Ste 220, Philadelphia, PA 19104 USA.</t>
  </si>
  <si>
    <t>johannes.penn@gmail.com; andy.schwartz@gmail.com</t>
  </si>
  <si>
    <t>Weeg, Christopher/O-8603-2018; Schwartz, H. Andrew/AAE-7276-2021; Kern, Margaret L./T-3661-2018</t>
  </si>
  <si>
    <t>Weeg, Christopher/0000-0002-0932-6264; Kern, Margaret L./0000-0003-4300-598X; Sap, Maarten/0000-0002-0701-4654; Eichstaedt, Johannes/0000-0002-3220-2972</t>
  </si>
  <si>
    <t>Robert Wood Johnson Foundation's Pioneer Portfolio, through Exploring Concepts of Positive Health Grant [63597]; Templeton Religion Trust; NATIONAL HEART, LUNG, AND BLOOD INSTITUTE [K23HL109083] Funding Source: NIH RePORTER</t>
  </si>
  <si>
    <t>Robert Wood Johnson Foundation's Pioneer Portfolio, through Exploring Concepts of Positive Health Grant; Templeton Religion Trust; NATIONAL HEART, LUNG, AND BLOOD INSTITUTE(United States Department of Health &amp; Human ServicesNational Institutes of Health (NIH) - USANIH National Heart Lung &amp; Blood Institute (NHLBI))</t>
  </si>
  <si>
    <t>This work was supported by the Robert Wood Johnson Foundation's Pioneer Portfolio, through Exploring Concepts of Positive Health Grant 63597 (to M. E. P. Seligman), and by a grant from the Templeton Religion Trust.</t>
  </si>
  <si>
    <t>10.1177/0956797614557867</t>
  </si>
  <si>
    <t>CB4TV</t>
  </si>
  <si>
    <t>WOS:000349622000005</t>
  </si>
  <si>
    <t>Parmentier, MA; Fischer, E</t>
  </si>
  <si>
    <t>Parmentier, Marie-Agnes; Fischer, Eileen</t>
  </si>
  <si>
    <t>Things Fall Apart: The Dynamics of Brand Audience Dissipation</t>
  </si>
  <si>
    <t>CONSUMERS; EXTENSIONS; MEANINGS; IDENTITY; IMPACT; MYTHS</t>
  </si>
  <si>
    <t>Much prior work illuminates how fans of a brand can contribute to the value enjoyed by other members of its audience, but little is known about any processes by which fans contribute to the dissipation of that audience. Using longitudinal data on America's Next Top Model, a serial brand, and conceptualizing brands as assemblages of heterogeneous components, this article examines how fans can contribute to the destabilization of a brand's identity and fuel the dissipation of audiences of which they have been members. This work suggests that explanations focusing on satiation, psychology, or semiotics are inadequate to account for dissipation in the audience for serial brands. Moreover, the perspective advanced here highlights how fans can create doppelganger brand images and contribute to the co-destruction of serial brands they have avidly followed.</t>
  </si>
  <si>
    <t>[Parmentier, Marie-Agnes] HEC Montreal, Dept Mkt, Montreal, PQ H3T 2A7, Canada; [Fischer, Eileen] York Univ, Schulich Sch Business, Toronto, ON M3J 1P3, Canada</t>
  </si>
  <si>
    <t>Universite de Montreal; HEC Montreal; York University - Canada</t>
  </si>
  <si>
    <t>Parmentier, MA (corresponding author), HEC Montreal, Dept Mkt, 3000 Chemin Cote St Catherine, Montreal, PQ H3T 2A7, Canada.</t>
  </si>
  <si>
    <t>marie-agnes.parmentier@hec.ca; efischer@schulich.yorku.ca</t>
  </si>
  <si>
    <t>Parmentier, Marie-Agnès/CAG-1031-2022</t>
  </si>
  <si>
    <t>10.1086/678907</t>
  </si>
  <si>
    <t>AZ6UN</t>
  </si>
  <si>
    <t>WOS:000348356100005</t>
  </si>
  <si>
    <t>Borgman, CL</t>
  </si>
  <si>
    <t>Borgman, C. L.</t>
  </si>
  <si>
    <t>Big Data, Little Data, No Data: Scholarship in the Networked World</t>
  </si>
  <si>
    <t>BIG DATA, LITTLE DATA, NO DATA: SCHOLARSHIP IN THE NETWORKED WORLD</t>
  </si>
  <si>
    <t>WIRELESS SENSOR NETWORKS; ASTROPHYSICS DATA SYSTEM; SCIENCE-AND-TECHNOLOGY; OPEN-ACCESS; AVIAN INFLUENZA; REPRODUCIBLE RESEARCH; DIGITAL LIBRARIES; CITATION ANALYSIS; SCIENTIFIC-DATA; GENOME-PROJECT</t>
  </si>
  <si>
    <t>978-0-262-02856-1</t>
  </si>
  <si>
    <t>Computer Science, Interdisciplinary Applications; Information Science &amp; Library Science</t>
  </si>
  <si>
    <t>Book Citation Index – Social Sciences &amp; Humanities (BKCI-SSH); Book Citation Index – Science (BKCI-S)</t>
  </si>
  <si>
    <t>Computer Science; Information Science &amp; Library Science</t>
  </si>
  <si>
    <t>BD1YK</t>
  </si>
  <si>
    <t>WOS:000358503000013</t>
  </si>
  <si>
    <t>Humphreys, A; Thompson, CJ</t>
  </si>
  <si>
    <t>Humphreys, Ashlee; Thompson, Craig J.</t>
  </si>
  <si>
    <t>Branding Disaster: Reestablishing Trust through the Ideological Containment of Systemic Risk Anxieties</t>
  </si>
  <si>
    <t>CONSUMER CULTURE; CONSUMPTION PRACTICES; SOCIAL MEDIA; COMMUNITY; CREATION; IMAGES; WORK; LIFE; AVAILABILITY; CONSTRUCTION</t>
  </si>
  <si>
    <t>Drawing from literary criticism and institutional theory, this article analyzes the public discourse surrounding the Exxon Valdez spill of 1989 and BP Gulf Spill of 2010. While industrial accidents such as oil spills can erode consumers' trust in experts, a macrolevel analysis reveals that media coverage of such events ultimately contains the anxieties that are sparked by initial news coverage. The brand-centric disaster myths generated by media coverage frame public discourse in ways that help to reestablish consumers' trust in expert systems while also insulating corporations and governmental institutions from more systematic critiques. This analysis contributes to a macrolevel theorization of the institutional and ideological structures that shape consumers' risk perceptions and just world beliefs. It also extends prior accounts of cultural branding by identifying a set of ideological effects that operate in concert with the more commonly discussed therapeutic benefits afforded by marketplace myths.</t>
  </si>
  <si>
    <t>[Humphreys, Ashlee] Northwestern Univ, Medill Sch Journalism, Evanston, IL 60202 USA; [Thompson, Craig J.] Univ Wisconsin, Madison, WI 53706 USA</t>
  </si>
  <si>
    <t>Northwestern University; University of Wisconsin System; University of Wisconsin Madison</t>
  </si>
  <si>
    <t>a-humphreys@northwestern.edu; cthompson@bus.wisc.edu</t>
  </si>
  <si>
    <t>10.1086/677905</t>
  </si>
  <si>
    <t>AT9DG</t>
  </si>
  <si>
    <t>WOS:000345227600001</t>
  </si>
  <si>
    <t>Brysbaert, M; Warriner, AB; Kuperman, V</t>
  </si>
  <si>
    <t>Brysbaert, Marc; Warriner, Amy Beth; Kuperman, Victor</t>
  </si>
  <si>
    <t>Concreteness ratings for 40 thousand generally known English word lemmas</t>
  </si>
  <si>
    <t>Concreteness; Ratings; Crowdsourcing; Word recognition</t>
  </si>
  <si>
    <t>LEXICAL DECISION DATA; CONTEXT AVAILABILITY; AMERICAN-ENGLISH; NORMS; IMAGEABILITY; ACQUISITION; PROJECT; AGE; MEANINGFULNESS; COMPREHENSION</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</si>
  <si>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</si>
  <si>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[Brysbaert, Marc] Univ Ghent, Dept Expt Psychol, B-9000 Ghent, Belgium; [Warriner, Amy Beth; Kuperman, Victor] McMaster Univ, Hamilton, ON, Canada</t>
  </si>
  <si>
    <t>Ghent University; McMaster University</t>
  </si>
  <si>
    <t>Brysbaert, M (corresponding author), Univ Ghent, Dept Expt Psychol, Henri Dunantlaan 2, B-9000 Ghent, Belgium.</t>
  </si>
  <si>
    <t>marc.brysbaert@ugent.be</t>
  </si>
  <si>
    <t>Brysbaert, Marc/A-3910-2011</t>
  </si>
  <si>
    <t>Brysbaert, Marc/0000-0002-3645-3189</t>
  </si>
  <si>
    <t>10.3758/s13428-013-0403-5</t>
  </si>
  <si>
    <t>AM9UK</t>
  </si>
  <si>
    <t>WOS:000340226300022</t>
  </si>
  <si>
    <t>Measuring Readability in Financial Disclosures</t>
  </si>
  <si>
    <t>JOURNAL OF FINANCE</t>
  </si>
  <si>
    <t>EARNINGS PERSISTENCE; STOCK-MARKET; INFORMATION; INVESTORS; FORMULA; WORDS</t>
  </si>
  <si>
    <t>Defining and measuring readability in the context of financial disclosures becomes important with the increasing use of textual analysis and the Securities and Exchange Commission's plain English initiative. We propose defining readability as the effective communication of valuation-relevant information. The Fog Index-the most commonly applied readability measure-is shown to be poorly specified in financial applications. Of Fog's two components, one is misspecified and the other is difficult to measure. We report that 10-K document file size provides a simple readability proxy that outperforms the Fog Index, does not require document parsing, facilitates replication, and is correlated with alternative readability constructs.</t>
  </si>
  <si>
    <t>WILEY-BLACKWELL</t>
  </si>
  <si>
    <t>0022-1082</t>
  </si>
  <si>
    <t>1540-6261</t>
  </si>
  <si>
    <t>J FINANC</t>
  </si>
  <si>
    <t>J. Financ.</t>
  </si>
  <si>
    <t>10.1111/jofi.12162</t>
  </si>
  <si>
    <t>Business, Finance; Economics</t>
  </si>
  <si>
    <t>AM0BB</t>
  </si>
  <si>
    <t>WOS:000339506600007</t>
  </si>
  <si>
    <t>Hsu, KJ; Babeva, KN; Feng, MC; Hummer, JF; Davison, GC</t>
  </si>
  <si>
    <t>Hsu, Kean J.; Babeva, Kalina N.; Feng, Michelle C.; Hummer, Justin F.; Davison, Gerald C.</t>
  </si>
  <si>
    <t>Experimentally induced distraction impacts cognitive but not emotional processes in think-aloud cognitive assessment</t>
  </si>
  <si>
    <t>cognitive assessment; think-aloud; distraction; emotion; Articulated Thoughts in Simulated Situations</t>
  </si>
  <si>
    <t>SIMULATED SITUATIONS; ARTICULATED THOUGHTS; SELECTIVE ATTENTION; WORKING-MEMORY; INTERFERENCE; PARADIGM; TASK; CUES; COMMUNICATION; PERFORMANCE</t>
  </si>
  <si>
    <t>Studies have examined the impact of distraction on basic task performance (e.g., working memory, motor responses), yet research is lacking regarding its impact in the domain of think-aloud cognitive assessment, where the threat to assessment validity is high. The Articulated Thoughts in Simulated Situations think-aloud cognitive assessment paradigm was employed to address this issue. Participants listened to scenarios under three conditions (i.e., while answering trivia questions, playing a visual puzzle game, or with no experimental distractor). Their articulated thoughts were then content-analyzed both by the Linguistic Inquiry and Word Count (LIWC) program and by content analysis of emotion and cognitive processes conducted by trained coders. Distraction did not impact indices of emotion but did affect cognitive processes. Specifically, with the LIWC system, the trivia questions distraction condition resulted in significantly higher proportions of insight and causal words, and higher frequencies of non-fluencies (e.g., uh or umm) and filler words (e.g., like or you know). Coder-rated content analysis found more disengagement and more misunderstanding particularly in the trivia questions distraction condition. A better understanding of how distraction disrupts the amount and type of cognitive engagement holds important implications for future studies employing cognitive assessment methods.</t>
  </si>
  <si>
    <t>[Hsu, Kean J.; Babeva, Kalina N.; Feng, Michelle C.; Hummer, Justin F.; Davison, Gerald C.] Univ So Calif, Dept Psychol, Lab Cognit Studies Clin Psychol, Los Angeles, CA 90089 USA</t>
  </si>
  <si>
    <t>University of Southern California</t>
  </si>
  <si>
    <t>Hsu, KJ (corresponding author), Univ So Calif, Dept Psychol, SGM 501,3620 S McClintock Ave, Los Angeles, CA 90089 USA.</t>
  </si>
  <si>
    <t>keanhsu@usc.edu</t>
  </si>
  <si>
    <t>Hsu, Kean/AAC-6116-2020</t>
  </si>
  <si>
    <t>Hsu, Kean/0000-0001-6192-4045</t>
  </si>
  <si>
    <t>FRONTIERS RESEARCH FOUNDATION</t>
  </si>
  <si>
    <t>PO BOX 110, LAUSANNE, 1015, SWITZERLAND</t>
  </si>
  <si>
    <t>MAY 20</t>
  </si>
  <si>
    <t>10.3389/fpsyg.2014.00474</t>
  </si>
  <si>
    <t>AH4HW</t>
  </si>
  <si>
    <t>WOS:000336089000001</t>
  </si>
  <si>
    <t>Kovacs, B; Carroll, GR; Lehman, DW</t>
  </si>
  <si>
    <t>Kovacs, Balazs; Carroll, Glenn R.; Lehman, David W.</t>
  </si>
  <si>
    <t>Authenticity and Consumer Value Ratings: Empirical Tests from the Restaurant Domain</t>
  </si>
  <si>
    <t>ORGANIZATION SCIENCE</t>
  </si>
  <si>
    <t>authenticity; organization theory; restaurants; online reviews; consumer value ratings</t>
  </si>
  <si>
    <t>JUDGMENTS; COMMUNITY; LIFE; SELF</t>
  </si>
  <si>
    <t>W e present two studies that together test a fundamental yet rarely examined assumption underlying the contemporary appeal of authenticity-namely, that consumers assign higher value ratings to organizations regarded as authentic. Study 1 conducts content analysis of unsolicited online restaurant reviews entered voluntarily by consumers in three major U. S. metropolitan areas from October 2004 to October 2011; the data contain information from 1,271,796 reviews written by 252,359 unique reviewers of 18,869 restaurants. The findings show that consumers assign higher ratings to restaurants regarded as authentic, even after controlling for restaurant quality in several ways. In addition, we find that consumers perceive independent, family-owned, and specialist (single-category) restaurants as more authentic than they do chain, non-family-owned, and generalist (multiple-category) restaurants. Study 2 reinforces these findings using an experimental design in which participants were presented with photos and minimal descriptions of fictitious restaurants and then asked to evaluate the likely authenticity, quality, and overall value of the restaurants in a predetermined sequence. Central to both studies is an authenticity scale that was developed through the use of an online survey that ascertains the specific language used by individuals in referencing authenticity in the restaurant domain. Taken together, these studies demonstrate that authenticity generates higher consumer value ratings of organizations; the studies also identify certain types of organizations that are more likely to receive authenticity attributions by consumers.</t>
  </si>
  <si>
    <t>[Kovacs, Balazs] Univ Lugano, Inst Management, CH-6900 Lugano, Switzerland; [Carroll, Glenn R.] Stanford Univ, Grad Sch Business, Stanford, CA 94305 USA; [Lehman, David W.] Univ Virginia, McIntire Sch Commerce, Charlottesville, VA 22904 USA</t>
  </si>
  <si>
    <t>Universita della Svizzera Italiana; Stanford University; University of Virginia</t>
  </si>
  <si>
    <t>Kovacs, B (corresponding author), Univ Lugano, Inst Management, CH-6900 Lugano, Switzerland.</t>
  </si>
  <si>
    <t>kovacsb@usi.ch; gcarroll@gsb.stanford.edu; lehman@virginia.edu</t>
  </si>
  <si>
    <t>Carroll, Glenn/L-3378-2016</t>
  </si>
  <si>
    <t>Carroll, Glenn/0000-0001-7718-9348; Lehman, David/0000-0001-6663-889X</t>
  </si>
  <si>
    <t>1047-7039</t>
  </si>
  <si>
    <t>ORGAN SCI</t>
  </si>
  <si>
    <t>Organ Sci.</t>
  </si>
  <si>
    <t>10.1287/orsc.2013.0843</t>
  </si>
  <si>
    <t>Management</t>
  </si>
  <si>
    <t>AC9FO</t>
  </si>
  <si>
    <t>WOS:000332840000008</t>
  </si>
  <si>
    <t>Kacewicz, E; Pennebaker, JW; Davis, M; Jeon, M; Graesser, AC</t>
  </si>
  <si>
    <t>Kacewicz, Ewa; Pennebaker, James W.; Davis, Matthew; Jeon, Moongee; Graesser, Arthur C.</t>
  </si>
  <si>
    <t>Pronoun Use Reflects Standings in Social Hierarchies</t>
  </si>
  <si>
    <t>pronouns; language; social hierarchy; power; status; leadership</t>
  </si>
  <si>
    <t>INTERPERSONAL SENSITIVITY; POWER; DEPRESSION; DOMINANCE; PRESTIGE; OTHERS; RANK; TOP</t>
  </si>
  <si>
    <t>Five studies explored the ways relative rank is revealed among individuals in small groups through their natural use of pronouns. In Experiment 1, four-person groups worked on a decision-making task with randomly assigned leadership status. In Studies 2 and 3, two-person groups either worked on a task or chatted informally in a get-to-know-you session. Study 4 was a naturalistic study of incoming and outgoing e-mail of 9 participants who provided information on their correspondents' relative status. The last study examined 40 letters written by soldiers in the regime of Saddam Hussein. Computerized text analyses across the five studies found that people with higher status consistently used fewer first-person singular, and more first-person plural and second-person singular pronouns. Natural language use during group interaction suggests that status is associated with attentional biases, such that higher rank is linked with other-focus whereas lower rank is linked with self-focus.</t>
  </si>
  <si>
    <t>[Kacewicz, Ewa; Davis, Matthew] Univ Texas Austin, Austin, TX 78712 USA; [Pennebaker, James W.] Univ Texas Austin, Dept Psychol, Austin, TX 78712 USA; [Jeon, Moongee] Konkuk Univ, Dept English, Seoul, South Korea; [Graesser, Arthur C.] Univ Memphis, Dept Psychol, Memphis, TN 38152 USA; [Graesser, Arthur C.] Univ Memphis, Inst Intelligent Syst, Memphis, TN 38152 USA</t>
  </si>
  <si>
    <t>University of Texas System; University of Texas Austin; University of Texas System; University of Texas Austin; Konkuk University; University of Memphis; University of Memphis</t>
  </si>
  <si>
    <t>pennebaker@mail.utexas.edu</t>
  </si>
  <si>
    <t>Pennebaker, James W/0000-0001-9091-214X; Jeon, Moongee/0000-0001-7820-9654</t>
  </si>
  <si>
    <t>10.1177/0261927X13502654</t>
  </si>
  <si>
    <t>AA8VD</t>
  </si>
  <si>
    <t>WOS:000331372200003</t>
  </si>
  <si>
    <t>Ritter, RS; Preston, JL; Hernandez, I</t>
  </si>
  <si>
    <t>Ritter, Ryan S.; Preston, Jesse Lee; Hernandez, Ivan</t>
  </si>
  <si>
    <t>Happy Tweets: Christians Are Happier, More Socially Connected, and Less Analytical Than Atheists on Twitter</t>
  </si>
  <si>
    <t>Twitter; religion; atheism; happiness; thinking style</t>
  </si>
  <si>
    <t>MENTAL-HEALTH; RELIGION; SCIENCE; BELIEVE</t>
  </si>
  <si>
    <t>We analyze data from nearly 2 million text messages (tweets) across over 16,000 users on Twitter to examine differences between Christians and atheists in natural language. Analyses reveal that Christians use more positive emotion words and less negative emotion words than atheists. Moreover, two independent paths predict differences in expressions of happiness: frequency of words related to an intuitive (vs. analytic) thinking style and frequency of words related to social relationships. These findings provide the first evidence that the relationship between religion and happiness is partially mediated by thinking style. This research also provides support for previous laboratory studies and self-report data, suggesting that social connection partially mediates the relationship between religiosity and happiness. Implications for theory and the future of social science using computational methods to analyze social media are discussed.</t>
  </si>
  <si>
    <t>[Ritter, Ryan S.; Preston, Jesse Lee; Hernandez, Ivan] Univ Illinois, Champaign, IL 61820 USA</t>
  </si>
  <si>
    <t>University of Illinois System; University of Illinois Urbana-Champaign</t>
  </si>
  <si>
    <t>Ritter, RS (corresponding author), Univ Illinois, 603 East Daniel St, Champaign, IL 61820 USA.</t>
  </si>
  <si>
    <t>ryan.s.ritter@gmail.com</t>
  </si>
  <si>
    <t>Preston, Jesse/0000-0003-1708-221X; Hernandez, Ivan/0000-0002-3141-7525</t>
  </si>
  <si>
    <t>10.1177/1948550613492345</t>
  </si>
  <si>
    <t>AH9CI</t>
  </si>
  <si>
    <t>WOS:000336437600014</t>
  </si>
  <si>
    <t>Acton, EK; Potts, C</t>
  </si>
  <si>
    <t>Acton, Eric K.; Potts, Christopher</t>
  </si>
  <si>
    <t>That straight talk: Sarah Palin and the sociolinguistics of demonstratives</t>
  </si>
  <si>
    <t>JOURNAL OF SOCIOLINGUISTICS</t>
  </si>
  <si>
    <t>perspective; social meaning; style; social media; Sarah Palin; Demonstratives</t>
  </si>
  <si>
    <t>GENDER</t>
  </si>
  <si>
    <t>Drawing on previous analyses of the social meaning of demonstratives and other function words, we argue that the semantics of demonstratives facilitates affective uses that can be characterized as attempts by the speaker to foster a sense of shared perspective and common ground with other discourse participants. We present large-scale quantitative evidence that this strategy is widely used and communicatively effective. We then conduct a focused case study of the demonstrative use of U.S. politician and public figure Sarah Palin, situated in the wider context of Palin's persona, style, and place in the social landscape. An analysis of television interview data shows that Palin is a distinctive and prolific user of affective demonstratives. Palin's usage highlights the context-dependence of demonstratives' social meaning and leads to a deeper understanding of her rhetorical strategies and the polarized reactions they have received.</t>
  </si>
  <si>
    <t>[Acton, Eric K.; Potts, Christopher] Stanford Univ, Stanford, CA 94305 USA</t>
  </si>
  <si>
    <t>Acton, EK (corresponding author), Stanford Univ, Dept Linguist, Margaret Jacks Hall,Bldg 460, Stanford, CA 94305 USA.</t>
  </si>
  <si>
    <t>eacton@stanford.edu</t>
  </si>
  <si>
    <t>Div Of Information &amp; Intelligent Systems [1159679] Funding Source: National Science Foundation</t>
  </si>
  <si>
    <t>Div Of Information &amp; Intelligent Systems(National Science Foundation (NSF)NSF - Directorate for Computer &amp; Information Science &amp; Engineering (CISE))</t>
  </si>
  <si>
    <t>1360-6441</t>
  </si>
  <si>
    <t>1467-9841</t>
  </si>
  <si>
    <t>J SOCIOLING</t>
  </si>
  <si>
    <t>J. Socioling.</t>
  </si>
  <si>
    <t>10.1111/josl.12062</t>
  </si>
  <si>
    <t>Linguistics</t>
  </si>
  <si>
    <t>AC9HJ</t>
  </si>
  <si>
    <t>WOS:000332844800001</t>
  </si>
  <si>
    <t>Crawford, K; Miltner, K; Gray, ML</t>
  </si>
  <si>
    <t>Crawford, Kate; Miltner, Kate; Gray, Mary L.</t>
  </si>
  <si>
    <t>Critiquing Big Data: Politics, Ethics, Epistemology Special Section Introduction</t>
  </si>
  <si>
    <t>INTERNATIONAL JOURNAL OF COMMUNICATION</t>
  </si>
  <si>
    <t>Why now? This is the first question we might ask of the big data phenomenon. Why has it gained such remarkable purchase in a range of industries and across academia, at this point in the 21st century? Big data as a term has spread like kudzu in a few short years, ranging across a vast terrain that spans health care, astronomy, policing, city planning, and advertising. From the RNA bacteriophages in our bodies to the Kepler Space Telescope, searching for terrorists or predicting cereal preferences, big data is deployed as the term of art to encompass all the techniques used to analyze data at scale. But why has the concept gained such traction now?</t>
  </si>
  <si>
    <t>[Crawford, Kate; Miltner, Kate; Gray, Mary L.] Microsoft Res, New England, NH USA; [Crawford, Kate] MIT, Ctr Civ Media, Cambridge, MA 02139 USA; [Crawford, Kate] NYU, Informat Law Inst, New York, NY 10003 USA; [Gray, Mary L.] Indiana Univ, Bloomington, IN 47405 USA</t>
  </si>
  <si>
    <t>Microsoft; Massachusetts Institute of Technology (MIT); New York University; Indiana University System; Indiana University Bloomington</t>
  </si>
  <si>
    <t>Crawford, K (corresponding author), Microsoft Res, New England, NH USA.</t>
  </si>
  <si>
    <t>kate@katecrawford.net; a-kamilt@microsoft.com; mlg@microsoft.com</t>
  </si>
  <si>
    <t>USC ANNENBERG PRESS</t>
  </si>
  <si>
    <t>LOS ANGELES</t>
  </si>
  <si>
    <t>UNIV SOUTHERN CALIFORNIA, KERCKHOFF HALL, 734 W ADAMS BLVD, MC7725, LOS ANGELES, CA 90089 USA</t>
  </si>
  <si>
    <t>1932-8036</t>
  </si>
  <si>
    <t>INT J COMMUN-US</t>
  </si>
  <si>
    <t>Int. J. Commun.</t>
  </si>
  <si>
    <t>CA6HB</t>
  </si>
  <si>
    <t>WOS:000349010500016</t>
  </si>
  <si>
    <t>van Bommel, K</t>
  </si>
  <si>
    <t>van Bommel, Koen</t>
  </si>
  <si>
    <t>Towards a legitimate compromise? An exploration of Integrated Reporting in the Netherlands</t>
  </si>
  <si>
    <t>ACCOUNTING AUDITING &amp; ACCOUNTABILITY JOURNAL</t>
  </si>
  <si>
    <t>Legitimacy; The Netherlands; Sustainability reporting; Integrated reporting; Justification; Sociology of worth</t>
  </si>
  <si>
    <t>ENVIRONMENTAL DISCLOSURES; CORPORATE; WORTH; RESPONSIBILITY; ORGANIZATIONS; PERSPECTIVE; GOVERNANCE; SOCIOLOGY; BUSINESS; ORDERS</t>
  </si>
  <si>
    <t>Purpose - The purpose of this paper is to examine the multiplicity of views on integrated reporting and to consider the possibility of, and impediments to, reconciling these multiple rationales (orders of worth) and thus gain legitimacy through a compromise. This sheds light on the understanding of integrated reporting as such, as well as shows how legitimacy struggles are resolved in practice around complex accounting practices in heterogeneous environments. Design/methodology/approach - This explorative paper empirically applies Boltanski and Thevenot's sociology of worth (SOW) framework to analyse integrated reporting in the Dutch reporting field. Data were collected using multiple methods, including 64 semi-structured in-depth interviews with a wide range of relevant actors, and documentary analysis. Data were coded for the presence of orders of worth and legitimating compromise mechanisms. Findings - The author's analysis suggests that integrated reporting combines the disparate domains of industrial, market, civic and green order of worth. These different logics of valuation need to be reconciled in a compromise in order for integrated reporting to become a legitimate practice. Such a compromise requires a common interest, avoidance of clarification and maintenance of ambiguity. The author's analysis suggests these mechanisms are violated though, with the risk that integrated reporting gets captured by investors and accountants, leading to local private arrangements rather than durable legitimate compromise. Research limitations/implications - First, SOW informs the understanding of integrated reporting. It highlights in particular its fragility as fundamentally different rationales need to be reconciled, which is a challenge yet also gives rise to creative frictions. Second, the SOW framework creates the possibility for scholars to look closer at the dynamics of legitimacy and at the possible mechanisms to attain legitimacy in fragmented and heterogeneous environment. Practical implications - The SOW framework offers tools for practitioners, in particular those working within a pluralistic context. The various mechanisms of compromise discussed in this paper provide practical guidelines for how to manage this complexity and gain or maintain legitimacy. Originality/value - This rich empirical study combines a novel theoretical approach (the SOW framework) with an analysis of the relatively unexplored topic of integrated reporting. At the same time it introduces a conceptualisation of legitimacy that highlights communicative and constitutive dialogue and goes beyond fit and compliance.</t>
  </si>
  <si>
    <t>Vrije Univ Amsterdam, Fac Econ &amp; Business Adm, Amsterdam, Netherlands</t>
  </si>
  <si>
    <t>Vrije Universiteit Amsterdam</t>
  </si>
  <si>
    <t>van Bommel, K (corresponding author), Vrije Univ Amsterdam, Fac Econ &amp; Business Adm, Amsterdam, Netherlands.</t>
  </si>
  <si>
    <t>k.van.bommel@vu.nl</t>
  </si>
  <si>
    <t>Bui, Binh/AAX-2439-2020; Zou, Joy/AAL-5850-2020</t>
  </si>
  <si>
    <t>Bui, Binh/0000-0001-5215-8879; Bommel, van, Koen/0000-0002-8912-6114</t>
  </si>
  <si>
    <t>HOWARD HOUSE, WAGON LANE, BINGLEY BD16 1WA, W YORKSHIRE, ENGLAND</t>
  </si>
  <si>
    <t>0951-3574</t>
  </si>
  <si>
    <t>1758-4205</t>
  </si>
  <si>
    <t>ACCOUNT AUDIT ACCOUN</t>
  </si>
  <si>
    <t>Account . Audit Account.</t>
  </si>
  <si>
    <t>10.1108/AAAJ-04-2013-1309</t>
  </si>
  <si>
    <t>AO8YP</t>
  </si>
  <si>
    <t>WOS:000341642100005</t>
  </si>
  <si>
    <t>Mestyan, M; Yasseri, T; Kertesz, J</t>
  </si>
  <si>
    <t>Mestyan, Marton; Yasseri, Taha; Kertesz, Janos</t>
  </si>
  <si>
    <t>Early Prediction of Movie Box Office Success Based on Wikipedia Activity Big Data</t>
  </si>
  <si>
    <t>BLOCKBUSTERS; COVERAGE; LIFE</t>
  </si>
  <si>
    <t>Use of socially generated big data to access information about collective states of the minds in human societies has become a new paradigm in the emerging field of computational social science. A natural application of this would be the prediction of the society's reaction to a new product in the sense of popularity and adoption rate. However, bridging the gap between real time monitoring and early predicting remains a big challenge. Here we report on an endeavor to build a minimalistic predictive model for the financial success of movies based on collective activity data of online users. We show that the popularity of a movie can be predicted much before its release by measuring and analyzing the activity level of editors and viewers of the corresponding entry to the movie in Wikipedia, the well-known online encyclopedia.</t>
  </si>
  <si>
    <t>[Mestyan, Marton; Yasseri, Taha; Kertesz, Janos] Budapest Univ Technol &amp; Econ, Inst Phys, Budapest, Hungary; [Yasseri, Taha] Univ Oxford, Oxford Internet Inst, Oxford, England; [Yasseri, Taha; Kertesz, Janos] Aalto Univ, Dept Biomed Engn &amp; Computat Sci, Aalto, Finland; [Kertesz, Janos] Cent European Univ, Ctr Network Sci, Budapest, Hungary</t>
  </si>
  <si>
    <t>Budapest University of Technology &amp; Economics; University of Oxford; Aalto University; Central European University</t>
  </si>
  <si>
    <t>Yasseri, T (corresponding author), Budapest Univ Technol &amp; Econ, Inst Phys, Budapest, Hungary.</t>
  </si>
  <si>
    <t>yasseri@oii.ox.ac.uk</t>
  </si>
  <si>
    <t>Yasseri, Taha/AAK-9213-2021; Yasseri, Taha/B-9863-2014</t>
  </si>
  <si>
    <t xml:space="preserve">Yasseri, Taha/0000-0002-1800-6094; </t>
  </si>
  <si>
    <t>EU's 7th Framework Program's FET-Open [238597]; Academy of Finland; Finnish Center of Excellence program [129670]; TEKES (FiDiPro)</t>
  </si>
  <si>
    <t>EU's 7th Framework Program's FET-Open; Academy of Finland(Academy of Finland); Finnish Center of Excellence program; TEKES (FiDiPro)(Finnish Funding Agency for Technology &amp; Innovation (TEKES))</t>
  </si>
  <si>
    <t>Partial financial support from EU's 7th Framework Program's FET-Open to ICTeCollective project no. 238597 and by the Academy of Finland, the Finnish Center of Excellence program, project no. 129670, and TEKES (FiDiPro) are gratefully acknowledged. The funders had no role in study design, data collection and analysis, decision to publish, or preparation of the manuscript.</t>
  </si>
  <si>
    <t>AUG 21</t>
  </si>
  <si>
    <t>e71226</t>
  </si>
  <si>
    <t>10.1371/journal.pone.0071226</t>
  </si>
  <si>
    <t>218YW</t>
  </si>
  <si>
    <t>Green Published, gold, Green Submitted</t>
  </si>
  <si>
    <t>WOS:000324470100040</t>
  </si>
  <si>
    <t>Grimmer, J; Stewart, BM</t>
  </si>
  <si>
    <t>Grimmer, Justin; Stewart, Brandon M.</t>
  </si>
  <si>
    <t>Text as Data: The Promise and Pitfalls of Automatic Content Analysis Methods for Political Texts</t>
  </si>
  <si>
    <t>POLITICAL ANALYSIS</t>
  </si>
  <si>
    <t>POLICY POSITIONS; CLASSIFICATION; INFERENCE; WORDS; PREFERENCES; MODEL</t>
  </si>
  <si>
    <t>Politics and political conflict often occur in the written and spoken word. Scholars have long recognized this, but the massive costs of analyzing even moderately sized collections of texts have hindered their use in political science research. Here lies the promise of automated text analysis: it substantially reduces the costs of analyzing large collections of text. We provide a guide to this exciting new area of research and show how, in many instances, the methods have already obtained part of their promise. But there are pitfalls to using automated methods-they are no substitute for careful thought and close reading and require extensive and problem-specific validation. We survey a wide range of new methods, provide guidance on how to validate the output of the models, and clarify misconceptions and errors in the literature. To conclude, we argue that for automated text methods to become a standard tool for political scientists, methodologists must contribute new methods and new methods of validation.</t>
  </si>
  <si>
    <t>[Grimmer, Justin] Stanford Univ, Dept Polit Sci, Stanford, CA 94305 USA; [Stewart, Brandon M.] Harvard Univ, Dept Govt, Cambridge, MA 02138 USA; [Stewart, Brandon M.] Harvard Univ, Inst Quantitat Social Sci, Cambridge, MA 02138 USA</t>
  </si>
  <si>
    <t>Stanford University; Harvard University; Harvard University</t>
  </si>
  <si>
    <t>Grimmer, J (corresponding author), Stanford Univ, Dept Polit Sci, Encina Hall West 616 Serra St, Stanford, CA 94305 USA.</t>
  </si>
  <si>
    <t>jgrimmer@stanford.edu; bstewart@fas.harvard.edu</t>
  </si>
  <si>
    <t>Stewart, Brandon Michael/ADW-8389-2022; Lobo, Diele/I-9106-2012</t>
  </si>
  <si>
    <t>EDINBURGH BLDG, SHAFTESBURY RD, CB2 8RU CAMBRIDGE, ENGLAND</t>
  </si>
  <si>
    <t>1047-1987</t>
  </si>
  <si>
    <t>1476-4989</t>
  </si>
  <si>
    <t>POLIT ANAL</t>
  </si>
  <si>
    <t>Polit. Anal.</t>
  </si>
  <si>
    <t>SUM</t>
  </si>
  <si>
    <t>10.1093/pan/mps028</t>
  </si>
  <si>
    <t>Political Science</t>
  </si>
  <si>
    <t>Government &amp; Law</t>
  </si>
  <si>
    <t>183OB</t>
  </si>
  <si>
    <t>Green Published, Bronze</t>
  </si>
  <si>
    <t>WOS:000321825000001</t>
  </si>
  <si>
    <t>Hayden, EC</t>
  </si>
  <si>
    <t>Hayden, Erika Check</t>
  </si>
  <si>
    <t>Guidance issued for US Internet research</t>
  </si>
  <si>
    <t>News Item</t>
  </si>
  <si>
    <t>NATURE PUBLISHING GROUP</t>
  </si>
  <si>
    <t>MACMILLAN BUILDING, 4 CRINAN ST, LONDON N1 9XW, ENGLAND</t>
  </si>
  <si>
    <t>APR 25</t>
  </si>
  <si>
    <t>10.1038/496411a</t>
  </si>
  <si>
    <t>131HU</t>
  </si>
  <si>
    <t>WOS:000317984400010</t>
  </si>
  <si>
    <t>Twenge, JM; Campbell, WK; Gentile, B</t>
  </si>
  <si>
    <t>Twenge, Jean M.; Campbell, W. Keith; Gentile, Brittany</t>
  </si>
  <si>
    <t>Changes in Pronoun Use in American Books and the Rise of Individualism, 1960-2008</t>
  </si>
  <si>
    <t>JOURNAL OF CROSS-CULTURAL PSYCHOLOGY</t>
  </si>
  <si>
    <t>language; cultural psychology; values; attitudes; beliefs</t>
  </si>
  <si>
    <t>AUTHORSHIP TRENDS; COLLEGE STUDENTS; CULTURE; LANGUAGE; COLLECTIVISM; METAANALYSIS; ARTICLE; TRAITS; TIME; HEAD</t>
  </si>
  <si>
    <t>Change over time in culture can appear among individuals and in cultural products such as song lyrics, television, and books. This analysis examines changes in pronoun use in the Google Books ngram database of 766,513 American books published 1960-2008. We hypothesize that pronoun use will reflect increasing individualism and decreasing collectivism in American culture. Consistent with this hypothesis, the use of first person plural pronouns (e. g., we, us) decreased 10% first person singular pronouns (I, me) increased 42%, and second person pronouns (you, your) quadrupled. These results complement previous research finding increases in individualistic traits among Americans.</t>
  </si>
  <si>
    <t>[Twenge, Jean M.] San Diego State Univ, San Diego, CA 92182 USA; [Campbell, W. Keith; Gentile, Brittany] Univ Georgia, Athens, GA 30602 USA</t>
  </si>
  <si>
    <t>California State University System; San Diego State University; University System of Georgia; University of Georgia</t>
  </si>
  <si>
    <t>Twenge, JM (corresponding author), San Diego State Univ, Dept Psychol, 5500 Campanile Dr, San Diego, CA 92182 USA.</t>
  </si>
  <si>
    <t>jtwenge@mail.sdsu.edu</t>
  </si>
  <si>
    <t>Twenge, Jean M./ABD-6562-2021</t>
  </si>
  <si>
    <t>Twenge, Jean M./0000-0002-6542-8281; Gentile, Brittany/0000-0002-6302-5593</t>
  </si>
  <si>
    <t>0022-0221</t>
  </si>
  <si>
    <t>1552-5422</t>
  </si>
  <si>
    <t>J CROSS CULT PSYCHOL</t>
  </si>
  <si>
    <t>J. Cross-Cult. Psychol.</t>
  </si>
  <si>
    <t>10.1177/0022022112455100</t>
  </si>
  <si>
    <t>298CE</t>
  </si>
  <si>
    <t>WOS:000330300700005</t>
  </si>
  <si>
    <t>van de Rijt, A; Shor, E; Ward, C; Skiena, S</t>
  </si>
  <si>
    <t>van de Rijt, Arnout; Shor, Eran; Ward, Charles; Skiena, Steven</t>
  </si>
  <si>
    <t>Only 15 Minutes? The Social Stratification of Fame in Printed Media</t>
  </si>
  <si>
    <t>news; fame; stratification; inequality; mobility; cumulative advantage</t>
  </si>
  <si>
    <t>LOCAL NEWSPAPER COVERAGE; CULTURAL CONSECRATION; CUMULATIVE ADVANTAGE; NEWS; EVENTS; INEQUALITY; DIFFUSION; LIFE; ORGANIZATIONS; COLLABORATION</t>
  </si>
  <si>
    <t>Contemporary scholarship has conceptualized modern fame as an open system in which people continually move in and out of celebrity status. This model stands in stark contrast to the traditional notion in the sociology of stratification that depicts stable hierarchies sustained through classic forces such as social structure and cumulative advantage. We investigate the mobility of fame using a unique data source containing daily records of references to person names in a large corpus of English-language media sources. These data reveal that only at the bottom of the public attention hierarchy do names exhibit fast turnover; at upper tiers, stable coverage persists around a fixed level and rank for decades. Fame exhibits strong continuity even in entertainment, on television, and on blogs, where it has been thought to be most ephemeral. We conclude that once a person's name is decoupled from the initial event that lent it momentary attention, self-reinforcing processes, career structures, and commemorative practices perpetuate fame.</t>
  </si>
  <si>
    <t>[van de Rijt, Arnout] SUNY Stony Brook, Dept Sociol, Stony Brook, NY 11794 USA; [Skiena, Steven] SUNY Stony Brook, Stony Brook, NY 11794 USA; [Shor, Eran] McGill Univ, Dept Sociol, Montreal, PQ H3A 2T5, Canada; [Ward, Charles] Google, Mountain View, CA USA</t>
  </si>
  <si>
    <t>State University of New York (SUNY) System; State University of New York (SUNY) Stony Brook; State University of New York (SUNY) System; State University of New York (SUNY) Stony Brook; McGill University; Google Incorporated</t>
  </si>
  <si>
    <t>van de Rijt, A (corresponding author), SUNY Stony Brook, Dept Sociol, 100 Nicolls Rd, Stony Brook, NY 11794 USA.</t>
  </si>
  <si>
    <t>arnout.vanderijt@stonybrook.edu</t>
  </si>
  <si>
    <t>van de Rijt, Arnout/0000-0002-4208-3452</t>
  </si>
  <si>
    <t>Div Of Information &amp; Intelligent Systems [1017181] Funding Source: National Science Foundation</t>
  </si>
  <si>
    <t>10.1177/0003122413480362</t>
  </si>
  <si>
    <t>114LX</t>
  </si>
  <si>
    <t>WOS:000316743900005</t>
  </si>
  <si>
    <t>Cristani, M; Raghavendra, R; Del Bue, A; Murino, V</t>
  </si>
  <si>
    <t>Cristani, Marco; Raghavendra, R.; Del Bue, Alessio; Murino, Vittorio</t>
  </si>
  <si>
    <t>Human behavior analysis in video surveillance: A Social Signal Processing perspective</t>
  </si>
  <si>
    <t>NEUROCOMPUTING</t>
  </si>
  <si>
    <t>Video surveillance; Social Signal Processing; Activity recognition; Behavior analysis; Human computing</t>
  </si>
  <si>
    <t>VISUAL SURVEILLANCE; THIN SLICES; RECOGNITION; MOTION; REPRESENTATION; ATTENTION; DYNAMICS; DISTANCE; MODELS; FOCUS</t>
  </si>
  <si>
    <t>The analysis of human activities is one of the most intriguing and important open issues for the automated video surveillance community. Since few years ago, it has been handled following a mere Computer Vision and Pattern Recognition perspective, where an activity corresponded to a temporal sequence of explicit actions (run, stop, sit, walk, etc.). Even under this simplistic assumption, the issue is hard, due to the strong diversity of the people appearance, the number of individuals considered (we may monitor single individuals, groups, crowd), the variability of the environmental conditions (indoor/outdoor, different weather conditions), and the kinds of sensors employed. More recently, the automated surveillance of human activities has been faced considering a new perspective, that brings in notions and principles from the social, affective, and psychological literature, and that is called Social Signal Processing (SSP). SSP employs primarily nonverbal cues, most of them are outside of conscious awareness, like face expressions and gazing, body posture and gestures, vocal characteristics, relative distances in the space and the like. This paper is the first review analyzing this new trend, proposing a structured snapshot of the state of the art and envisaging novel challenges in the surveillance domain where the cross-pollination of Computer Science technologies and Sociology theories may offer valid investigation strategies. (C) 2012 Elsevier B.V. All rights reserved.</t>
  </si>
  <si>
    <t>[Cristani, Marco; Raghavendra, R.; Del Bue, Alessio; Murino, Vittorio] Ist Italiano Tecnol IIT, Genoa, Italy; [Cristani, Marco; Murino, Vittorio] Univ Verona, Dipartimento Informat, I-37100 Verona, Italy</t>
  </si>
  <si>
    <t>Istituto Italiano di Tecnologia - IIT; University of Verona</t>
  </si>
  <si>
    <t>Raghavendra, R (corresponding author), Ist Italiano Tecnol IIT, Genoa, Italy.</t>
  </si>
  <si>
    <t>raghu07.mys@gmail.com</t>
  </si>
  <si>
    <t>Ramachandra, Raghavendra/0000-0003-0484-3956; Del Bue, Alessio/0000-0002-2262-4872; Murino, Vittorio/0000-0002-8645-2328</t>
  </si>
  <si>
    <t>0925-2312</t>
  </si>
  <si>
    <t>1872-8286</t>
  </si>
  <si>
    <t>Neurocomputing</t>
  </si>
  <si>
    <t>JAN 16</t>
  </si>
  <si>
    <t>10.1016/j.neucom.2011.12.038</t>
  </si>
  <si>
    <t>052CO</t>
  </si>
  <si>
    <t>WOS:000312175500009</t>
  </si>
  <si>
    <t>McKenny, AF; Short, JC; Payne, GT</t>
  </si>
  <si>
    <t>McKenny, Aaron F.; Short, Jeremy C.; Payne, G. Tyge</t>
  </si>
  <si>
    <t>Using Computer-Aided Text Analysis to Elevate Constructs: An Illustration Using Psychological Capital</t>
  </si>
  <si>
    <t>content analysis; level of analysis; multilevel; psychological capital; construct measurement; computer-aided text analysis</t>
  </si>
  <si>
    <t>PESSIMISTIC EXPLANATORY STYLE; ORGANIZATIONAL-BEHAVIOR; SELF-EFFICACY; ENTREPRENEURIAL ORIENTATION; INTERRATER RELIABILITY; PERSON-ORGANIZATION; EMOTIONAL CONTAGION; MULTILEVEL RESEARCH; MISSION STATEMENTS; INTEGRATIVE MODEL</t>
  </si>
  <si>
    <t>Applying individual-level constructs to higher levels of analysis can be a fruitful practice in organizational research. Although this practice is beneficial in developing and testing theory, there are measurement and validation concerns that, if improperly addressed, may threaten the validity and utility of the research. This article illustrates how computer-aided text analysis might be utilized to facilitate construct elevation while ensuring proper validation. Specifically, we apply a framework to develop organizational-level operationalizations of individual-level constructs using the psychological capital construct as an example.</t>
  </si>
  <si>
    <t>[McKenny, Aaron F.; Short, Jeremy C.] Univ Oklahoma, Price Coll Business, Norman, OK 73019 USA; [Payne, G. Tyge] Texas Tech Univ, Rawls Coll Business, Lubbock, TX 79409 USA</t>
  </si>
  <si>
    <t>University of Oklahoma System; University of Oklahoma - Norman; Texas Tech University System; Texas Tech University</t>
  </si>
  <si>
    <t>Short, JC (corresponding author), Univ Oklahoma, Div Management &amp; Entrepreneurship, Price Coll Business, 307 W Brooks,Rm 206, Norman, OK 73019 USA.</t>
  </si>
  <si>
    <t>jeremy.short@ou.edu</t>
  </si>
  <si>
    <t>McKenny, Aaron Francis/AAB-1932-2020; Payne, G. Tyge/B-9923-2011</t>
  </si>
  <si>
    <t>McKenny, Aaron Francis/0000-0003-0146-001X; Payne, G. Tyge/0000-0003-2829-3661</t>
  </si>
  <si>
    <t>10.1177/1094428112459910</t>
  </si>
  <si>
    <t>135DJ</t>
  </si>
  <si>
    <t>WOS:000318265900009</t>
  </si>
  <si>
    <t>Holoien, DS; Fiske, ST</t>
  </si>
  <si>
    <t>Holoien, Deborah Son; Fiske, Susan T.</t>
  </si>
  <si>
    <t>Downplaying positive impressions: Compensation between warmth and competence in impression management</t>
  </si>
  <si>
    <t>Warmth; Competence; Impression management; Self-presentation</t>
  </si>
  <si>
    <t>STEREOTYPE CONTENT MODEL; FUNDAMENTAL DIMENSIONS; UNIVERSAL DIMENSIONS; SOCIAL-PERCEPTION; SELF; JUDGMENT; BIAS</t>
  </si>
  <si>
    <t>The compensation effect demonstrates a negative relationship between the dimensions of warmth and competence in impression formation in comparative contexts. However, does compensation between warmth and competence extend to impression management? Two studies examined whether people actively downplay their warmth in order to appear competent and downplay their competence in order to appear warm. In Studies la and 1b, participants selected words pretested to be high or low in warmth and competence to include in an e-mail message to people they wanted to impress. As predicted, participants downplayed their competence when they wanted to appear warm (Study 1a) and downplayed their warmth when they wanted to appear competent (Study 1b). In Studies 2a and 2b, compensation also occurred when participants introduced themselves to another person, as evidenced by the questions they selected to answer about themselves, their self-reported goals, and their open-ended introductions. Compensation occurred uniquely between warmth and competence and not for other dimensions, such as healthiness (Study 2a) and political interest (Study 2b), which suggests that the compensation effect extends beyond a mere zero-sum exchange between dimensions. (C) 2012 Elsevier Inc. All rights reserved.</t>
  </si>
  <si>
    <t>[Holoien, Deborah Son] Princeton Univ, Dept Psychol, Princeton, NJ 08540 USA</t>
  </si>
  <si>
    <t>Princeton University</t>
  </si>
  <si>
    <t>Holoien, DS (corresponding author), Princeton Univ, Dept Psychol, Princeton, NJ 08540 USA.</t>
  </si>
  <si>
    <t>dson@princeton.edu</t>
  </si>
  <si>
    <t>NICHD NIH HHS [R24 HD047879] Funding Source: Medline; EUNICE KENNEDY SHRIVER NATIONAL INSTITUTE OF CHILD HEALTH &amp; HUMAN DEVELOPMENT [R24HD047879] Funding Source: NIH RePORTER</t>
  </si>
  <si>
    <t>NICHD NIH HHS(United States Department of Health &amp; Human ServicesNational Institutes of Health (NIH) - USANIH Eunice Kennedy Shriver National Institute of Child Health &amp; Human Development (NICHD)); EUNICE KENNEDY SHRIVER NATIONAL INSTITUTE OF CHILD HEALTH &amp; HUMAN DEVELOPMENT(United States Department of Health &amp; Human ServicesNational Institutes of Health (NIH) - USANIH Eunice Kennedy Shriver National Institute of Child Health &amp; Human Development (NICHD))</t>
  </si>
  <si>
    <t>10.1016/j.jesp.2012.09.001</t>
  </si>
  <si>
    <t>038LO</t>
  </si>
  <si>
    <t>WOS:000311176400004</t>
  </si>
  <si>
    <t>Bazarova, NN</t>
  </si>
  <si>
    <t>Bazarova, Natalya N.</t>
  </si>
  <si>
    <t>Public Intimacy: Disclosure Interpretation and Social Judgments on Facebook</t>
  </si>
  <si>
    <t>JOURNAL OF COMMUNICATION</t>
  </si>
  <si>
    <t>SELF-DISCLOSURE; APPROPRIATENESS; ATTRACTION</t>
  </si>
  <si>
    <t>This research examines how sociotechnical affordances shape interpretation of disclosure and social judgments on social networking sites. Drawing on the disclosure personalism framework, Study 1 revealed that information unavailability and relational basis underlay personalistic judgments about Facebook disclosures: Perceivers inferred greater message and relational intimacy from disclosures made privately than from those made publicly. Study 2 revealed that perceivers judged intimate disclosures shared publicly as less appropriate than intimate disclosures shared privately, and that perceived disclosure appropriateness accounted for the effects of public versus private contexts on reduced liking for a discloser. Taken together, the results show how sociotechnical affordances shape perceptions of disclosure and relationships, which has implications for understanding relational development and maintenance on SNS.</t>
  </si>
  <si>
    <t>Cornell Univ, Dept Commun, Ithaca, NY 14853 USA</t>
  </si>
  <si>
    <t>Bazarova, NN (corresponding author), Cornell Univ, Dept Commun, Ithaca, NY 14853 USA.</t>
  </si>
  <si>
    <t>nnb8@cornell.edu</t>
  </si>
  <si>
    <t>0021-9916</t>
  </si>
  <si>
    <t>1460-2466</t>
  </si>
  <si>
    <t>J COMMUN</t>
  </si>
  <si>
    <t>J. Commun.</t>
  </si>
  <si>
    <t>10.1111/j.1460-2466.2012.01664.x</t>
  </si>
  <si>
    <t>018QY</t>
  </si>
  <si>
    <t>WOS:000309678300007</t>
  </si>
  <si>
    <t>Best, RK</t>
  </si>
  <si>
    <t>Best, Rachel Kahn</t>
  </si>
  <si>
    <t>Disease Politics and Medical Research Funding: Three Ways Advocacy Shapes Policy</t>
  </si>
  <si>
    <t>advocacy organizations; culture; health; politics; social movements</t>
  </si>
  <si>
    <t>SOCIAL-MOVEMENTS; AFFIRMATIVE-ACTION; ORGANIZATIONAL DIVERSITY; OPPORTUNITY STRUCTURES; TARGET POPULATIONS; PUBLIC-POLICY; HEALTH; CULTURE; PROTEST; CONSTRUCTION</t>
  </si>
  <si>
    <t>In the 1980s and 1990s, single-disease interest groups emerged as an influential force in U. S. politics. This article explores their effects on federal medical research priority-setting. Previous studies of advocacy organizations' political effects focused narrowly on direct benefits for constituents. Using data on 53 diseases over 19 years, I find that in addition to securing direct benefits, advocacy organizations have aggregate effects and can systemically change the culture of policy arenas. Disease advocacy reshaped funding distributions, changed the perceived beneficiaries of policies, promoted metrics for commensuration, and made cultural categories of worth increasingly relevant to policymaking.</t>
  </si>
  <si>
    <t>Univ Michigan, Dept Sociol, Ann Arbor, MI 48109 USA</t>
  </si>
  <si>
    <t>University of Michigan System; University of Michigan</t>
  </si>
  <si>
    <t>Best, RK (corresponding author), Univ Michigan, Dept Sociol, 500 S State St, Ann Arbor, MI 48109 USA.</t>
  </si>
  <si>
    <t>rkb@umich.edu</t>
  </si>
  <si>
    <t>10.1177/0003122412458509</t>
  </si>
  <si>
    <t>014CF</t>
  </si>
  <si>
    <t>WOS:000309352000005</t>
  </si>
  <si>
    <t>Neuman, Y; Turney, P; Cohen, Y</t>
  </si>
  <si>
    <t>Neuman, Yair; Turney, Peter; Cohen, Yohai</t>
  </si>
  <si>
    <t>How Language Enables Abstraction: A Study in Computational Cultural Psychology</t>
  </si>
  <si>
    <t>INTEGRATIVE PSYCHOLOGICAL AND BEHAVIORAL SCIENCE</t>
  </si>
  <si>
    <t>Thought and language; Abstraction; Hypostatic abstraction; Computational cultural psychology</t>
  </si>
  <si>
    <t>The idea that language mediates our thoughts and enables abstract cognition has been a key idea in socio-cultural psychology. However, it is not clear what mechanisms support this process of abstraction. Peirce argued that one mechanism by which language enables abstract thought is hypostatic abstraction, the process through which a predicate (e.g., dark) turns into an object (e.g., darkness). By using novel computational tools we tested Peirce's idea. Analysis of the data provides empirical support for Peirce's mechanism and evidence of the way the use of signs enables abstraction. These conclusions are supported by the in-depth analysis of two case studies concerning the abstraction of sweet and dark. The paper concludes by discussing the findings from a broad and integrative theoretical perspective and by pointing to computational cultural psychology as a promising perspective for addressing long-lasting questions of the field.</t>
  </si>
  <si>
    <t>[Neuman, Yair] Ben Gurion Univ Negev, Dept Educ, IL-84105 Beer Sheva, Israel; [Turney, Peter] Natl Res Council Canada, Ottawa, ON K1A 0R6, Canada; [Cohen, Yohai] Gilasio Coding Ltd, Tel Aviv, Israel</t>
  </si>
  <si>
    <t>Ben Gurion University; National Research Council Canada</t>
  </si>
  <si>
    <t>Neuman, Y (corresponding author), Ben Gurion Univ Negev, Dept Educ, POB 653, IL-84105 Beer Sheva, Israel.</t>
  </si>
  <si>
    <t>yneuman@bgu.ac.il; Peter.Turney@nrc-cnrc.gc.ca; yohai@gilasio.com</t>
  </si>
  <si>
    <t>Turney, Peter/AAI-8278-2021</t>
  </si>
  <si>
    <t>Turney, Peter/0000-0003-0909-4085</t>
  </si>
  <si>
    <t>1932-4502</t>
  </si>
  <si>
    <t>1936-3567</t>
  </si>
  <si>
    <t>INTEGR PSYCHOL BEHAV</t>
  </si>
  <si>
    <t>Integr. Psychol. Behav. Sci.</t>
  </si>
  <si>
    <t>10.1007/s12124-011-9165-8</t>
  </si>
  <si>
    <t>Psychology, Biological; Neurosciences</t>
  </si>
  <si>
    <t>Psychology; Neurosciences &amp; Neurology</t>
  </si>
  <si>
    <t>934BN</t>
  </si>
  <si>
    <t>WOS:000303415100001</t>
  </si>
  <si>
    <t>Blei, DM</t>
  </si>
  <si>
    <t>Blei, David M.</t>
  </si>
  <si>
    <t>Probabilistic Topic Models</t>
  </si>
  <si>
    <t>Princeton Univ, Dept Comp Sci, Princeton, NJ 08544 USA</t>
  </si>
  <si>
    <t>Blei, DM (corresponding author), Princeton Univ, Dept Comp Sci, Princeton, NJ 08544 USA.</t>
  </si>
  <si>
    <t>blei@cs.princeton.edu</t>
  </si>
  <si>
    <t>10.1145/2133806.2133826</t>
  </si>
  <si>
    <t>927NQ</t>
  </si>
  <si>
    <t>WOS:000302915000026</t>
  </si>
  <si>
    <t>Sun, M</t>
  </si>
  <si>
    <t>Sun, Monic</t>
  </si>
  <si>
    <t>How Does the Variance of Product Ratings Matter?</t>
  </si>
  <si>
    <t>information transmission; product ratings; social media; user-generated content</t>
  </si>
  <si>
    <t>WORD-OF-MOUTH; MOTION-PICTURES; ONLINE REVIEWS; MARKETS; SALES; COMMUNICATION; INFORMATION; COMPETITION; DYNAMICS; INTERNET</t>
  </si>
  <si>
    <t>This paper examines the informational role of product ratings. We build a theoretical model in which ratings can help consumers figure out how much they would enjoy the product. In our model, a high average rating indicates a high product quality, whereas a high variance of ratings is associated with a niche product, one that some consumers love and others hate. Based on its informational role, a higher variance would correspond to a higher subsequent demand if and only if the average rating is low. We find empirical evidence that is consistent with the theoretical predictions with book data from Amazon.com and BN.com. A higher standard deviation of ratings on Amazon improves a book's relative sales rank when the average rating is lower than 4.1 stars, which is true for 35% of all the books in our sample.</t>
  </si>
  <si>
    <t>[Sun, Monic] Stanford Univ, Grad Sch Business, Stanford, CA 94305 USA; [Sun, Monic] Univ So Calif, Marshall Sch Business, Los Angeles, CA 90089 USA</t>
  </si>
  <si>
    <t>Stanford University; University of Southern California</t>
  </si>
  <si>
    <t>Sun, M (corresponding author), Stanford Univ, Grad Sch Business, Stanford, CA 94305 USA.</t>
  </si>
  <si>
    <t>monic.sun@usc.edu</t>
  </si>
  <si>
    <t>10.1287/mnsc.1110.1458</t>
  </si>
  <si>
    <t>927LF</t>
  </si>
  <si>
    <t>WOS:000302908200003</t>
  </si>
  <si>
    <t>Kronrod, A; Grinstein, A; Wathieu, L</t>
  </si>
  <si>
    <t>Kronrod, Ann; Grinstein, Amir; Wathieu, Luc</t>
  </si>
  <si>
    <t>Go Green! Should Environmental Messages Be So Assertive?</t>
  </si>
  <si>
    <t>persuasion; assertive language; issue importance; environmental marketing; demarketing; social marketing</t>
  </si>
  <si>
    <t>CORPORATE ENVIRONMENTALISM; PSYCHOLOGICAL REACTANCE; MOTIVATION; BEHAVIORS; IMPACT; CONSERVATION; ANTECEDENTS; ADOLESCENTS; INVOLVEMENT; COGNITIONS</t>
  </si>
  <si>
    <t>Environmental communications often contain assertive commands, even though research in consumer behavior, psycholinguistics, and communications has repeatedly shown that gentler phrasing is more effective when seeking consumer compliance. This article shows that the persuasiveness of assertive language depends on the perceived importance of the issue at hand: Recipients respond better to pushy requests in domains that they view as important, but they need more suggestive appeals when they lack initial conviction. The authors examine this effect in three laboratory studies and one field experiment using Google Ad Words. Their findings refer to various environmental contexts (i.e., economizing water, recycling plastic containers, reducing air and sea pollution). The key implication of these findings is that issue importance needs to be carefully assessed (or affected) before the language of effective environmental campaigns can be selected.</t>
  </si>
  <si>
    <t>[Kronrod, Ann] MIT, Sloan Sch Management, Mkt Grp, Cambridge, MA 02139 USA; [Grinstein, Amir] Ben Gurion Univ Negev, Guilford Glazer Sch Business &amp; Management, IL-84105 Beer Sheva, Israel; [Wathieu, Luc] Georgetown Univ, McDonough Sch Business, Washington, DC 20057 USA</t>
  </si>
  <si>
    <t>Massachusetts Institute of Technology (MIT); Ben Gurion University; Georgetown University</t>
  </si>
  <si>
    <t>Kronrod, A (corresponding author), MIT, Sloan Sch Management, Mkt Grp, Cambridge, MA 02139 USA.</t>
  </si>
  <si>
    <t>kronrod@mit.edu; gramir@bgu.ac.il; lw324@georgetown.edu</t>
  </si>
  <si>
    <t>GRINSTEIN, AMIR/F-1572-2012</t>
  </si>
  <si>
    <t>10.1509/jm.10.0416</t>
  </si>
  <si>
    <t>868NB</t>
  </si>
  <si>
    <t>WOS:000298528900006</t>
  </si>
  <si>
    <t>Wong, EM; Ormiston, ME; Haselhuhn, MP</t>
  </si>
  <si>
    <t>Wong, Elaine M.; Ormiston, Margaret E.; Haselhuhn, Michael P.</t>
  </si>
  <si>
    <t>A Face Only an Investor Could Love: CEOs' Facial Structure Predicts Their Firms' Financial Performance</t>
  </si>
  <si>
    <t>facial features; organizations</t>
  </si>
  <si>
    <t>UPPER ECHELONS; TOP; INFERENCES; LEADERSHIP; EVOLUTION; POWER</t>
  </si>
  <si>
    <t>Researchers have theorized that innate personal traits are related to leadership success. Although links between psychological characteristics and leadership success have been well established, research has yet to identify any objective physical traits of leaders that predict organizational performance. In the research reported here, we identified leaders' facial structure as a specific physical trait that correlates with organizational performance. Specifically, we found that firms whose male CEOs have wider faces (relative to facial height) achieve superior financial performance. Decision-making dynamics within a firm's leadership team moderate this effect, such that the relationship between a given CEO's facial measurements and his firm's financial performance is stronger in firms with cognitively simple leadership teams.</t>
  </si>
  <si>
    <t>[Wong, Elaine M.] Univ Wisconsin, Dept Commun, Milwaukee, WI 53201 USA; [Ormiston, Margaret E.] London Business Sch, Dept Org Behav, London, England; [Haselhuhn, Michael P.] Univ Wisconsin, Sheldon B Lubar Sch Business, Milwaukee, WI 53201 USA</t>
  </si>
  <si>
    <t>University of Wisconsin System; University of Wisconsin Milwaukee; University of London; London Business School; University of Wisconsin System; University of Wisconsin Milwaukee</t>
  </si>
  <si>
    <t>Wong, EM (corresponding author), Univ Wisconsin, Dept Commun, POB 413,Johnston Hall 210, Milwaukee, WI 53201 USA.</t>
  </si>
  <si>
    <t>wonge@uwm.edu</t>
  </si>
  <si>
    <t>Ormiston, Margaret/O-3819-2014</t>
  </si>
  <si>
    <t>10.1177/0956797611418838</t>
  </si>
  <si>
    <t>901HJ</t>
  </si>
  <si>
    <t>WOS:000300954700003</t>
  </si>
  <si>
    <t>Zachary, MA; McKenny, A; Short, JC; Payne, GT</t>
  </si>
  <si>
    <t>Zachary, Miles A.; McKenny, Aaron; Short, Jeremy Collin; Payne, G. Tyge</t>
  </si>
  <si>
    <t>Family Business and Market Orientation: Construct Validation and Comparative Analysis</t>
  </si>
  <si>
    <t>FAMILY BUSINESS REVIEW</t>
  </si>
  <si>
    <t>market orientation; family businesses; content analysis</t>
  </si>
  <si>
    <t>ENTREPRENEURIAL ORIENTATION; ORGANIZATIONAL PERFORMANCE; EMPIRICAL-EXAMINATION; FIRM PERFORMANCE; RESPONSE RATES; CULTURE; INNOVATION; ADVANTAGE; STRATEGY; CONFIGURATIONS</t>
  </si>
  <si>
    <t>Market orientation refers to the collection, dissemination, and utilization of market information that promotes a sustainable competitive advantage. Despite the contribution of the market orientation construct to both the strategic management and marketing literatures, little attention has been devoted to exploring how market orientation relates to family businesses and how these relationships might differ from nonfamily businesses. To address this gap and stimulate further research in this area of inquiry, this study develops and validates a market orientation measure using content analysis of CEO letters from the S&amp;P 500 and tests for differences between family businesses and nonfamily businesses.</t>
  </si>
  <si>
    <t>[Short, Jeremy Collin] Texas Tech Univ, Coll Business, Lubbock, TX 79408 USA; [Zachary, Miles A.] Texas Tech Univ, Rawls Coll Business, Area Management, Lubbock, TX 79408 USA</t>
  </si>
  <si>
    <t>Texas Tech University System; Texas Tech University; Texas Tech University System; Texas Tech University</t>
  </si>
  <si>
    <t>Short, JC (corresponding author), Texas Tech Univ, Coll Business, Lubbock, TX 79408 USA.</t>
  </si>
  <si>
    <t>jeremy.short@ttu.edu</t>
  </si>
  <si>
    <t>Payne, G. Tyge/B-9923-2011; McKenny, Aaron Francis/AAB-1932-2020; Placido, Ivonete Telles Medei/P-6018-2016</t>
  </si>
  <si>
    <t xml:space="preserve">Payne, G. Tyge/0000-0003-2829-3661; McKenny, Aaron Francis/0000-0003-0146-001X; </t>
  </si>
  <si>
    <t>0894-4865</t>
  </si>
  <si>
    <t>1741-6248</t>
  </si>
  <si>
    <t>FAM BUS REV</t>
  </si>
  <si>
    <t>Fam. Bus. Rev.</t>
  </si>
  <si>
    <t>10.1177/0894486510396871</t>
  </si>
  <si>
    <t>806HQ</t>
  </si>
  <si>
    <t>WOS:000293797300004</t>
  </si>
  <si>
    <t>DeWall, CN; Pond, RS; Campbell, WK; Twenge, JM</t>
  </si>
  <si>
    <t>DeWall, C. Nathan; Pond, Richard S., Jr.; Campbell, W. Keith; Twenge, Jean M.</t>
  </si>
  <si>
    <t>Tuning in to Psychological Change: Linguistic Markers of Psychological Traits and Emotions Over Time in Popular US Song Lyrics</t>
  </si>
  <si>
    <t>PSYCHOLOGY OF AESTHETICS CREATIVITY AND THE ARTS</t>
  </si>
  <si>
    <t>cultural products; birth-cohort; meta-analysis; Linguistic Inquiry Word Count; song lyrics</t>
  </si>
  <si>
    <t>SELF-ESTEEM; NARCISSISM; PERSONALITY; CULTURE; AMERICAN; INDIVIDUALISM; SATISFACTION; METAANALYSIS; INCREASES; COGNITION</t>
  </si>
  <si>
    <t>American culture is filled with cultural products. Yet few studies have investigated how changes in cultural products correspond to changes in psychological traits and emotions. The current research fills this gap by testing the hypothesis that one cultural product-word use in popular song lyrics-changes over time in harmony with cultural changes in individualistic traits. Linguistic analyses of the most popular songs from 1980-2007 demonstrated changes in word use that mirror psychological change. Over time, use of words related to self-focus and antisocial behavior increased, whereas words related to other-focus, social interactions, and positive emotion decreased. These findings offer novel evidence regarding the need to investigate how changes in the tangible artifacts of the sociocultural environment can provide a window into understanding cultural changes in psychological processes.</t>
  </si>
  <si>
    <t>[DeWall, C. Nathan] Univ Kentucky, Dept Psychol, Lexington, KY 40506 USA; [Twenge, Jean M.] San Diego State Univ, Dept Psychol, San Diego, CA 92182 USA; [Campbell, W. Keith] Univ Georgia, Dept Psychol, Athens, GA 30602 USA</t>
  </si>
  <si>
    <t>University of Kentucky; California State University System; San Diego State University; University System of Georgia; University of Georgia</t>
  </si>
  <si>
    <t>DeWall, CN (corresponding author), Univ Kentucky, Dept Psychol, 201 Kastle Hall, Lexington, KY 40506 USA.</t>
  </si>
  <si>
    <t>nathan.dewall@uky.edu</t>
  </si>
  <si>
    <t>Twenge, Jean M./0000-0002-6542-8281</t>
  </si>
  <si>
    <t>EDUCATIONAL PUBLISHING FOUNDATION-AMERICAN PSYCHOLOGICAL ASSOC</t>
  </si>
  <si>
    <t>750 FIRST ST, NE, WASHINGTON, DC 20002-4242 USA</t>
  </si>
  <si>
    <t>1931-3896</t>
  </si>
  <si>
    <t>1931-390X</t>
  </si>
  <si>
    <t>PSYCHOL AESTHET CREA</t>
  </si>
  <si>
    <t>Psychol. Aesthet. Creat. Arts.</t>
  </si>
  <si>
    <t>10.1037/a0023195</t>
  </si>
  <si>
    <t>Humanities, Multidisciplinary; Psychology, Experimental</t>
  </si>
  <si>
    <t>Arts &amp; Humanities - Other Topics; Psychology</t>
  </si>
  <si>
    <t>812TR</t>
  </si>
  <si>
    <t>WOS:000294316300002</t>
  </si>
  <si>
    <t>Pury, CLS</t>
  </si>
  <si>
    <t>Pury, Cynthia L. S.</t>
  </si>
  <si>
    <t>Automation Can Lead to Confounds in Text Analysis: Back, Kufner, and Egloff (2010) and the Not-So-Angry Americans</t>
  </si>
  <si>
    <t>Letter</t>
  </si>
  <si>
    <t>Clemson Univ, Dept Psychol, Clemson, SC 29634 USA</t>
  </si>
  <si>
    <t>Clemson University</t>
  </si>
  <si>
    <t>Pury, CLS (corresponding author), Clemson Univ, Dept Psychol, 418 Brackett Hall, Clemson, SC 29634 USA.</t>
  </si>
  <si>
    <t>cpury@clemson.edu</t>
  </si>
  <si>
    <t>Pury, Cynthia L. S./0000-0002-2941-2995</t>
  </si>
  <si>
    <t>10.1177/0956797611408735</t>
  </si>
  <si>
    <t>817XB</t>
  </si>
  <si>
    <t>WOS:000294709200019</t>
  </si>
  <si>
    <t>Abe, JAA</t>
  </si>
  <si>
    <t>Abe, Jo Ann A.</t>
  </si>
  <si>
    <t>Changes in Alan Greenspan's Language Use Across the Economic Cycle: A Text Analysis of His Testimonies and Speeches</t>
  </si>
  <si>
    <t>Greenspan; LIWC; computerized text analysis; psychological distancing; cognitive complexity</t>
  </si>
  <si>
    <t>INTEGRATIVE COMPLEXITY; WORDS; WAR</t>
  </si>
  <si>
    <t>This study examined changes in Alan Greenspan's language use across the economic cycle by analyzing his testimonies and speeches using the Linguistic Inquiry and Word Count Program (LIWC), which is a widely used text analysis program. Consistent with expectations, Greenspan showed an increase in the composite measure of psychological distancing as well as a decline in the measure of cognitive complexity between the economic expansion and downturn periods. Interestingly, these patterns of changes became more pronounced during the purported economic recovery period. In contrast to the measures of psychological distancing and cognitive complexity, the measure of emotionality remained relatively stable across the economic cycle.</t>
  </si>
  <si>
    <t>So Connecticut State Univ, Dept Psychol, New Haven, CT 06515 USA</t>
  </si>
  <si>
    <t>Connecticut State University System; Southern Connecticut State University</t>
  </si>
  <si>
    <t>Abe, JAA (corresponding author), So Connecticut State Univ, Dept Psychol, 501 Crescent St, New Haven, CT 06515 USA.</t>
  </si>
  <si>
    <t>abej1@southernct.edu</t>
  </si>
  <si>
    <t>10.1177/0261927X10397152</t>
  </si>
  <si>
    <t>759VR</t>
  </si>
  <si>
    <t>WOS:000290277100006</t>
  </si>
  <si>
    <t>Back, MD; Kufner, ACP; Egloff, B</t>
  </si>
  <si>
    <t>Back, Mitja D.; Kuefner, Albrecht C. P.; Egloff, Boris</t>
  </si>
  <si>
    <t>Automatic or the People? Anger on September 11, 2001, and Lessons Learned for the Analysis of Large Digital Data Sets</t>
  </si>
  <si>
    <t>[Back, Mitja D.] Johannes Gutenberg Univ Mainz, Dept Psychol, D-55099 Mainz, Germany</t>
  </si>
  <si>
    <t>Johannes Gutenberg University of Mainz</t>
  </si>
  <si>
    <t>Back, MD (corresponding author), Johannes Gutenberg Univ Mainz, Dept Psychol, Binger Str 14-16, D-55099 Mainz, Germany.</t>
  </si>
  <si>
    <t>back@uni-mainz.de</t>
  </si>
  <si>
    <t>Egloff, Boris/G-2503-2013</t>
  </si>
  <si>
    <t>Egloff, Boris/0000-0002-5736-9912; Back, Mitja/0000-0003-2186-1558</t>
  </si>
  <si>
    <t>10.1177/0956797611409592</t>
  </si>
  <si>
    <t>WOS:000294709200020</t>
  </si>
  <si>
    <t>Jepperson, R; Meyer, JW</t>
  </si>
  <si>
    <t>Jepperson, Ronald; Meyer, John W.</t>
  </si>
  <si>
    <t>Multiple Levels of Analysis and the Limitations of Methodological Individualisms</t>
  </si>
  <si>
    <t>SOCIOLOGICAL THEORY</t>
  </si>
  <si>
    <t>This article discusses relations among the multiple levels of analysis present in macro-sociological explanation-i.e., relations of individual, structural, and institutional processes. It also criticizes the doctrinal insistence upon single-level individualistic explanation found in some prominent contemporary sociological theory. For illustrative material the article returns to intellectual uses of Weber's Protestant Ethic thesis, showing how an artificial version has been employed as a kind of proof text for the alleged scientific necessity of individualist explanation. Our alternative exposition renders the discussion of Protestantism and capitalism in an explicitly multilevel way, distinguishing possible individual-level, social-organizational, and institutional linkages. The causal processes involved are distinct ones, with the more structural and institutional forms neither captured nor attainable by individual-level thinking. We argue more generally that methodological individualisms confuse issues of explanation with issues about microfoundations. This persistent intellectual conflation may be rooted in the broader folk models of liberal individualism.</t>
  </si>
  <si>
    <t>[Jepperson, Ronald] Univ Tulsa, Dept Sociol, Tulsa, OK 74120 USA; [Meyer, John W.] Stanford Univ, Stanford, CA 94305 USA</t>
  </si>
  <si>
    <t>University of Tulsa; Stanford University</t>
  </si>
  <si>
    <t>Jepperson, R (corresponding author), Univ Tulsa, Dept Sociol, Tulsa, OK 74120 USA.</t>
  </si>
  <si>
    <t>ronald-jepperson@utulsa.edu</t>
  </si>
  <si>
    <t>0735-2751</t>
  </si>
  <si>
    <t>1467-9558</t>
  </si>
  <si>
    <t>SOCIOL THEOR</t>
  </si>
  <si>
    <t>Sociol. Theor.</t>
  </si>
  <si>
    <t>10.1111/j.1467-9558.2010.01387.x</t>
  </si>
  <si>
    <t>723TO</t>
  </si>
  <si>
    <t>WOS:000287530200003</t>
  </si>
  <si>
    <t>Marwick, AE; Boyd, D</t>
  </si>
  <si>
    <t>Marwick, Alice E.; Boyd, Danah</t>
  </si>
  <si>
    <t>I tweet honestly, I tweet passionately: Twitter users, context collapse, and the imagined audience</t>
  </si>
  <si>
    <t>NEW MEDIA &amp; SOCIETY</t>
  </si>
  <si>
    <t>audience; context; identity; micro-celebrity; self-presentation; social media; Twitter</t>
  </si>
  <si>
    <t>SELF-PRESENTATION; ONLINE</t>
  </si>
  <si>
    <t>Social media technologies collapse multiple audiences into single contexts, making it difficult for people to use the same techniques online that they do to handle multiplicity in face-to-face conversation. This article investigates how content producers navigate 'imagined audiences' on Twitter. We talked with participants who have different types of followings to understand their techniques, including targeting different audiences, concealing subjects, and maintaining authenticity. Some techniques of audience management resemble the practices of 'micro-celebrity' and personal branding, both strategic self-commodification. Our model of the networked audience assumes a many-to-many communication through which individuals conceptualize an imagined audience evoked through their tweets.</t>
  </si>
  <si>
    <t>[Marwick, Alice E.] NYU, Dept Media Culture &amp; Commun, New York, NY 10003 USA</t>
  </si>
  <si>
    <t>Marwick, AE (corresponding author), 239 Greene St 7th Floor, New York, NY 10003 USA.</t>
  </si>
  <si>
    <t>alice.marwick@nyu.edu; dmb@microsoft.com</t>
  </si>
  <si>
    <t>Marwick, Alice/0000-0002-0837-6999; boyd, danah/0000-0002-7722-7778</t>
  </si>
  <si>
    <t>1461-4448</t>
  </si>
  <si>
    <t>1461-7315</t>
  </si>
  <si>
    <t>NEW MEDIA SOC</t>
  </si>
  <si>
    <t>New Media Soc.</t>
  </si>
  <si>
    <t>10.1177/1461444810365313</t>
  </si>
  <si>
    <t>723OW</t>
  </si>
  <si>
    <t>WOS:000287517600008</t>
  </si>
  <si>
    <t>Arsel, Z; Thompson, CJ</t>
  </si>
  <si>
    <t>Arsel, Zeynep; Thompson, Craig J.</t>
  </si>
  <si>
    <t>Demythologizing Consumption Practices: How Consumers Protect Their Field-Dependent Identity Investments from Devaluing Marketplace Myths</t>
  </si>
  <si>
    <t>CULTURE; SPEAKING; APPROPRIATION; DISCOURSES; IDEOLOGY; BRANDS</t>
  </si>
  <si>
    <t>Marketplace myths are commonly conceptualized as cultural resources that attract consumers to a consumption activity or brand. This theoretical orientation is prone to overstating the extent to which consumers' identity investments in a field of consumption are motivated by an associated marketplace myth. We provide a theoretical corrective to this tendency by investigating consumers who have become vested in a commercially mythologized consumption field through an incremental process of building social connections and cultural capital. For these consumers, the prevailing marketplace myth is experienced as a trivialization of their aesthetic interests, rather than as a source of identity value. In response, they employ demythologizing practices to insulate their acquired field-dependent social and cultural capital from devaluation. Our findings advance theorizations concerning marketplace myths and consumer identity work and explicate the sociocultural forces that deter consumers from abandoning a consumption field that has become culturally associated with undesirable meanings.</t>
  </si>
  <si>
    <t>[Arsel, Zeynep] Concordia Univ, John Molson Sch Business, Montreal, PQ H3G 1M8, Canada; [Thompson, Craig J.] Univ Wisconsin, Sch Business, Madison, WI 53706 USA</t>
  </si>
  <si>
    <t>Concordia University - Canada; University of Wisconsin System; University of Wisconsin Madison</t>
  </si>
  <si>
    <t>Arsel, Z (corresponding author), Concordia Univ, John Molson Sch Business, 1455 Blvd de Maisonneuve W, Montreal, PQ H3G 1M8, Canada.</t>
  </si>
  <si>
    <t>zarsel@jmsb.concordia.ca; cthompson@bus.wisc.edu</t>
  </si>
  <si>
    <t>Arsel, Zeynep/F-1104-2011</t>
  </si>
  <si>
    <t>Arsel, Zeynep/0000-0002-1557-2947</t>
  </si>
  <si>
    <t>10.1086/656389</t>
  </si>
  <si>
    <t>708OO</t>
  </si>
  <si>
    <t>WOS:000286373300005</t>
  </si>
  <si>
    <t>Michel, JB; Shen, YK; Aiden, AP; Veres, A; Gray, MK; Pickett, JP; Hoiberg, D; Clancy, D; Norvig, P; Orwant, J; Pinker, S; Nowak, MA; Aiden, EL</t>
  </si>
  <si>
    <t>Michel, Jean-Baptiste; Shen, Yuan Kui; Aiden, Aviva Presser; Veres, Adrian; Gray, Matthew K.; Pickett, Joseph P.; Hoiberg, Dale; Clancy, Dan; Norvig, Peter; Orwant, Jon; Pinker, Steven; Nowak, Martin A.; Aiden, Erez Lieberman</t>
  </si>
  <si>
    <t>Google Books Team</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</si>
  <si>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</si>
  <si>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</si>
  <si>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[Michel, Jean-Baptiste; Nowak, Martin A.; Aiden, Erez Lieberman] Harvard Univ, Program Evolutionary Dynam, Cambridge, MA 02138 USA; [Michel, Jean-Baptiste; Shen, Yuan Kui; Aiden, Aviva Presser; Veres, Adrian; Aiden, Erez Lieberman] Harvard Univ, Cultural Observ, Cambridge, MA 02138 USA; [Michel, Jean-Baptiste] Harvard Univ, Inst Quantitat Social Sci, Cambridge, MA 02138 USA; [Michel, Jean-Baptiste] Harvard Univ, Dept Psychol, Cambridge, MA 02138 USA; [Michel, Jean-Baptiste; Pinker, Steven] Harvard Univ, Sch Med, Dept Syst Biol, Boston, MA 02115 USA; [Shen, Yuan Kui; Aiden, Aviva Presser; Veres, Adrian; Aiden, Erez Lieberman] Harvard Univ, Lab Large, Cambridge, MA 02138 USA; [Shen, Yuan Kui] MIT, Comp Sci &amp; Artificial Intelligence Lab, Cambridge, MA 02139 USA; [Veres, Adrian] Harvard Univ, Cambridge, MA 02138 USA; [Gray, Matthew K.; Clancy, Dan; Norvig, Peter; Orwant, Jon; Google Books Team] Google, Mountain View, CA 94043 USA; [Pickett, Joseph P.] Houghton Mifflin Harcourt, Boston, MA 02116 USA; [Hoiberg, Dale] Encyclopaedia Britannica, Chicago, IL 60654 USA; [Nowak, Martin A.] Harvard Univ, Dept Organism &amp; Evolutionary Biol, Cambridge, MA 02138 USA; [Nowak, Martin A.; Aiden, Erez Lieberman] Harvard Univ, Dept Math, Cambridge, MA 02138 USA; [Aiden, Erez Lieberman] Harvard Univ, Broad Inst Harvard &amp; MIT, Cambridge, MA 02138 USA; [Aiden, Erez Lieberman] Harvard Univ, Sch Engn &amp; Appl Sci, Cambridge, MA 02138 USA; [Aiden, Erez Lieberman] Harvard Univ, Harvard Soc Fellows, Cambridge, MA 02138 USA</t>
  </si>
  <si>
    <t>Harvard University; Harvard University; Harvard University; Harvard University; Harvard University; Harvard Medical School; Harvard University; Massachusetts Institute of Technology (MIT); Harvard University; Google Incorporated; Harvard University; Harvard University; Harvard University; Massachusetts Institute of Technology (MIT); Broad Institute; Harvard University; Harvard University</t>
  </si>
  <si>
    <t>Michel, JB (corresponding author), Harvard Univ, Program Evolutionary Dynam, Cambridge, MA 02138 USA.</t>
  </si>
  <si>
    <t>jb.michel@gmail.com; erez@erez.com</t>
  </si>
  <si>
    <t>Norvig, Peter/ABF-7770-2021; Aiden, Erez Lieberman/A-2908-2010; Pinker, Steven/GPX-7942-2022; Michel, Jean-Baptiste/AAH-9336-2020; Nowak, Martin A/A-6977-2008</t>
  </si>
  <si>
    <t>Veres, Adrian/0000-0002-3849-3475</t>
  </si>
  <si>
    <t>Foundational Questions in Evolutionary Biology Prize Fellowship; Harvard Medical School; NIH [HD 18381, R01GM078986]; Harvard Society of Fellows; Fannie and John Hertz Foundation; National Defense Science and Engineering Graduate Fellowship; NSF; National Space Biomedical Research Institute; National Human Genome Research Institute [T32 HG002295]; Google Research Award; Templeton Foundation; Bill and Melinda Gates Foundation; EUNICE KENNEDY SHRIVER NATIONAL INSTITUTE OF CHILD HEALTH &amp;HUMAN DEVELOPMENT [R01HD018381] Funding Source: NIH RePORTER; NATIONAL HUMAN GENOME RESEARCH INSTITUTE [T32HG002295] Funding Source: NIH RePORTER; NATIONAL INSTITUTE OF GENERAL MEDICAL SCIENCES [R01GM078986] Funding Source: NIH RePORTER</t>
  </si>
  <si>
    <t>Foundational Questions in Evolutionary Biology Prize Fellowship; Harvard Medical School; NIH(United States Department of Health &amp; Human ServicesNational Institutes of Health (NIH) - USA); Harvard Society of Fellows; Fannie and John Hertz Foundation; National Defense Science and Engineering Graduate Fellowship; NSF(National Science Foundation (NSF)); National Space Biomedical Research Institute; National Human Genome Research Institute(United States Department of Health &amp; Human ServicesNational Institutes of Health (NIH) - USANIH National Human Genome Research Institute (NHGRI)); Google Research Award(Google Incorporated); Templeton Foundation; Bill and Melinda Gates Foundation(Bill &amp; Melinda Gates Foundation); EUNICE KENNEDY SHRIVER NATIONAL INSTITUTE OF CHILD HEALTH &amp;HUMAN DEVELOPMENT(United States Department of Health &amp; Human ServicesNational Institutes of Health (NIH) - USANIH Eunice Kennedy Shriver National Institute of Child Health &amp; Human Development (NICHD)); NATIONAL HUMAN GENOME RESEARCH INSTITUTE(United States Department of Health &amp; Human ServicesNational Institutes of Health (NIH) - USANIH National Human Genome Research Institute (NHGRI)); NATIONAL INSTITUTE OF GENERAL MEDICAL SCIENCES(United States Department of Health &amp; Human ServicesNational Institutes of Health (NIH) - USANIH National Institute of General Medical Sciences (NIGMS))</t>
  </si>
  <si>
    <t>J.-B.M. was supported by the Foundational Questions in Evolutionary Biology Prize Fellowship and the Systems Biology Program (Harvard Medical School). Y.K.S. was supported by internships at Google. S. P. acknowledges support from NIH grant HD 18381. E. L. A. was supported by the Harvard Society of Fellows, the Fannie and John Hertz Foundation Graduate Fellowship, a National Defense Science and Engineering Graduate Fellowship, an NSF Graduate Fellowship, the National Space Biomedical Research Institute, and National Human Genome Research Institute grant T32 HG002295. This work was supported by a Google Research Award. The Program for Evolutionary Dynamics acknowledges support from the Templeton Foundation, NIH grant R01GM078986, and the Bill and Melinda Gates Foundation. Some of the methods described in this paper are covered by U. S. patents 7463772 and 7508978. We are grateful to D. Bloomberg, A. Popat, M. McCormick, T. Mitchison, U. Alon, S. Shieber, E. Lander, R. Nagpal, J. Fruchter, J. Guldi, J. Cauz, C. Cole, P. Bordalo, N. Christakis, C. Rosenberg, M. Liberman, J. Scheidlower, B. Zimmer, R. Darnton, and A. Spector for discussions; to C.-M. Hetrea and K. Sen for assistance with Encyclopaedia Britannica's database; to S. Eismann, W. Tress, and the City of Berlin Web site (berlin.de) for assistance in documenting victims of Nazi censorship; to C. Lazell and G. T. Fournier for assistance with annotation; to M. Lopez for assistance with Fig. 1; to G. Elbaz and W. Gilbert for reviewing an early draft; and to Google's library partners and every author who has ever picked up a pen, for books.</t>
  </si>
  <si>
    <t>JAN 14</t>
  </si>
  <si>
    <t>10.1126/science.1199644</t>
  </si>
  <si>
    <t>709JA</t>
  </si>
  <si>
    <t>WOS:000286433100032</t>
  </si>
  <si>
    <t>Ireland, ME; Slatcher, RB; Eastwick, PW; Scissors, LE; Finkel, EJ; Pennebaker, JW</t>
  </si>
  <si>
    <t>Ireland, Molly E.; Slatcher, Richard B.; Eastwick, Paul W.; Scissors, Lauren E.; Finkel, Eli J.; Pennebaker, James W.</t>
  </si>
  <si>
    <t>Language Style Matching Predicts Relationship Initiation and Stability</t>
  </si>
  <si>
    <t>romantic relationships; relationship stability; dyads; language; LIWC</t>
  </si>
  <si>
    <t>LINGUISTIC STYLE; PRONOUNS; WORDS; CONVERSATION</t>
  </si>
  <si>
    <t>Previous relationship research has largely ignored the importance of similarity in how people talk with one another. Using natural language samples, we investigated whether similarity in dyads' use of function words, called language style matching (LSM), predicts outcomes for romantic relationships. In Study 1, greater LSM in transcripts of 40 speed dates predicted increased likelihood of mutual romantic interest (odds ratio = 3.05). Overall, 33.3% of pairs with LSM above the median mutually desired future contact, compared with 9.1% of pairs with LSM at or below the median. In Study 2, LSM in 86 couples' instant messages positively predicted relationship stability at a 3-month follow-up (odds ratio = 1.95). Specifically, 76.7% of couples with LSM greater than the median were still dating at the follow-up, compared with 53.5% of couples with LSM at or below the median. LSM appears to reflect implicit interpersonal processes central to romantic relationships.</t>
  </si>
  <si>
    <t>[Pennebaker, James W.] Univ Texas Austin, Dept Psychol, Austin, TX 78712 USA; [Slatcher, Richard B.] Wayne State Univ, Detroit, MI 48202 USA; [Eastwick, Paul W.] Texas A&amp;M Univ, College Stn, TX 77843 USA; [Scissors, Lauren E.; Finkel, Eli J.] Northwestern Univ, Evanston, IL 60208 USA</t>
  </si>
  <si>
    <t>University of Texas System; University of Texas Austin; Wayne State University; Texas A&amp;M University System; Texas A&amp;M University College Station; Northwestern University</t>
  </si>
  <si>
    <t>Pennebaker, JW (corresponding author), Univ Texas Austin, Dept Psychol, 1 Univ Stn,A8000, Austin, TX 78712 USA.</t>
  </si>
  <si>
    <t>10.1177/0956797610392928</t>
  </si>
  <si>
    <t>817WV</t>
  </si>
  <si>
    <t>WOS:000294708600008</t>
  </si>
  <si>
    <t>Brier, A; Hopp, B</t>
  </si>
  <si>
    <t>Brier, Alan; Hopp, Bruno</t>
  </si>
  <si>
    <t>Computer assisted text analysis in the social sciences</t>
  </si>
  <si>
    <t>QUALITY &amp; QUANTITY</t>
  </si>
  <si>
    <t>Text analysis; Multidimensional scaling; Correspondence analysis; PINDIS; INDSCAL</t>
  </si>
  <si>
    <t>ESTIMATING POLICY POSITIONS; INDIVIDUAL-DIFFERENCES</t>
  </si>
  <si>
    <t>We use the term Computer Assisted Text Analysis in a broad sense to refer to a range of current techniques from quantitative social science and content analysis to 'data mining' and 'text classification', including the analysis of open-ended survey questions, transcribed interviews and speeches, wherever, in fact, the researcher is confronted with data in the form of natural language texts of social scientific interest. These methods are often used in exploratory data analysis, but can also be applied systematically with moderate statistical rigour in the development and testing of hypotheses at various theoretical levels, ranging from the statistics of word usage to changes within or between discourses over time. The general approach is in the tradition of content analysis, by which words which occur together in relatively close proximity in the same context are interpreted as relating to a common theme or concept in the discourse studied. We review a comprehensive set of tools to identify and visualize structures of co-occurrence of words and concepts both within, and in comparing, a number of texts. These produce results not essentially different from those reached by representing word co-occurrences in terms of network analysis or neural network programming using schematic linguistic templates of various kinds. A comparison of the relational data analysis vs. a dictionary-based MDS approach shows that these provide very close if not identical results, despite the fact that the underlying assumptions are frequently represented as different theoretical approaches.</t>
  </si>
  <si>
    <t>[Brier, Alan] ESRC Natl Ctr Res Methods, Southampton SO17 1QY, Hants, England; [Hopp, Bruno] GESIS Leibniz Inst Social Sci, D-50869 Cologne, Germany</t>
  </si>
  <si>
    <t>UK Research &amp; Innovation (UKRI); Economic &amp; Social Research Council (ESRC); University of Southampton; Leibniz Institut fur Sozialwissenschaften (GESIS)</t>
  </si>
  <si>
    <t>Brier, A (corresponding author), ESRC Natl Ctr Res Methods, 105 Brookvale Rd, Southampton SO17 1QY, Hants, England.</t>
  </si>
  <si>
    <t>apb@soton.ac.uk; Bruno.Hopp@gesis.org</t>
  </si>
  <si>
    <t>0033-5177</t>
  </si>
  <si>
    <t>1573-7845</t>
  </si>
  <si>
    <t>QUAL QUANT</t>
  </si>
  <si>
    <t>Qual. Quant.</t>
  </si>
  <si>
    <t>10.1007/s11135-010-9350-8</t>
  </si>
  <si>
    <t>Social Sciences, Interdisciplinary; Statistics &amp; Probability</t>
  </si>
  <si>
    <t>Social Sciences - Other Topics; Mathematics</t>
  </si>
  <si>
    <t>693CF</t>
  </si>
  <si>
    <t>WOS:000285201500007</t>
  </si>
  <si>
    <t>Thelwall, M; Buckley, K; Paltoglou, G; Cai, D; Kappas, A</t>
  </si>
  <si>
    <t>Thelwall, Mike; Buckley, Kevan; Paltoglou, Georgios; Cai, Di; Kappas, Arvid</t>
  </si>
  <si>
    <t>Sentiment in Short Strength Detection Informal Text</t>
  </si>
  <si>
    <t>JOURNAL OF THE AMERICAN SOCIETY FOR INFORMATION SCIENCE AND TECHNOLOGY</t>
  </si>
  <si>
    <t>NEGATIVE AFFECT; OPINIONS; INDEPENDENCE; POLARITY; EMOTION; WORDS</t>
  </si>
  <si>
    <t>A huge number of informal messages are posted every day in social network sites, blogs, and discussion forums. Emotions seem to be frequently important in these texts for expressing friendship, showing social support or as part of online arguments. Algorithms to identify sentiment and sentiment strength are needed to help understand the role of emotion in this informal communication and also to identify inappropriate or anomalous affective utterances, potentially associated with threatening behavior to the self or others. Nevertheless, existing sentiment detection algorithms tend to be commercially oriented, designed to identify opinions about products rather than user behaviors. This article partly fills this gap with a new algorithm, SentiStrength, to extract sentiment strength from informal English text, using new methods to exploit the de facto grammars and spelling styles of cyberspace. Applied to MySpace comments and with a lookup table of term sentiment strengths optimized by machine learning, SentiStrength is able to predict positive emotion with 60.6% accuracy and negative emotion with 72.8% accuracy, both based upon strength scales of 1-5. The former, but not the latter, is better than baseline and a wide range of general machine learning approaches.</t>
  </si>
  <si>
    <t>[Thelwall, Mike; Buckley, Kevan; Paltoglou, Georgios; Cai, Di] Wolverhampton Univ, Sch Comp &amp; Informat Technol, Stat Cybermetr Res Grp, Wolverhampton WV1 1SB, England; [Kappas, Arvid] Jacobs Univ Bremen, Sch Humanities &amp; Social Sci, D-28759 Bremen, Germany</t>
  </si>
  <si>
    <t>University of Wolverhampton; Jacobs University</t>
  </si>
  <si>
    <t>Thelwall, M (corresponding author), Wolverhampton Univ, Sch Comp &amp; Informat Technol, Stat Cybermetr Res Grp, Wulfruna St, Wolverhampton WV1 1SB, England.</t>
  </si>
  <si>
    <t>m.thelwall@wlv.ac.uk; K.A.Buckley@wlv.ac.uk; G.Paltoglou@wlv.ac.uk; caid@wlv.ac.uk; a.kappas@jacobs-university.de</t>
  </si>
  <si>
    <t>Kappas, Arvid/F-8224-2013; Thelwall, Mike/C-1449-2013</t>
  </si>
  <si>
    <t>Kappas, Arvid/0000-0002-7715-8709; Thelwall, Mike/0000-0001-6065-205X</t>
  </si>
  <si>
    <t>European Union [231323]</t>
  </si>
  <si>
    <t>This work was supported by a European Union grant by the 7th Framework Programme, Theme 3: Science of complex systems for socially intelligent ICT. It is part of the CyberEmotions project (Contract 231323).</t>
  </si>
  <si>
    <t>1532-2882</t>
  </si>
  <si>
    <t>1532-2890</t>
  </si>
  <si>
    <t>J AM SOC INF SCI TEC</t>
  </si>
  <si>
    <t>J. Am. Soc. Inf. Sci. Technol.</t>
  </si>
  <si>
    <t>10.1002/asi.21416</t>
  </si>
  <si>
    <t>Computer Science, Information Systems; Information Science &amp; Library Science</t>
  </si>
  <si>
    <t>680KP</t>
  </si>
  <si>
    <t>WOS:000284231100013</t>
  </si>
  <si>
    <t>The Emotional Timeline of September 11, 2001</t>
  </si>
  <si>
    <t>TERRORIST ATTACKS</t>
  </si>
  <si>
    <t>Back, MD (corresponding author), Johannes Gutenberg Univ Mainz, Dept Psychol, D-55099 Mainz, Germany.</t>
  </si>
  <si>
    <t>10.1177/0956797610382124</t>
  </si>
  <si>
    <t>696QD</t>
  </si>
  <si>
    <t>WOS:000285455600010</t>
  </si>
  <si>
    <t>Narayanan, A; Shmatikov, V</t>
  </si>
  <si>
    <t>Narayanan, Arvind; Shmatikov, Vitaly</t>
  </si>
  <si>
    <t>Myths and Fallacies of Personally Identifiable Information</t>
  </si>
  <si>
    <t>[Narayanan, Arvind] Stanford Univ, Stanford, CA 94305 USA; [Shmatikov, Vitaly] Univ Texas Austin, Austin, TX 78712 USA</t>
  </si>
  <si>
    <t>Stanford University; University of Texas System; University of Texas Austin</t>
  </si>
  <si>
    <t>Narayanan, A (corresponding author), Stanford Univ, Stanford, CA 94305 USA.</t>
  </si>
  <si>
    <t>arvindn@cs.utexas.edu; shmat@cs.utexas.edu</t>
  </si>
  <si>
    <t>10.1145/1743546.1743558</t>
  </si>
  <si>
    <t>609DR</t>
  </si>
  <si>
    <t>WOS:000278635800017</t>
  </si>
  <si>
    <t>Luedicke, MK; Thompson, CJ; Giesler, M</t>
  </si>
  <si>
    <t>Luedicke, Marius K.; Thompson, Craig J.; Giesler, Markus</t>
  </si>
  <si>
    <t>Consumer Identity Work as Moral Protagonism: How Myth and Ideology Animate a Brand-Mediated Moral Conflict</t>
  </si>
  <si>
    <t>CONSUMPTION; MARKET; EXPERIENCE; MYTHOLOGY; CULTURE; ESCAPE</t>
  </si>
  <si>
    <t>Consumer researchers have tended to equate consumer moralism with normative condemnations of mainstream consumer culture. Consequently, little research has investigated the multifaceted forms of identity work that consumers can undertake through more diverse ideological forms of consumer moralism. To redress this theoretical gap, we analyze the adversarial consumer narratives through which a brand-mediated moral conflict is enacted. We show that consumers' moralistic identity work is culturally framed by the myth of the moral protagonist and further illuminate how consumers use this mythic structure to transform their ideological beliefs into dramatic narratives of identity. Our resulting theoretical framework explicates identity-value-enhancing relationships among mythic structure, ideological meanings, and marketplace resources that have not been recognized by prior studies of consumer identity work.</t>
  </si>
  <si>
    <t>[Luedicke, Marius K.] Univ Innsbruck, Sch Management, A-6020 Innsbruck, Austria; Univ Wisconsin, Madison, WI 53706 USA; York Univ, Schulich Sch Business, Toronto, ON M3J 1P3, Canada</t>
  </si>
  <si>
    <t>University of Innsbruck; University of Wisconsin System; University of Wisconsin Madison; York University - Canada</t>
  </si>
  <si>
    <t>Luedicke, MK (corresponding author), Univ Innsbruck, Sch Management, Univ Str 15, A-6020 Innsbruck, Austria.</t>
  </si>
  <si>
    <t>myself@mariusluedicke.de; cthompson@bus.wisc.edu; myself@markus-giesler.com</t>
  </si>
  <si>
    <t>10.1086/644761</t>
  </si>
  <si>
    <t>563WO</t>
  </si>
  <si>
    <t>WOS:000275167000010</t>
  </si>
  <si>
    <t>Gonzales, AL; Hancock, JT; Pennebaker, JW</t>
  </si>
  <si>
    <t>Gonzales, Amy L.; Hancock, Jeffrey T.; Pennebaker, James W.</t>
  </si>
  <si>
    <t>Language Style Matching as a Predictor of Social Dynamics in Small Groups</t>
  </si>
  <si>
    <t>COMMUNICATION RESEARCH</t>
  </si>
  <si>
    <t>language style matching; verbal mimicry; small group; cohesiveness; team performance; pronouns; text analysis; LIWC</t>
  </si>
  <si>
    <t>LIFE; SYNCHRONY; HEALTH; WORDS; SELF</t>
  </si>
  <si>
    <t>Synchronized verbal behavior can reveal important information about social dynamics. This study introduces the linguistic style matching (LSM) algorithm for calculating verbal mimicry based on an automated textual analysis of function words. The LSM algorithm was applied to language generated during a small group discussion in which 70 groups comprised of 324 individuals engaged in an information search task either face-to-face or via text-based computer-mediated communication. As a metric, LSM predicted the cohesiveness of groups in both communication environments, and it predicted task performance in face-to-face groups. Other language features were also related to the groups' cohesiveness and performance, including word count, pronoun patterns, and verb tense. The results reveal that this type of automated measure of verbal mimicry can be an objective, efficient, and unobtrusive tool for predicting underlying social dynamics. In total, the study demonstrates the effectiveness of using language to predict change in social psychological factors of interest.</t>
  </si>
  <si>
    <t>[Gonzales, Amy L.] Cornell Univ, Dept Commun, Ithaca, NY 14850 USA; [Pennebaker, James W.] Univ Texas Austin, Dept Psychol, Austin, TX 78712 USA</t>
  </si>
  <si>
    <t>Cornell University; University of Texas System; University of Texas Austin</t>
  </si>
  <si>
    <t>Gonzales, AL (corresponding author), Cornell Univ, Dept Commun, Ithaca, NY 14850 USA.</t>
  </si>
  <si>
    <t>alg49@cornell.edu</t>
  </si>
  <si>
    <t>0093-6502</t>
  </si>
  <si>
    <t>1552-3810</t>
  </si>
  <si>
    <t>COMMUN RES</t>
  </si>
  <si>
    <t>Commun. Res.</t>
  </si>
  <si>
    <t>10.1177/0093650209351468</t>
  </si>
  <si>
    <t>545TR</t>
  </si>
  <si>
    <t>WOS:000273760300001</t>
  </si>
  <si>
    <t>Hopkins, DJ; King, G</t>
  </si>
  <si>
    <t>Hopkins, Daniel J.; King, Gary</t>
  </si>
  <si>
    <t>A Method of Automated Nonparametric Content Analysis for Social Science</t>
  </si>
  <si>
    <t>AMERICAN JOURNAL OF POLITICAL SCIENCE</t>
  </si>
  <si>
    <t>The increasing availability of digitized text presents enormous opportunities for social scientists. Yet hand coding many blogs, speeches, government records, newspapers, or other sources of unstructured text is infeasible. Although computer scientists have methods for automated content analysis, most are optimized to classify individual documents, whereas social scientists instead want generalizations about the population of documents, such as the proportion in a given category. Unfortunately, even a method with a high percent of individual documents correctly classified can be hugely biased when estimating category proportions. By directly optimizing for this social science goal, we develop a method that gives approximately unbiased estimates of category proportions even when the optimal classifier performs poorly. We illustrate with diverse data sets, including the daily expressed opinions of thousands of people about the U.S. presidency. We also make available software that implements our methods and large corpora of text for further analysis.</t>
  </si>
  <si>
    <t>[Hopkins, Daniel J.] Georgetown Univ, Intercultural Ctr 681, Washington, DC 20057 USA; [King, Gary] Harvard Univ, Inst Quantitat Social Sci, Cambridge, MA 02138 USA</t>
  </si>
  <si>
    <t>Georgetown University; Harvard University</t>
  </si>
  <si>
    <t>Hopkins, DJ (corresponding author), Georgetown Univ, Intercultural Ctr 681, Washington, DC 20057 USA.</t>
  </si>
  <si>
    <t>dhopkins@iq.harvard.edu; king@harvard.edu</t>
  </si>
  <si>
    <t>0092-5853</t>
  </si>
  <si>
    <t>1540-5907</t>
  </si>
  <si>
    <t>AM J POLIT SCI</t>
  </si>
  <si>
    <t>Am. J. Polit. Sci.</t>
  </si>
  <si>
    <t>10.1111/j.1540-5907.2009.00428.x</t>
  </si>
  <si>
    <t>538CM</t>
  </si>
  <si>
    <t>WOS:000273161800015</t>
  </si>
  <si>
    <t>Baccianella, S; Esuli, A; Sebastiani, F</t>
  </si>
  <si>
    <t>Calzolari, N; Choukri, K; Maegaard, B; Mariani, J; Odijk, J; Piperidis, S; Rosner, M; Tapias, D</t>
  </si>
  <si>
    <t>Baccianella, Stefano; Esuli, Andrea; Sebastiani, Fabrizio</t>
  </si>
  <si>
    <t>SENTIWORDNET 3.0: An Enhanced Lexical Resource for Sentiment Analysis and Opinion Mining</t>
  </si>
  <si>
    <t>LREC 2010 - SEVENTH INTERNATIONAL CONFERENCE ON LANGUAGE RESOURCES AND EVALUATION</t>
  </si>
  <si>
    <t>7th International Conference on Language Resources and Evaluation (LREC)</t>
  </si>
  <si>
    <t>MAY 17-23, 2010</t>
  </si>
  <si>
    <t>Valletta, MALTA</t>
  </si>
  <si>
    <t>CELI Language &amp; Informat Technol,European Media Lab GmBH,Quaero,META</t>
  </si>
  <si>
    <t>[Baccianella, Stefano; Esuli, Andrea; Sebastiani, Fabrizio] CNR, Ist Sci &amp; Tecnol Informaz, I-56100 Pisa, Italy</t>
  </si>
  <si>
    <t>Consiglio Nazionale delle Ricerche (CNR); Istituto di Scienza e Tecnologie dell'Informazione Alessandro Faedo (ISTI-CNR)</t>
  </si>
  <si>
    <t>Baccianella, S (corresponding author), CNR, Ist Sci &amp; Tecnol Informaz, I-56100 Pisa, Italy.</t>
  </si>
  <si>
    <t>stefano.baccianella@isti.cnr.it; andrea.esuli@isti.cnr.it; fabrizio.sebastiani@isti.cnr.it</t>
  </si>
  <si>
    <t>Esuli, Andrea/B-6343-2015; Sebastiani, Fabrizio/C-9501-2015; Sebastiani, Fabrizio/K-6825-2019</t>
  </si>
  <si>
    <t>Esuli, Andrea/0000-0002-5725-4322; Sebastiani, Fabrizio/0000-0003-4221-6427; Sebastiani, Fabrizio/0000-0003-4221-6427</t>
  </si>
  <si>
    <t>EUROPEAN LANGUAGE RESOURCES ASSOC-ELRA</t>
  </si>
  <si>
    <t>PARIS</t>
  </si>
  <si>
    <t>55-57, RUE BRILLAT-SAVARIN, PARIS, 75013, FRANCE</t>
  </si>
  <si>
    <t>978-2-9517408-6-0</t>
  </si>
  <si>
    <t>Language &amp; Linguistics</t>
  </si>
  <si>
    <t>Conference Proceedings Citation Index - Social Science &amp;amp; Humanities (CPCI-SSH)</t>
  </si>
  <si>
    <t>BC9TU</t>
  </si>
  <si>
    <t>WOS:000356879504015</t>
  </si>
  <si>
    <t>Schau, HJ; Muniz, AM; Arnould, EJ</t>
  </si>
  <si>
    <t>Schau, Hope Jensen; Muniz, Albert M., Jr.; Arnould, Eric J.</t>
  </si>
  <si>
    <t>How Brand Community Practices Create Value</t>
  </si>
  <si>
    <t>brand community; branding; collective consumption; engagement strategies; marketing strategy; practice theory</t>
  </si>
  <si>
    <t>INNOVATION; KNOWLEDGE; COPRODUCTION; CONSUMPTION</t>
  </si>
  <si>
    <t>Using social practice theory, this article reveals the process of collective value creation within brand communities. Moving beyond a single case study, the authors examine previously published research in conjunction with data collected in nine brand communities comprising a variety of product categories, and they identify a common set of value-creating practices. Practices have an anatomy consisting of (1) general procedural understandings and rules (explicit, discursive knowledge); (2) skills, abilities, and culturally appropriate consumption projects (tacit, embedded knowledge or how-to); and (3) emotional commitments expressed through actions and representations. The authors find that there are 12 common practices across brand communities, organized by four thematic aggregates, through which consumers realize value beyond that which the firm creates or anticipates. They also find that practices have a physiology, interact with one another, function like apprenticeships, endow participants with cultural capital, produce a repertoire for insider sharing, generate consumption opportunities, evince brand community vitality, and create value. Theoretical and managerial implications are offered with specific suggestions for building and nurturing brand community and enhancing collaborative value creation between and among consumers and firms.</t>
  </si>
  <si>
    <t>[Schau, Hope Jensen] Univ Arizona, Eller Coll Management, Tucson, AZ 85721 USA; [Muniz, Albert M., Jr.] Depaul Univ, Chicago, IL 60604 USA; [Arnould, Eric J.] Univ Wyoming, Dept Management &amp; Mkt, Laramie, WY 82071 USA</t>
  </si>
  <si>
    <t>University of Arizona; DePaul University; University of Wyoming</t>
  </si>
  <si>
    <t>Schau, HJ (corresponding author), Univ Arizona, Eller Coll Management, Tucson, AZ 85721 USA.</t>
  </si>
  <si>
    <t>hschau@eller.arizona.edu; amuniz@depaul.edu; earnould@uwyo.edu</t>
  </si>
  <si>
    <t>Schau, Hope/I-8418-2012</t>
  </si>
  <si>
    <t>10.1509/jmkg.73.5.30</t>
  </si>
  <si>
    <t>485BV</t>
  </si>
  <si>
    <t>WOS:000269096400003</t>
  </si>
  <si>
    <t>Service, RW</t>
  </si>
  <si>
    <t>Service, Robert W.</t>
  </si>
  <si>
    <t>Basics of Qualitative Research: Techniques and Procedures for Developing Grounded Theory, 3rd edition</t>
  </si>
  <si>
    <t>Book Review</t>
  </si>
  <si>
    <t>[Service, Robert W.] Samford Univ, Birmingham, AL USA</t>
  </si>
  <si>
    <t>Samford University</t>
  </si>
  <si>
    <t>Service, RW (corresponding author), Samford Univ, Birmingham, AL USA.</t>
  </si>
  <si>
    <t>10.1177/1094428108324514</t>
  </si>
  <si>
    <t>457GO</t>
  </si>
  <si>
    <t>WOS:000266916700011</t>
  </si>
  <si>
    <t>Bell, G; Hey, T; Szalay, A</t>
  </si>
  <si>
    <t>Bell, Gordon; Hey, Tony; Szalay, Alex</t>
  </si>
  <si>
    <t>Beyond the Data Deluge</t>
  </si>
  <si>
    <t>[Bell, Gordon; Hey, Tony] Microsoft Res, Redmond, WA 98052 USA; [Szalay, Alex] Johns Hopkins Univ, Dept Phys &amp; Astron, Baltimore, MD 21218 USA</t>
  </si>
  <si>
    <t>Microsoft; Johns Hopkins University</t>
  </si>
  <si>
    <t>Bell, G (corresponding author), Microsoft Res, 1 Microsoft Way, Redmond, WA 98052 USA.</t>
  </si>
  <si>
    <t>szalay@jhu.edu</t>
  </si>
  <si>
    <t>Hey, Tony/0000-0001-6782-3691</t>
  </si>
  <si>
    <t>MAR 6</t>
  </si>
  <si>
    <t>10.1126/science.1170411</t>
  </si>
  <si>
    <t>414PC</t>
  </si>
  <si>
    <t>WOS:000263876700026</t>
  </si>
  <si>
    <t>Monroe, BL; Colaresi, MP; Quinn, KM</t>
  </si>
  <si>
    <t>Monroe, Burt L.; Colaresi, Michael P.; Quinn, Kevin M.</t>
  </si>
  <si>
    <t>Fightin' Words: Lexical Feature Selection and Evaluation for Identifying the Content of Political Conflict</t>
  </si>
  <si>
    <t>GENE SELECTION; POSITIONS; ABORTION; ISSUE</t>
  </si>
  <si>
    <t>Entries in the burgeoning text-as-data movement are often accompanied by lists or visualizations of how word (or other lexical feature) usage differs across some pair or set of documents. These are intended either to establish some target semantic concept (like the content of partisan frames) to estimate word-specific measures that feed forward into another analysis (like locating parties in ideological space) or both. We discuss a variety of techniques for selecting words that capture partisan, or other, differences in political speech and for evaluating the relative importance of those words. We introduce and emphasize several new approaches based on Bayesian shrinkage and regularization. We illustrate the relative utility of these approaches with analyses of partisan, gender, and distributive speech in the U.S. Senate.</t>
  </si>
  <si>
    <t>[Monroe, Burt L.] Penn State Univ, Dept Polit Sci, University Pk, PA 16802 USA; [Colaresi, Michael P.] Michigan State Univ, Dept Polit Sci, E Lansing, MI 48824 USA; [Quinn, Kevin M.] Harvard Univ, Dept Govt, Cambridge, MA 02138 USA; [Quinn, Kevin M.] Harvard Univ, Inst Quantitat Social Sci, Cambridge, MA 02138 USA</t>
  </si>
  <si>
    <t>Pennsylvania Commonwealth System of Higher Education (PCSHE); Pennsylvania State University; Pennsylvania State University - University Park; Michigan State University; Harvard University; Harvard University</t>
  </si>
  <si>
    <t>Monroe, BL (corresponding author), Penn State Univ, Dept Polit Sci, University Pk, PA 16802 USA.</t>
  </si>
  <si>
    <t>burtmonroe@psu.edu; colaresi@msu.edu; kevin_quinn@harvard.edu</t>
  </si>
  <si>
    <t>Colaresi, Michael/0000-0001-9574-5723</t>
  </si>
  <si>
    <t>10.1093/pan/mpn018</t>
  </si>
  <si>
    <t>414AA</t>
  </si>
  <si>
    <t>WOS:000263835100003</t>
  </si>
  <si>
    <t>Li, F</t>
  </si>
  <si>
    <t>Li, Feng</t>
  </si>
  <si>
    <t>Annual report readability, current earnings, and earnings persistence</t>
  </si>
  <si>
    <t>JOURNAL OF ACCOUNTING &amp; ECONOMICS</t>
  </si>
  <si>
    <t>disclosure; annual report readability; profitability; earnings persistence</t>
  </si>
  <si>
    <t>LINGUISTIC STYLES; LANGUAGE USE; DISCLOSURE; INFORMATION; FORECASTS; ACCRUALS; MARKETS; WORDS</t>
  </si>
  <si>
    <t>This paper examines the relation between annual report readability and firm performance and earnings persistence. I measure the readability of public company annual reports using the Fog index from the computational linguistics literature and the length of the document. I find that: (1) the annual reports of firms with lower earnings are harder to read (i.e., they have a higher Fog index and are longer); and (2) firms with annual reports that are easier to read have more persistent positive earnings. (c) 2008 Elsevier B.V. All rights reserved.</t>
  </si>
  <si>
    <t>Univ Michigan, Ross Sch Business, Ann Arbor, MI 48109 USA</t>
  </si>
  <si>
    <t>Li, F (corresponding author), Univ Michigan, Ross Sch Business, 701 Tappan St, Ann Arbor, MI 48109 USA.</t>
  </si>
  <si>
    <t>Feng@umich.edu</t>
  </si>
  <si>
    <t>0165-4101</t>
  </si>
  <si>
    <t>J ACCOUNT ECON</t>
  </si>
  <si>
    <t>J. Account. Econ.</t>
  </si>
  <si>
    <t>10.1016/j.jacceco.2008.02.003</t>
  </si>
  <si>
    <t>332NL</t>
  </si>
  <si>
    <t>WOS:000258089600005</t>
  </si>
  <si>
    <t>Chartrand, TL; Huber, J; Shiv, B; Tanner, RJ</t>
  </si>
  <si>
    <t>Chartrand, Tanya L.; Huber, Joel; Shiv, Baba; Tanner, Robin J.</t>
  </si>
  <si>
    <t>Nonconscious goals and consumer choice</t>
  </si>
  <si>
    <t>AUTOMATIC ACTIVATION; BEHAVIOR; ACCESSIBILITY; STEREOTYPES; INFORMATION; CONSUMPTION; PROGRESS; PURSUIT; IMPACT</t>
  </si>
  <si>
    <t>This work examines the process through which thrift versus prestige goals can nonconsciously affect decisions in a choice task. Drawing upon research on nonconscious goal pursuit, we present a theoretical framework detailing how consumer choices are affected by incidentally activated goals. We show that such primed goals have motivational properties consistent with goal pursuit but inconsistent with mere cognitive activation; the effects are greater with a longer time interval between the priming task and the choice and are less pronounced when the primed goal is satiated in a real, as opposed to a hypothetical, intervening choice task. Additionally, we show that subliminally evoked retail brand names can serve as the cues that activate purchasing goals.</t>
  </si>
  <si>
    <t>[Chartrand, Tanya L.; Huber, Joel; Tanner, Robin J.] Duke Univ, Fuqua Sch Business, Durham, NC 27708 USA; [Shiv, Baba] Stanford Grad Sch Business, Stanford, CA 94305 USA</t>
  </si>
  <si>
    <t>Duke University; Stanford University</t>
  </si>
  <si>
    <t>Chartrand, TL (corresponding author), Duke Univ, Fuqua Sch Business, Durham, NC 27708 USA.</t>
  </si>
  <si>
    <t>tlc10@duke.edu; joel.huber@duke.edu; shiv_baba@gsb.stanford.edu; Rob.Tanner@duke.edu</t>
  </si>
  <si>
    <t>10.1086/588685</t>
  </si>
  <si>
    <t>324NI</t>
  </si>
  <si>
    <t>WOS:000257524900001</t>
  </si>
  <si>
    <t>Coussement, K; Van den Poel, D</t>
  </si>
  <si>
    <t>Coussement, Kristof; Van den Poel, Dirk</t>
  </si>
  <si>
    <t>Improving customer complaint management by automatic email classification using linguistic style features as predictors</t>
  </si>
  <si>
    <t>Customer Complaint Handling; call-center email; voice of customers (VOC); Singular Value Decomposition (SVD); Latent Semantic Indexing (LSI); automatic email classification</t>
  </si>
  <si>
    <t>Customer complaint management is becoming a critical key success factor in today's business environment. This study introduces a methodology to improve complaint-handling strategies through an automatic email-classification system that distinguishes complaints from non-complaints. As such, complaint handling becomes less time-consuming and more successful. The classification system combines traditional text information with new information about the linguistic style of an email. The empirical results show that adding linguistic style information into a classification model with conventional text-classification variables results in a significant increase in predictive performance. In addition, this study reveals linguistic style differences between complaint emails and others. (c) 2007 Elsevier B.V. All rights reserved.</t>
  </si>
  <si>
    <t>[Coussement, Kristof; Van den Poel, Dirk] Univ Ghent, Fac Econ &amp; Business Adm, Dept Mkt, B-9000 Ghent, Belgium</t>
  </si>
  <si>
    <t>Ghent University</t>
  </si>
  <si>
    <t>Van den Poel, D (corresponding author), Univ Ghent, Fac Econ &amp; Business Adm, Dept Mkt, Tweekerkenstr 2, B-9000 Ghent, Belgium.</t>
  </si>
  <si>
    <t>Kristof.Coussement@UGent.be; Dirk.VandenPoel@UGent.be</t>
  </si>
  <si>
    <t>Van den Poel, Dirk/AAN-1891-2021</t>
  </si>
  <si>
    <t>Van den Poel, Dirk/0000-0002-8676-8103; Coussement, Kristof/0000-0003-1346-9425</t>
  </si>
  <si>
    <t>10.1016/j.dss.2007.10.010</t>
  </si>
  <si>
    <t>270WF</t>
  </si>
  <si>
    <t>WOS:000253750200008</t>
  </si>
  <si>
    <t>IEEE Computer Soc</t>
  </si>
  <si>
    <t>Robust de-anonymization of large sparse datasets</t>
  </si>
  <si>
    <t>PROCEEDINGS OF THE 2008 IEEE SYMPOSIUM ON SECURITY AND PRIVACY</t>
  </si>
  <si>
    <t>PROCEEDINGS: IEEE SYMPOSIUM ON SECURITY AND PRIVACY</t>
  </si>
  <si>
    <t>IEEE Symposium on Security and Privacy</t>
  </si>
  <si>
    <t>MAY 18-21, 2008</t>
  </si>
  <si>
    <t>Oakland, CA</t>
  </si>
  <si>
    <t>IEEE Comp Soc</t>
  </si>
  <si>
    <t>We present a new class of statistical de-anonymization attacks against high-dimensional micro-data, such as individual preferences, recommendations, transaction records and so on. Our techniques are robust to perturbation in the data and tolerate some mistakes in the adversary's background knowledge. We apply our de-anonymization methodology to the Netflix Prize dataset, which contains anonymous movie ratings of 500,000 subscribers of Netflix, the world's largest online movie rental service. We demonstrate that an adversary who knows only a little bit about an individual subscriber can easily identify this subscriber's record in the dataset. Using the Internet Movie Database as the source of background knowledge, we successfully identified the Netflix records of known users, uncovering their apparent political preferences and other potentially sensitive information.</t>
  </si>
  <si>
    <t>[Narayanan, Arvind; Shmatikov, Vitaly] Univ Texas Austin, Austin, TX 78712 USA</t>
  </si>
  <si>
    <t>Narayanan, A (corresponding author), Univ Texas Austin, Austin, TX 78712 USA.</t>
  </si>
  <si>
    <t>1081-6011</t>
  </si>
  <si>
    <t>978-0-7695-3168-7</t>
  </si>
  <si>
    <t>P IEEE S SECUR PRIV</t>
  </si>
  <si>
    <t>10.1109/SP.2008.33</t>
  </si>
  <si>
    <t>BHU82</t>
  </si>
  <si>
    <t>WOS:000256560300008</t>
  </si>
  <si>
    <t>Deighton, J</t>
  </si>
  <si>
    <t>Deighton, John</t>
  </si>
  <si>
    <t>The territory of consumer research: Walking the fences</t>
  </si>
  <si>
    <t>jcr@bus.wisc.edu</t>
  </si>
  <si>
    <t>10.1086/522653</t>
  </si>
  <si>
    <t>208LC</t>
  </si>
  <si>
    <t>WOS:000249319800001</t>
  </si>
  <si>
    <t>Wang, J; Calder, BJ</t>
  </si>
  <si>
    <t>Wang, Jing; Calder, Bobby J.</t>
  </si>
  <si>
    <t>Media transportation and advertising</t>
  </si>
  <si>
    <t>RHETORICAL QUESTIONS; ISSUE INVOLVEMENT; PROGRAM CONTEXT; PERSUASION; COMMERCIALS; ABSORPTION; RESPONSES</t>
  </si>
  <si>
    <t>Advertising is commonly presented in the context of media articles or programs that are intended to engage the consumer. An important aspect of this engagement is media transportation, where a person not only attends to information but also is absorbed into the narrative flow of a story in a pleasurable and active way. This research examines the effects of the transportation experience produced by the media context on the impact of ads that appear in that context. Three studies show that transportation can have both positive and negative effects on advertising. Intrusion of the ad into the transportation process is shown to mediate the negative effects, which occurs independently of involvement.</t>
  </si>
  <si>
    <t>Univ Iowa, Henry B Tippie Coll Business, Iowa City, IA 52242 USA; Northwestern Univ, JL Kellogg Grad Sch Management, Evanston, IL 60208 USA</t>
  </si>
  <si>
    <t>University of Iowa; Northwestern University</t>
  </si>
  <si>
    <t>Wang, J (corresponding author), Univ Iowa, Henry B Tippie Coll Business, Iowa City, IA 52242 USA.</t>
  </si>
  <si>
    <t>jing-wang@uiowa.edu; calder@kellogg.northwestern.edu</t>
  </si>
  <si>
    <t>WANG, Jing (Jane)/D-2221-2010</t>
  </si>
  <si>
    <t>10.1086/506296</t>
  </si>
  <si>
    <t>087HE</t>
  </si>
  <si>
    <t>WOS:000240732700001</t>
  </si>
  <si>
    <t>Labroo, AA; Lee, AY</t>
  </si>
  <si>
    <t>Labroo, Aparna A.; Lee, Angela Y.</t>
  </si>
  <si>
    <t>Between two brands: A goal fluency account of brand evaluation</t>
  </si>
  <si>
    <t>INCIDENTAL AD EXPOSURE; REGULATORY FOCUS; MERE EXPOSURE; PERCEPTUAL FLUENCY; CONSIDERATION SETS; CHOICE; AUTOMATICITY; ACTIVATION; PERSUASION; PLEASURES</t>
  </si>
  <si>
    <t>The authors present the results of two studies that show how consumers' evaluations of an advertised product can be influenced by the compatibility or conflict between the regulatory goals (promotion or prevention) addressed by the product and prior advertising of related products. Participants across both studies were exposed sequentially to the advertising of two products (prime and target), and they demonstrated a regulatory goal fluency effect in their evaluations of the target brand. When the regulatory goal serviced by the target matched (conflicted with) the regulatory goal serviced by the prime, participants indicated higher (lower) purchase intent (Experiment 1) and more favorable evaluations of the target brand (Experiment 2). These effects were not accounted for by differences in participants' involvement or affective state across the conditions. Instead, mediation analyses show that participants' ease of processing the target advertisement underlies the effect of goal compatibility on brand evaluation.</t>
  </si>
  <si>
    <t>Univ Chicago, Grad Sch Business, Chicago, IL 60637 USA; Northwestern Univ, JL Kellogg Grad Sch Management, Evanston, IL 60208 USA</t>
  </si>
  <si>
    <t>University of Chicago; Northwestern University</t>
  </si>
  <si>
    <t>Labroo, AA (corresponding author), Univ Chicago, Grad Sch Business, Chicago, IL 60637 USA.</t>
  </si>
  <si>
    <t>alabroo@chicagoGSB.edu; aylee@kellogg.northwestern.edu</t>
  </si>
  <si>
    <t>Labroo, Aparna A/A-8279-2009; Labroo, Aparna/GRS-5467-2022</t>
  </si>
  <si>
    <t>10.1509/jmkr.43.3.374</t>
  </si>
  <si>
    <t>WOS:000239878300008</t>
  </si>
  <si>
    <t>Plaisant, C; Rose, J; Yu, B; Auvil, L; Kirschenbaum, MG; Smith, MN; Clement, T; Lord, G</t>
  </si>
  <si>
    <t>IEEE</t>
  </si>
  <si>
    <t>Plaisant, Catherine; Rose, James; Yu, Bei; Auvil, Loretta; Kirschenbaum, Matthew G.; Smith, Martha Nell; Clement, Tanya; Lord, Greg</t>
  </si>
  <si>
    <t>Exploring erotics in emily dickinson's correspondence with text mining and visual interfaces</t>
  </si>
  <si>
    <t>OPENING INFORMATION HORIZONS</t>
  </si>
  <si>
    <t>6th ACM/IEEE Joint Conference on Digital Libraries (JCDL)</t>
  </si>
  <si>
    <t>JUN 11-15, 2006</t>
  </si>
  <si>
    <t>Chapel Hill, NC</t>
  </si>
  <si>
    <t>ACM SIGIR,IEEE TC DL</t>
  </si>
  <si>
    <t>user interface; text mining; visualization; literary criticism; humanities; case studies</t>
  </si>
  <si>
    <t>This paper describes a system to support humanities scholars in their interpretation of literary work. It presents a user interface and web architecture that integrates text mining, a graphical user interface and visualization, while attempting to remain easy to use by non specialists. Users can interactively read and rate documents found in a digital libraries collection, prepare training sets, review results of classification algorithms and explore possible indicators and explanations. Initial evaluation steps suggest that there is a rationale for provocational text mining in literary interpretation.</t>
  </si>
  <si>
    <t>[Plaisant, Catherine; Rose, James] Univ Maryland, Human Comp Interact Lab, College Pk, MD 20742 USA; [Rose, James] Univ Maryland, Dept Comp Sci, College Pk, MD 20742 USA; [Yu, Bei] Univ Illinois, GSLIS, Chicago, IL 60680 USA; [Auvil, Loretta] Univ Illinois, NCSA, Chicago, IL 60680 USA; [Kirschenbaum, Matthew G.; Smith, Martha Nell; Clement, Tanya; Lord, Greg] Univ Maryland, MITH, Dept English, College Pk, MD 20742 USA</t>
  </si>
  <si>
    <t>University System of Maryland; University of Maryland College Park; University System of Maryland; University of Maryland College Park; University of Illinois System; University of Illinois Chicago; University of Illinois Chicago Hospital; University of Illinois System; University of Illinois Chicago; University of Illinois Chicago Hospital; University System of Maryland; University of Maryland College Park</t>
  </si>
  <si>
    <t>Plaisant, C (corresponding author), Univ Maryland, Human Comp Interact Lab, College Pk, MD 20742 USA.</t>
  </si>
  <si>
    <t>plaisant@cs.umd.edu; lauvil@ncsa.uiuc.edu; mgk@umd.edu</t>
  </si>
  <si>
    <t>Yu, Bei/0000-0001-5425-0011</t>
  </si>
  <si>
    <t>Andrew Mellon Foundation; University of Maryland Libraries</t>
  </si>
  <si>
    <t>We thank all the members of the Nora team, in particular John Unsworth who leads this project, Steve Ramsay who provides the Tamarind system, and David Clutter, Greg Pape, and Andrew Shirk from NCSA who helped setup the web services for Nora. We are also grateful to Jean-Daniel Fekete who helped us with the InfoVis Toolkit. Partial support for this work was provided by the Andrew Mellon Foundation and the University of Maryland Libraries.</t>
  </si>
  <si>
    <t>1-59593-354-9</t>
  </si>
  <si>
    <t>Computer Science, Artificial Intelligence; Computer Science, Information Systems; Information Science &amp; Library Science</t>
  </si>
  <si>
    <t>BEQ50</t>
  </si>
  <si>
    <t>WOS:000238914700021</t>
  </si>
  <si>
    <t>Holt, DB; Thompson, CJ</t>
  </si>
  <si>
    <t>Man-of-action heroes: The pursuit of heroic masculinity in everyday consumption</t>
  </si>
  <si>
    <t>CONSUMER; EXPLORATION; EXPERIENCE</t>
  </si>
  <si>
    <t>We develop a model describing how certain American men, those men who have been described as emasculated by recent socioeconomic changes, construct themselves as masculine through their everyday consumption. We find that American mass culture idealizes the man-of-action hero - an idealized model of manhood that resolves the inherent weaknesses in two other prominent models ( the breadwinner and the rebel). The men we studied drew from this three-part discourse - what we call the ideology of heroic masculinity - to construct themselves in dramatic fashion as man-of-action heroes. In addition, we show that these men pursue heroic masculinity in very different ways, depending on their social class positions.</t>
  </si>
  <si>
    <t>Univ Oxford, Oxford OX1 1HP, England; Univ Wisconsin, Madison, WI 53706 USA</t>
  </si>
  <si>
    <t>University of Oxford; University of Wisconsin System; University of Wisconsin Madison</t>
  </si>
  <si>
    <t>Holt, DB (corresponding author), Univ Oxford, Pk End St, Oxford OX1 1HP, England.</t>
  </si>
  <si>
    <t>doug.holt@sbs.ox.ac.uk; cthompson@bus.wisc.edu</t>
  </si>
  <si>
    <t>10.1086/422120</t>
  </si>
  <si>
    <t>857OZ</t>
  </si>
  <si>
    <t>WOS:000224129300017</t>
  </si>
  <si>
    <t>Graesser, AC; McNamara, DS; Louwerse, MM; Cai, ZQ</t>
  </si>
  <si>
    <t>Coh-Metrix: Analysis of text on cohesion and language</t>
  </si>
  <si>
    <t>BEHAVIOR RESEARCH METHODS INSTRUMENTS &amp; COMPUTERS</t>
  </si>
  <si>
    <t>33rd Annual Meeting of the Society-for-Computers-in-Psychology (SCIP)</t>
  </si>
  <si>
    <t>NOV 06, 2003</t>
  </si>
  <si>
    <t>Vancouver, CANADA</t>
  </si>
  <si>
    <t>Soc Comp Psychol</t>
  </si>
  <si>
    <t>LATENT SEMANTIC ANALYSIS; COMPREHENSION; KNOWLEDGE; REPRESENTATION; ACQUISITION; INFORMATION; COHERENCE; COMPONENT; WORDS</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</si>
  <si>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</si>
  <si>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Univ Memphis, Dept Psychol, Memphis, TN 38152 USA</t>
  </si>
  <si>
    <t>University of Memphis</t>
  </si>
  <si>
    <t>McNamara, DS (corresponding author), Univ Memphis, Dept Psychol, 202 Psychol Bldg, Memphis, TN 38152 USA.</t>
  </si>
  <si>
    <t>d.mcnamara@mail.psyc.memphis.edu</t>
  </si>
  <si>
    <t>Louwerse, Max/0000-0003-0328-7070</t>
  </si>
  <si>
    <t>PSYCHONOMIC SOC INC</t>
  </si>
  <si>
    <t>AUSTIN</t>
  </si>
  <si>
    <t>1710 FORTVIEW RD, AUSTIN, TX 78704 USA</t>
  </si>
  <si>
    <t>0743-3808</t>
  </si>
  <si>
    <t>BEHAV RES METH INS C</t>
  </si>
  <si>
    <t>Behav. Res. Methods Instr. Comput.</t>
  </si>
  <si>
    <t>10.3758/BF03195564</t>
  </si>
  <si>
    <t>842TH</t>
  </si>
  <si>
    <t>WOS:000223026600004</t>
  </si>
  <si>
    <t>Lee, AY; Labroo, AA</t>
  </si>
  <si>
    <t>The effect of conceptual and perceptual fluency on brand evaluation</t>
  </si>
  <si>
    <t>INCIDENTAL AD EXPOSURE; MERE EXPOSURE; IMPLICIT MEMORY; CONSIDERATION SETS; REPETITION; JUDGMENTS; RECALL; EASE; AVAILABILITY; FAMILIARITY</t>
  </si>
  <si>
    <t>According to the processing fluency model, advertising exposures enhance the ease with which consumers recognize and process a brand. In turn, this increased perceptual fluency leads to consumers having more favorable attitudes toward the brand. The authors extend the processing fluency model to examine the effect of conceptual fluency on attitudes. In three experiments, the authors show that when a target comes to mind more readily and becomes conceptually fluent, as when it is presented in a predictive context (e.g., a bottle of beer featured in an advertisement that shows a man entering a bar) or when it is primed by a related construct (e.g., an image of ketchup following an advertisement of mayonnaise), participants develop more favorable attitudes toward the target. It is believed that positive valence of fluent processing underlies these processing-fluency effects. When conceptual fluency is associated with negative valence (e.g., hair conditioner primed by a lice-killing shampoo), the authors observe less favorable attitudes.</t>
  </si>
  <si>
    <t>Northwestern Univ, JL Kellogg Grad Sch Management, Evanston, IL 60208 USA; Univ Chicago, Grad Sch Business, Chicago, IL 60637 USA</t>
  </si>
  <si>
    <t>Northwestern University; University of Chicago</t>
  </si>
  <si>
    <t>Lee, AY (corresponding author), Northwestern Univ, JL Kellogg Grad Sch Management, Evanston, IL 60208 USA.</t>
  </si>
  <si>
    <t>aylee@kellogg.northwestern.edu; alabroo@gsb.uchicago.edu</t>
  </si>
  <si>
    <t>Labroo, Aparna/GRS-5467-2022; Labroo, Aparna A/A-8279-2009</t>
  </si>
  <si>
    <t>10.1509/jmkr.41.2.151.28665</t>
  </si>
  <si>
    <t>817NN</t>
  </si>
  <si>
    <t>WOS:000221184300002</t>
  </si>
  <si>
    <t>Lee, AY; Aaker, JL</t>
  </si>
  <si>
    <t>Bringing the frame into focus: The influence of regulatory fit on processing fluency and persuasion</t>
  </si>
  <si>
    <t>SELF-DISCREPANCIES; INFORMATION; INTENTIONS; MESSAGES; EXPOSURE; DECISION; RECOGNITION; STEREOTYPES; PREVENTION; PLEASURES</t>
  </si>
  <si>
    <t>This research demonstrates that people's goals associated with regulatory focus moderate the effect of message framing on persuasion. The results of 6 experiments show that appeals presented in gain frames are more persuasive when the message is promotion focused, whereas loss-framed appeals are more persuasive when the message is prevention focused. These regulatory focus effects suggesting heightened vigilance against negative outcomes and heightened eagerness toward positive outcomes are replicated when perceived risk is manipulated. Enhanced processing fluency leading to more favorable evaluations in conditions of compatibility appears to underlie these effects. The findings underscore the regulatory fit principle that accounts for the persuasiveness of message framing effects and highlight how processing fluency may contribute to the feeling right experience when the strategy of goal pursuit matches one's goal.</t>
  </si>
  <si>
    <t>Stanford Univ, Kellogg Sch Management, Stanford, CA 94305 USA; Northwestern Univ, Evanston, IL 60208 USA</t>
  </si>
  <si>
    <t>Northwestern University; Stanford University; Northwestern University</t>
  </si>
  <si>
    <t>Lee, AY (corresponding author), Stanford Univ, Kellogg Sch Management, Stanford, CA 94305 USA.</t>
  </si>
  <si>
    <t>aylee@kellogg.northwestern.edu; aaker@gsb.stanford.edu</t>
  </si>
  <si>
    <t>10.1037/0022-3514.86.2.205</t>
  </si>
  <si>
    <t>773MD</t>
  </si>
  <si>
    <t>WOS:000188926800001</t>
  </si>
  <si>
    <t>Earl, J; Martin, A; McCarthy, JD; Soule, SA</t>
  </si>
  <si>
    <t>The use of newspaper data in the study of collective action</t>
  </si>
  <si>
    <t>ANNUAL REVIEW OF SOCIOLOGY</t>
  </si>
  <si>
    <t>protest; selection bias; description bias; news source; social movements; protest event analysis</t>
  </si>
  <si>
    <t>MEDIA COVERAGE; SELECTION BIAS; PROTEST EVENTS; POLITICAL PROCESSES; CONFLICT; MOVEMENT; CONSTRUCTION; IMMIGRATION; INSURGENCY; WASHINGTON</t>
  </si>
  <si>
    <t>Studying collective action with newspaper accounts of protest events, rare only 20 years ago, has become commonplace in the past decade. A critical literature has accompanied the growth of protest event analysis. The literature has focused on selection bias-particularly which subset of events are covered-and description bias - notably, the veracity of the coverage. The hard news of the event, if it is reported, tends to be relatively accurate. However, a newspaper's decision to cover an event at all is influenced by the type of event, the news agency, and the issue involved. In this review, we discuss approaches to detecting bias, as well as ways to factor knowledge about bias into interpretations of protest event data.</t>
  </si>
  <si>
    <t>Univ Calif Santa Barbara, Dept Sociol, Santa Barbara, CA 93106 USA; Penn State Univ, Dept Sociol, University Pk, PA 16802 USA; Univ Arizona, Dept Sociol, Tucson, AZ 85721 USA</t>
  </si>
  <si>
    <t>University of California System; University of California Santa Barbara; Pennsylvania Commonwealth System of Higher Education (PCSHE); Pennsylvania State University; Pennsylvania State University - University Park; University of Arizona</t>
  </si>
  <si>
    <t>Earl, J (corresponding author), Univ Calif Santa Barbara, Dept Sociol, Santa Barbara, CA 93106 USA.</t>
  </si>
  <si>
    <t>jearl@soc.ucsb.edu; awm127@psu.edu; jxm516@psu.edu; soule@u.arizona.edu</t>
  </si>
  <si>
    <t>Earl, Jennifer/AAC-9495-2020; Martin, Andrew/B-6141-2015</t>
  </si>
  <si>
    <t xml:space="preserve">Earl, Jennifer/0000-0002-0904-1605; </t>
  </si>
  <si>
    <t>ANNUAL REVIEWS</t>
  </si>
  <si>
    <t>PALO ALTO</t>
  </si>
  <si>
    <t>4139 EL CAMINO WAY, PO BOX 10139, PALO ALTO, CA 94303-0139 USA</t>
  </si>
  <si>
    <t>0360-0572</t>
  </si>
  <si>
    <t>ANNU REV SOCIOL</t>
  </si>
  <si>
    <t>Annu. Rev. Sociol.</t>
  </si>
  <si>
    <t>10.1146/annurev.soc.30.012703.110603</t>
  </si>
  <si>
    <t>848YD</t>
  </si>
  <si>
    <t>WOS:000223503200004</t>
  </si>
  <si>
    <t>Newman, ML; Pennebaker, JW; Berry, DS; Richards, JM</t>
  </si>
  <si>
    <t>Lying words: Predicting deception from linguistic styles</t>
  </si>
  <si>
    <t>deception; honesty; language; words; pronouns</t>
  </si>
  <si>
    <t>SELF-AWARENESS; LANGUAGE; ACTIVATION; BEHAVIOR; MEMORY; DECEIT</t>
  </si>
  <si>
    <t>Telling lies often requires creating a story about an experience or attitude that does not exist. As a result, false stories may be qualitatively different from true stories. The current project investigated the features of linguistic style that distinguish between true and false stories. In an analysis of five independent samples, a computer-based text analysis program correctly classified liars and truth-tellers at a rate of 67% when the topic was constant and a rate of 61% overall. Compared to truth-tellers, liars showed lower cognitive complexity, used fewer self-references and other-references, and used more negative emotion words.</t>
  </si>
  <si>
    <t>Univ Texas, Dept Psychol, Austin, TX 78712 USA; So Methodist Univ, Dallas, TX 75275 USA; Univ Washington, Seattle, WA 98195 USA</t>
  </si>
  <si>
    <t>University of Texas System; University of Texas Austin; Southern Methodist University; University of Washington; University of Washington Seattle</t>
  </si>
  <si>
    <t>10.1177/0146167203029005010</t>
  </si>
  <si>
    <t>669FT</t>
  </si>
  <si>
    <t>WOS:000182341800010</t>
  </si>
  <si>
    <t>Bokonon-Ganta, AH; Bernal, JS; Pietrantonio, PV; Setamou, M</t>
  </si>
  <si>
    <t>Survivorship and development of fall armyworm, Spodoptera frugiperda (J. E. Smith) (Lepidoptera : Noctuidae), on conventional and transgenic maize cultivars expressing Bacillus thuringiensis Cry9C and Cry1A(b) endotoxins</t>
  </si>
  <si>
    <t>INTERNATIONAL JOURNAL OF PEST MANAGEMENT</t>
  </si>
  <si>
    <t>biological control; Spodoptera frugiperda; survivorship; transgenic maize</t>
  </si>
  <si>
    <t>LINKED IMMUNOSORBENT ASSAY; SWEET CORN HYBRIDS; INSECTICIDAL PROTEIN; GOSSYPIUM-HIRSUTUM; FIELD-EVALUATION; LARVAL SURVIVAL; DELTA-ENDOTOXIN; NATURAL ENEMIES; COTTON; RESISTANCE</t>
  </si>
  <si>
    <t>Growth and development of fall armyworm, Spodoptera frugiperda (J. E. Smith), were compared in two laboratory trials between individuals oered transgenic maize seedlings, conventional maize seedlings, or artificial diet. Transgenic maize seedlings in the first and second trials expressed Cry9C (Event CBH 351) and Cry1A(b) (Event MON 810) Bacillus thuringiensis (Berliner) (Bt) endotoxin genes, respectively. Significant dierences were observed in both trials between fall armyworm fed transgenic and conventional maize for larval and pupal survival, weight, and development time. Survivorship of fall armyworm larvae was 28-70% on both transgenic cultivars, compared to 62-97% recorded on both conventional cultivars and artificial diet. Fall armyworm fed Cry9C transgenic maize had lower larval and pupal weights relative to those fed conventional maize, but the dierence was significant only for pupae, whereas those fed Cry1A(b) transgenic maize had significantly lower larval weights, while pupal weights were similar. Developmental periods of larvae fed transgenic or conventional maize were similar in the trial involving Cry9C maize, and longer for larvae fed transgenic maize in the trial involving Cry1A(b) maize. Pupal developmental periods were longer for larvae fed either Cry9C or Cry1A(b) transgenic maize relative to conventional maize, but the dierence was significant only in the former case. Estimation of Bt endotoxin concentration in plant tissues via enzyme-linked immunosorbent assays revealed that endotoxin expression was similar to 10 times greater in Cry9C maize relative to Cry1A(b) maize. Results are discussed in reference to implications for biological control of pests, such as fall armyworm, that are not targets of Bt transgenic maize.</t>
  </si>
  <si>
    <t>Texas A&amp;M Univ, Biol Control Lab, College Stn, TX 77843 USA</t>
  </si>
  <si>
    <t>Texas A&amp;M University System; Texas A&amp;M University College Station</t>
  </si>
  <si>
    <t>Bernal, JS (corresponding author), Texas A&amp;M Univ, Biol Control Lab, College Stn, TX 77843 USA.</t>
  </si>
  <si>
    <t>Bernal, Julio S./N-1290-2013</t>
  </si>
  <si>
    <t>Bernal, Julio S./0000-0003-4615-2213</t>
  </si>
  <si>
    <t>TAYLOR &amp; FRANCIS LTD</t>
  </si>
  <si>
    <t>4 PARK SQUARE, MILTON PARK, ABINGDON OX14 4RN, OXON, ENGLAND</t>
  </si>
  <si>
    <t>0967-0874</t>
  </si>
  <si>
    <t>INT J PEST MANAGE</t>
  </si>
  <si>
    <t>Int. J. Pest Manage.</t>
  </si>
  <si>
    <t>APR-JUN</t>
  </si>
  <si>
    <t>10.1080/0967087031000085024</t>
  </si>
  <si>
    <t>Entomology</t>
  </si>
  <si>
    <t>675WH</t>
  </si>
  <si>
    <t>WOS:000182720200012</t>
  </si>
  <si>
    <t>Boroditsky, L; Schmidt, LA; Phillips, W</t>
  </si>
  <si>
    <t>Gentner, D; GoldinMeadow, S</t>
  </si>
  <si>
    <t>Boroditsky, Lera; Schmidt, Lauren A.; Phillips, Webb</t>
  </si>
  <si>
    <t>Sex, Syntax, and Semantics</t>
  </si>
  <si>
    <t>LANGUAGE IN MIND: ADVANCES IN THE STUDY OF LANGUAGE AND THOUGHT</t>
  </si>
  <si>
    <t>Bradford Books</t>
  </si>
  <si>
    <t>Article; Book Chapter</t>
  </si>
  <si>
    <t>LANGUAGE; ENGLISH; GENDER; WHORF</t>
  </si>
  <si>
    <t>[Boroditsky, Lera; Phillips, Webb] MIT, Dept Brain &amp; Cognit Sci, Cambridge, MA 02139 USA; [Schmidt, Lauren A.] Stanford Univ, Stanford, CA 94305 USA</t>
  </si>
  <si>
    <t>Massachusetts Institute of Technology (MIT); Stanford University</t>
  </si>
  <si>
    <t>Boroditsky, L (corresponding author), MIT, Dept Brain &amp; Cognit Sci, Cambridge, MA 02139 USA.</t>
  </si>
  <si>
    <t>978-0-262-07243-4</t>
  </si>
  <si>
    <t>BRADFORD BOOKS</t>
  </si>
  <si>
    <t>BSA83</t>
  </si>
  <si>
    <t>WOS:000284044700005</t>
  </si>
  <si>
    <t>Bradley, SD; Meeds, R</t>
  </si>
  <si>
    <t>Surface-structure transformations and advertising slogans: The case for moderate syntactic complexity</t>
  </si>
  <si>
    <t>RECALL; REGENERATION; INVOLVEMENT; PERSUASION; SENTENCES; CAPACITY; MEMORY</t>
  </si>
  <si>
    <t>Since its introduction in 1957, Noam Chomsky's theory of transformational grammar has been the subject of much psycholinguistic research. Through several metamorphoses, the theory has remained controversial as to whether it represents how the mind actually processes language. Psycholinguists have studied this area over several decades. Syntactic structure has been studied in terms of recall and effects on reaction time to secondary tasks, but little is known about syntactic structure and attitude formation. Advertising researchers have looked at the effects of many types of complexity (e.g., semantic and visual), but few have investigated the effects of syntactic complexity on attitude formation. This study used a within-subjects experiment to examine how surface-structure transformations affected readers' comprehension, recognition, recall, and attitudes toward slogans. As expected, syntactic complexity did not affect the comprehension of advertising slogans, but simple-syntax versions-especially the active voice-showed an advantage in recognition. Slogans with moderate syntactic complexity showed a significant positive effect on free morphemic recall and attitude toward the advertisement, but a high degree of syntactic manipulations resulted in significantly lower free morphemic recall and attitudes toward the ad, suggesting a possible curvilinear relationship. These findings and implications for advertising professionals and educators are discussed. (C) 2002 Wiley Periodicals, Inc.</t>
  </si>
  <si>
    <t>Cornell Univ, Dept Commun, Ithaca, NY 14853 USA; Kansas State Univ, Manhattan, KS 66506 USA</t>
  </si>
  <si>
    <t>Cornell University; Kansas State University</t>
  </si>
  <si>
    <t>Bradley, SD (corresponding author), Cornell Univ, Dept Commun, 336 Kennedy Hall, Ithaca, NY 14853 USA.</t>
  </si>
  <si>
    <t>JOHN WILEY &amp; SONS INC</t>
  </si>
  <si>
    <t>111 RIVER ST, HOBOKEN, NJ 07030 USA</t>
  </si>
  <si>
    <t>JUL-AUG</t>
  </si>
  <si>
    <t>7-8</t>
  </si>
  <si>
    <t>10.1002/mar.10027</t>
  </si>
  <si>
    <t>563GP</t>
  </si>
  <si>
    <t>WOS:000176248200003</t>
  </si>
  <si>
    <t>Allen, DE</t>
  </si>
  <si>
    <t>Toward a theory of consumer choice as sociohistorically shaped practical experience: The fits-like-a-glove (FLAG) framework</t>
  </si>
  <si>
    <t>DECISION-MAKING; PROPRIETARY SCHOOLS; LIFE-STYLE; CONSUMPTION; EMOTIONS; MEANINGS; POLICY; LOVE</t>
  </si>
  <si>
    <t>This article presents an ethnographic investigation into choice for postsecondary education. Findings from the investigation highlight choice experience during which the consumer finds the object of choice to be a perfect fit or to fit like a glove. The article seeks to expand consumer research's repertoire of choice models to grasp more effectively such choices. Practice theory, which emphasizes the sociohistorical and embodied qualities of everyday experience, is used to develop the Fits-Like-a-Glove (FLAG) framework of choice. Overall, the data suggest that FLAG choice entails an embodied, holistic experience of perfect fit arising during a consumer's in situ encounter with an object of choice. FLAG choice is explained by highlighting the sociohistorical shaping of this encounter. By comparing and contrasting it with dominant models of choice in consumer research, the implications of the FLAG framework of choice are brought into relief.</t>
  </si>
  <si>
    <t>Bucknell Univ, Dept Management, Lewisburg, PA 17837 USA</t>
  </si>
  <si>
    <t>Bucknell University</t>
  </si>
  <si>
    <t>Allen, DE (corresponding author), Bucknell Univ, Dept Management, Lewisburg, PA 17837 USA.</t>
  </si>
  <si>
    <t>10.1086/338202</t>
  </si>
  <si>
    <t>530RX</t>
  </si>
  <si>
    <t>WOS:000174373700001</t>
  </si>
  <si>
    <t>Marx, GT</t>
  </si>
  <si>
    <t>Marx, Gary T.</t>
  </si>
  <si>
    <t>Murky conceptual waters: The public and the private</t>
  </si>
  <si>
    <t>ETHICS AND INFORMATION TECHNOLOGY</t>
  </si>
  <si>
    <t>Information System; User Interface; Human Computer Interaction; Technology Management; Objective Content</t>
  </si>
  <si>
    <t>In discussions on the ethics of surveillance and consequently surveillance policy, the public/private distinction is often implicitly or explicitly invoked as a way to structure the discussion and the arguments. In these discussions, the distinction 'public' and 'private' is often treated as a uni-dimensional, rigidly dichotomous and absolute, fixed and universal concept, whose meaning could be determined by the objective content of the behavior. Nevertheless, if we take a closer look at the distinction in diverse empirical contexts we find them to be more subtle, diffused and ambiguous than suggested. Thus, the paper argues for the treatment of these distinctions as multi-dimensional, continuous and relative, fluid and situational or contextual, whose meaning lies in how they are interpreted and framed. However, the aim of this paper is not to finally 'sort things out'. The objective is rather to demonstrate the complexities of the distinction in various contexts and to suggest that those using the distinction, when considering the ethics and politics of surveillance technologies, would benefit from more clearly specifying which dimensions they have in mind and how they relate.</t>
  </si>
  <si>
    <t>[Marx, Gary T.] 4615 New Sweden Ave, Bainbridge Isl, WA 98110 USA</t>
  </si>
  <si>
    <t>Marx, GT (corresponding author), 4615 New Sweden Ave, Bainbridge Isl, WA 98110 USA.</t>
  </si>
  <si>
    <t>GTMarx@bainbridge.net</t>
  </si>
  <si>
    <t>1388-1957</t>
  </si>
  <si>
    <t>1572-8439</t>
  </si>
  <si>
    <t>ETHICS INF TECHNOL</t>
  </si>
  <si>
    <t>Ethics Inf. Technol.</t>
  </si>
  <si>
    <t>10.1023/A:1012456832336</t>
  </si>
  <si>
    <t>Ethics; Information Science &amp; Library Science; Philosophy</t>
  </si>
  <si>
    <t>Social Sciences - Other Topics; Information Science &amp; Library Science; Philosophy</t>
  </si>
  <si>
    <t>VI5UZ</t>
  </si>
  <si>
    <t>WOS:000497503700002</t>
  </si>
  <si>
    <t>Boroditsky, L</t>
  </si>
  <si>
    <t>Does language shape thought?: Mandarin and English speakers' conceptions of time</t>
  </si>
  <si>
    <t>COGNITIVE PSYCHOLOGY</t>
  </si>
  <si>
    <t>Whorf; time; language; metaphor; Mandarin</t>
  </si>
  <si>
    <t>ACQUISITION; CONSTRAINTS; HYPOTHESIS; MEMORY; VERBS; WHORF; NOUNS</t>
  </si>
  <si>
    <t>Does the language you speak affect how you think about the world? This question is taken up in three experiments. English and Mandarin talk about time differently-English predominantly talks about time as if it were horizontal, while Mandarin also commonly describes time as vertical. This difference between the two languages is reflected in the way their speakers think about time. In one study, Mandarin speakers tended to think about time vertically even when they were thinking for English (Mandarin speakers were faster to confirm that March comes earlier than April if they had just seen a vertical array of objects than if they had just seen a horizontal array, and the reverse was true for English speakers). Another study showed that the extent to which Mandarin-English bilinguals think about time vertically is related to how old they were when they first began to learn English. In another experiment native English speakers were taught to talk about time using vertical spatial terms in a way similar to Mandarin. On a subsequent test, this group of English speakers showed the same bias to think about time vertically as was observed with Mandarin speakers. It is concluded that (1) language is a powerful tool in shaping thought about abstract domains and (2) one's native language plays an important role in shaping habitual thought (e.g., how one tends to think about time) but does not entirely determine one's thinking in the strong Whorfian sense. (C) 2001 Academic Press.</t>
  </si>
  <si>
    <t>Boroditsky, L (corresponding author), Stanford Univ, Dept Psychol, Bldg 420, Stanford, CA 94305 USA.</t>
  </si>
  <si>
    <t>ACADEMIC PRESS INC</t>
  </si>
  <si>
    <t>0010-0285</t>
  </si>
  <si>
    <t>COGNITIVE PSYCHOL</t>
  </si>
  <si>
    <t>Cogn. Psychol.</t>
  </si>
  <si>
    <t>10.1006/cogp.2001.0748</t>
  </si>
  <si>
    <t>Psychology; Psychology, Experimental</t>
  </si>
  <si>
    <t>462CT</t>
  </si>
  <si>
    <t>WOS:000170403700001</t>
  </si>
  <si>
    <t>Bailey, TM; Hahn, U</t>
  </si>
  <si>
    <t>Determinants of wordlikeness: Phonotactics or lexical neighborhoods?</t>
  </si>
  <si>
    <t>JOURNAL OF MEMORY AND LANGUAGE</t>
  </si>
  <si>
    <t>wordlikeness; phonotactics; token frequency; lexical neighborhood; sequence typicality</t>
  </si>
  <si>
    <t>SHORT-TERM-MEMORY; WORD-FREQUENCY; SPEECH; SIMILARITY; RECOGNITION; ACTIVATION; MODEL; CLASSIFICATION; PROBABILITY; CONSTRAINTS</t>
  </si>
  <si>
    <t>Wordlikeness. the extent to which a sound sequence is typical of words in a language, affects language acquisition. language processing, and verbal short-term memory. Wordlikeness has generally been equated with phonotactic knowledge of the possible or probable sequences of sounds within a language. Alternatively, wordlikeness might be derived directly from the mental lexicon, depending only on similarity to known words. This paper tests these two cognitively;different possibilities by comparing measures of phonotactic probability and lexical influence. including a new model of lexical neighborhoods. in their ability to explain empirical wordlikeness Judgments. Our data show independent contributions of both phonotactic probability and the lexicon, with relatively greater influence from the lexicon. The influence of a lexical neighbor is found to be an inverted-U-shaped function of its token frequency. However. our results also indicate that current measures are limited in their ability to account for sequence typicality. (C) 2001 Academic Press.</t>
  </si>
  <si>
    <t>Univ Oxford, Oxford, England; Univ Wales Coll Cardiff, Cardiff CF1 3NS, S Glam, Wales</t>
  </si>
  <si>
    <t>University of Oxford; Cardiff University</t>
  </si>
  <si>
    <t>Bailey, TM (corresponding author), Cardiff Univ, Sch Psychol, POB 901, Cardiff CF10 3YG, S Glam, Wales.</t>
  </si>
  <si>
    <t>baileytm1@cardiff.ac.uk; hahnu@cardiff.ac.uk</t>
  </si>
  <si>
    <t>Bailey, Todd/D-4666-2009; Hahn, Ulrike/A-8947-2010</t>
  </si>
  <si>
    <t>Hahn, Ulrike/0000-0002-7744-8589</t>
  </si>
  <si>
    <t>0749-596X</t>
  </si>
  <si>
    <t>1096-0821</t>
  </si>
  <si>
    <t>J MEM LANG</t>
  </si>
  <si>
    <t>J. Mem. Lang.</t>
  </si>
  <si>
    <t>10.1006/jmla.2000.2756</t>
  </si>
  <si>
    <t>Linguistics; Psychology; Psychology, Experimental</t>
  </si>
  <si>
    <t>Linguistics; Psychology</t>
  </si>
  <si>
    <t>425RY</t>
  </si>
  <si>
    <t>WOS:000168306500004</t>
  </si>
  <si>
    <t>Laver, M; Garry, J</t>
  </si>
  <si>
    <t>Estimating policy positions from political texts</t>
  </si>
  <si>
    <t>ECPR Workshop on Estimating the Policy Positions of Political Actors</t>
  </si>
  <si>
    <t>MAR, 1999</t>
  </si>
  <si>
    <t>MANNHEIM, GERMANY</t>
  </si>
  <si>
    <t>ECPR</t>
  </si>
  <si>
    <t>EXPERT</t>
  </si>
  <si>
    <t>The analysis of policy-based party;;competition will not make serious progress beyond the constraints of (a) the unitary actor assumption and (b) a static approach to analyzing party competition between elections until a method is available for deriving; reliable and valid time-series estimates of the policy positions of large numbers of political actors. Retrospective estimation of these positions;In past party systems will require a method for estimating policy positions from political texts. Previous hand-coding content analysis schemes deal with policy emphasis rather than policy positions. We propose a new hand-coding scheme for policy positions, together with a new English language computer,coding scheme that is compatible with this. We apply both schemes; to party manifestos from Britain and Ireland in 1992 and 1997 and cross validate the resulting estimates with :those derived from quite independent expert surveys and with previous,manifesto analyses. There is a high degree of cross validation between coding methods. including computer coding. This implies that it is indeed possible to use computer-coded content analysis to derive reliable and valid estimates of policy positions from political texts. This will allow vast Volumes of text to be coded, including texts generated by individuals and other internal party actors, allowing the empirical elaboration of dynamic rather than static models of party competition that move beyond the unitary actor assumption.</t>
  </si>
  <si>
    <t>Univ Dublin Trinity Coll, Policy Inst, Dublin 2, Ireland</t>
  </si>
  <si>
    <t>Trinity College Dublin</t>
  </si>
  <si>
    <t>Laver, M (corresponding author), Univ Dublin Trinity Coll, Policy Inst, Dublin 2, Ireland.</t>
  </si>
  <si>
    <t>Laver, Michael/AAG-2561-2019</t>
  </si>
  <si>
    <t>Garry, John/0000-0002-2089-3817</t>
  </si>
  <si>
    <t>UNIV WISCONSIN PRESS</t>
  </si>
  <si>
    <t>MADISON</t>
  </si>
  <si>
    <t>JOURNAL DIVISION, 2537 DANIELS ST, MADISON, WI 53718 USA</t>
  </si>
  <si>
    <t>10.2307/2669268</t>
  </si>
  <si>
    <t>Conference Proceedings Citation Index - Social Science &amp;amp; Humanities (CPCI-SSH); Social Science Citation Index (SSCI)</t>
  </si>
  <si>
    <t>327WT</t>
  </si>
  <si>
    <t>WOS:000087817700014</t>
  </si>
  <si>
    <t>Grayson, K; Shulman, D</t>
  </si>
  <si>
    <t>Indexicality and the verification function of irreplaceable possessions: A semiotic analysis</t>
  </si>
  <si>
    <t>CONSUMER RESEARCH; CONSUMPTION; SELF; ATTACHMENT; HOMELESS; THINGS; SIGNS</t>
  </si>
  <si>
    <t>Many researchers have noted that special possessions can represent personally relevant events, people, places, and values. Semiotics provides a useful theoretical base for understanding the representation processes that support these meanings. We apply the semiotic concept of indexicality to extend our understanding of how meanings are embedded in irreplaceable special possessions. The results of two empirical studies support the proposition that these possessions establish a semiotic linkage, which enables consumers to verify self-selected moments from their personal history. Our research also reemphasizes the value of semiotic frameworks as applied to research on possession ownership and sheds additional light on the value of authenticity to consumers.</t>
  </si>
  <si>
    <t>London Business Sch, London NW1 4SA, England; Lafayette Coll, Easton, PA 18042 USA</t>
  </si>
  <si>
    <t>University of London; London Business School; Lafayette College</t>
  </si>
  <si>
    <t>Grayson, K (corresponding author), London Business Sch, London NW1 4SA, England.</t>
  </si>
  <si>
    <t>Grayson, Kent/AAI-5051-2021</t>
  </si>
  <si>
    <t>5720 SOUTH WOODLAWN AVE, CHICAGO, IL 60637-1603 USA</t>
  </si>
  <si>
    <t>10.1086/314306</t>
  </si>
  <si>
    <t>333VN</t>
  </si>
  <si>
    <t>WOS:000088151600003</t>
  </si>
  <si>
    <t>Golder, PN</t>
  </si>
  <si>
    <t>Historical method in marketing research with new evidence on long-term market share stability</t>
  </si>
  <si>
    <t>PRODUCT DEVELOPMENT; CONSUMER RESEARCH; BUSINESS RELATIONSHIPS; UNITED-STATES; FRAMEWORK; ADVANTAGE; STRATEGY; ENTRY; TIME; PROFITABILITY</t>
  </si>
  <si>
    <t>Several researchers have advocated historical or longitudinal approaches to study marketing phenomena. Although some have applied this approach, more often it has been overlooked or denigrated. The author argues that historical method is capable of producing scientific knowledge that is currently useful, rather than simply a remembrance of the past. The author presents a complete description of the historical method, so researchers can use this article as a guide when applying this method. The value of the method is illustrated by examining the prevailing finding in the marketing literature that market shares are stable over time. Although this finding is considered an empirical generalization, an analysis of more than 650 brands in 100 categories raises doubts about the longevity of market share stability.</t>
  </si>
  <si>
    <t>NYU, Stern Sch Business, New York, NY 10012 USA</t>
  </si>
  <si>
    <t>Golder, PN (corresponding author), NYU, Stern Sch Business, New York, NY 10012 USA.</t>
  </si>
  <si>
    <t>10.1509/jmkr.37.2.156.18732</t>
  </si>
  <si>
    <t>315ME</t>
  </si>
  <si>
    <t>WOS:000087116900002</t>
  </si>
  <si>
    <t>Benford, RD; Snow, DA</t>
  </si>
  <si>
    <t>Framing processes and social movements: An overview and assessment</t>
  </si>
  <si>
    <t>social movements; frame; collective action; reality construction; culture</t>
  </si>
  <si>
    <t>COLLECTIVE ACTION FRAMES; NUCLEAR DISARMAMENT MOVEMENT; CIVIL-RIGHTS-MOVEMENT; PEACE MOVEMENT; MASTER FRAMES; POLITICAL OPPORTUNITIES; CULTURAL RESONANCE; JUSTICE MOVEMENT; COLD-WAR; MOBILIZATION</t>
  </si>
  <si>
    <t>The recent proliferation of scholarship on collective action frames and framing processes in relation to social movements indicates that framing processes have come to be regarded, alongside resource mobilization and political opportunity processes, as a central dynamic in understanding the character and course of social movements. This review examines the analytic utility of the framing literature for understanding social movement dynamics. We first review how collective action frames have been conceptualized, including their characteristic and variable features. We then examine the literature related to framing dynamics and processes. Next we review the literature regarding various contextual factors that constrain and facilitate framing processes. We conclude with an elaboration of the consequences of framing processes for other movement processes and outcomes. We seek throughout to provide clarification of the linkages between framing concepts/processes and other conceptual and theoretical formulations relevant to social movements, such as schemas and ideology.</t>
  </si>
  <si>
    <t>Univ Nebraska, Dept Sociol, Lincoln, NE 68588 USA; Univ Arizona, Dept Sociol, Tucson, AZ 85721 USA</t>
  </si>
  <si>
    <t>University of Nebraska System; University of Nebraska Lincoln; University of Arizona</t>
  </si>
  <si>
    <t>Benford, RD (corresponding author), Univ Nebraska, Dept Sociol, Lincoln, NE 68588 USA.</t>
  </si>
  <si>
    <t>Ganesan, Hari/0000-0001-6865-2521</t>
  </si>
  <si>
    <t>10.1146/annurev.soc.26.1.611</t>
  </si>
  <si>
    <t>359UW</t>
  </si>
  <si>
    <t>WOS:000089631300027</t>
  </si>
  <si>
    <t>Valentino, NA</t>
  </si>
  <si>
    <t>Crime news and the priming of racial attitudes during evaluations of the president</t>
  </si>
  <si>
    <t>PUBLIC OPINION QUARTERLY</t>
  </si>
  <si>
    <t>Annual Conference of the American-Political-Science-Association</t>
  </si>
  <si>
    <t>SEP 03-06, 1998</t>
  </si>
  <si>
    <t>BOSTON, MASSACHUSETTS</t>
  </si>
  <si>
    <t>Amer Polit Sci Assoc</t>
  </si>
  <si>
    <t>CATEGORY ACCESSIBILITY; SELF-INTEREST; WHITES OPPOSITION; SYMBOLIC POLITICS; TELEVISION-NEWS; PUBLIC-OPINION; GROUP CONFLICT; IDENTIFICATION; INFORMATION; ACTIVATION</t>
  </si>
  <si>
    <t>This study explores the news media's ability to activate racial attitudes via stereotypic portrayals of minorities in common local crime coverage. The central hypothesis is that crime news containing minority suspects primes racial attitudes, which are subsequently brought to bear on evaluations of political candidates. In an experiment, subjects were shown no crime story, a story with nonminority suspects, or a story featuring minority suspects. President Clinton's support suffered when any crime story was present, but his support was lowest among those who saw news with minority suspects. Evaluation of Clinton's performance on crime was primed powerfully by exposure to crime news, and this effect was largest when the suspects in the story were nonwhite. Spreading activation to performance on welfare, another ''race-coded issue, was also evident among those exposed to racially stereotypic crime stories. Finally, among whites, exposure to minority suspects boosted the importance of the president's concern for whites as a predictor of his overall support. These results suggest that implicitly racial issues are connected in memory and can be simultaneously activated by common news coverage. The findings prompt further consideration of the political impact of stereotype-reinforcing news.</t>
  </si>
  <si>
    <t>Univ Michigan, Inst Social Res, Ann Arbor, MI 48109 USA</t>
  </si>
  <si>
    <t>Valentino, NA (corresponding author), Univ Michigan, Inst Social Res, Ann Arbor, MI 48109 USA.</t>
  </si>
  <si>
    <t>0033-362X</t>
  </si>
  <si>
    <t>PUBLIC OPIN QUART</t>
  </si>
  <si>
    <t>Public Opin. Q.</t>
  </si>
  <si>
    <t>10.1086/297722</t>
  </si>
  <si>
    <t>Communication; Political Science; Social Sciences, Interdisciplinary</t>
  </si>
  <si>
    <t>Communication; Government &amp; Law; Social Sciences - Other Topics</t>
  </si>
  <si>
    <t>267KF</t>
  </si>
  <si>
    <t>WOS:000084356600001</t>
  </si>
  <si>
    <t>Gardner, WL; Gabriel, S; Lee, AY</t>
  </si>
  <si>
    <t>I value freedom, but we value relationships: Self-construal priming mirrors cultural differences in judgment</t>
  </si>
  <si>
    <t>DISTINCTION; MOTIVATION</t>
  </si>
  <si>
    <t>The distinction between relatively independent versus interdependent self-construals has been strongly associated with several important cultural differences in social behavior The current studies examined the causal role of self-construal by investigating whether priming independent or interdependent self-construals within a culture could result in differences in psychological worldview that mirror those traditionally found between cultures. In Experiment I, European-American participants primed with interdependence displayed shifts toward more collectivist social values and judgments that were mediated by corresponding shifts in self-construal. In Experiment 2, this effect was extended by priming students from the United States and Hong Kong with primes that were consistent and inconsistent with their predominant cultural worldview. Students who received the inconsistent primes were more strongly affected than those who received the consistent primes, and thus shifted self-construal, and corresponding values, to a greater degree.</t>
  </si>
  <si>
    <t>Northwestern Univ, Dept Psychol, Evanston, IL 60208 USA</t>
  </si>
  <si>
    <t>Gardner, WL (corresponding author), Northwestern Univ, Dept Psychol, 2029 Sheridan Rd, Evanston, IL 60208 USA.</t>
  </si>
  <si>
    <t>BLACKWELL PUBLISHERS</t>
  </si>
  <si>
    <t>MALDEN</t>
  </si>
  <si>
    <t>350 MAIN STREET, STE 6, MALDEN, MA 02148 USA</t>
  </si>
  <si>
    <t>10.1111/1467-9280.00162</t>
  </si>
  <si>
    <t>223PL</t>
  </si>
  <si>
    <t>WOS:000081849400006</t>
  </si>
  <si>
    <t>Schmitt, BH; Zhang, S</t>
  </si>
  <si>
    <t>Language structure and categorization: A study of classifiers in consumer cognition, judgment, and choice</t>
  </si>
  <si>
    <t>MEMORY; ALTERNATIVES; PERSPECTIVE; HYPOTHESIS; CHINESE; ENGLISH; IMPACT</t>
  </si>
  <si>
    <t>Using classifiers-lexical items that depict perceptual and conceptual properties of objects-six cross-cultural experiments were conducted In the People's Republic of China, Hong Kong, Japan, and the United States to investigate how structural features of languages affect mental structures and, in turn, consumer behavior. Experiments 1-4 show how classifiers affect the perceived similarity between objects, attribute accessibility, and concept organization. Experiment: 5 shows how classifier-based schemata result in inferences about product features. Experiment 6 provides evidence for the effect of classifiers, on judgment and choice via assimilation and contrast processes and affect transfer. We discuss our findings in light of the Whorfian hypothesis and argue for the incorporation of structural components of languages into models of consumer behavior.</t>
  </si>
  <si>
    <t>Columbia Univ, Ctr Global Brand Management, New York, NY 10027 USA; Columbia Business Sch, New York, NY USA; Univ Calif Los Angeles, Anderson Sch Management, Los Angeles, CA 90095 USA; Ctr Global Business Sch, Shanghai, Peoples R China</t>
  </si>
  <si>
    <t>Columbia University; Columbia University; University of California System; University of California Los Angeles</t>
  </si>
  <si>
    <t>Schmitt, BH (corresponding author), Columbia Univ, Ctr Global Brand Management, 510 Uris Hall, New York, NY 10027 USA.</t>
  </si>
  <si>
    <t>10.1086/209530</t>
  </si>
  <si>
    <t>157VC</t>
  </si>
  <si>
    <t>WOS:000078081500002</t>
  </si>
  <si>
    <t>Gibson, E</t>
  </si>
  <si>
    <t>Linguistic complexity: locality of syntactic dependencies</t>
  </si>
  <si>
    <t>COGNITION</t>
  </si>
  <si>
    <t>linguistic complexity; syntactic dependency; sentence processing; computational resources</t>
  </si>
  <si>
    <t>LATE-CLOSURE STRATEGY; RELATIVE CLAUSES; SENTENCE COMPREHENSION; EYE-MOVEMENTS; INDIVIDUAL-DIFFERENCES; AMBIGUITY RESOLUTION; EMPTY CATEGORIES; CAPACITY THEORY; WORKING MEMORY; AGRAMMATIC COMPREHENSION</t>
  </si>
  <si>
    <t>This paper proposes a new theory of the relationship between the sentence processing mechanism and the available computational resources. This theory - the Syntactic Prediction Locality Theory (SPLT) - has two components: an integration cost component and a component for the memory cost associated with keeping track of obligatory syntactic requirements. Memory cost is hypothesized to be quantified in terms of the number of syntactic categories that are necessary to complete the current input string as a grammatical sentence. Furthermore, in accordance with results from the working memory literature both memory cost and integration cost are hypothesized to be heavily influenced by locality (1) the longer a predicted category must be kept in memory before the prediction is satisfied, the greater is the cost for maintaining that prediction; and (2) the greater the distance between an incoming word and the most local head or dependent to which it attaches, the greater the integration cost. The SPLT is shown to explain a wide range of processing complexity phenomena not previously accounted for under a single theory, including (1) the lower complexity of subject-extracted relative clauses compared to object-extracted relative clauses, (2) numerous processing overload effects across languages, including the unacceptability of multiply center-embedded structures, (3) the lower complexity of cross-serial dependencies relative to center-embedded dependencies, (4) heaviness effects, such that sentences are easier to understand when larger phrases are placed later and (5) numerous ambiguity effects, such as those which have been argued to be evidence for the Active Filler Hypothesis. (C) 1998 Elsevier Science B.V. All rights reserved.</t>
  </si>
  <si>
    <t>MIT, Dept Brain &amp; Cognit Sci, Cambridge, MA 02139 USA</t>
  </si>
  <si>
    <t>Gibson, E (corresponding author), MIT, Dept Brain &amp; Cognit Sci, E25-618, Cambridge, MA 02139 USA.</t>
  </si>
  <si>
    <t>0010-0277</t>
  </si>
  <si>
    <t>Cognition</t>
  </si>
  <si>
    <t>10.1016/S0010-0277(98)00034-1</t>
  </si>
  <si>
    <t>115VF</t>
  </si>
  <si>
    <t>WOS:000075686100001</t>
  </si>
  <si>
    <t>Mohr, JW</t>
  </si>
  <si>
    <t>Measuring meaning structures</t>
  </si>
  <si>
    <t>culture; meaning; network; structuralism; institutions</t>
  </si>
  <si>
    <t>NEW-YORK-CITY; SOCIAL-STRUCTURE; TEXTUAL ANALYSIS; GREAT-BRITAIN; SOCIOLOGY; NETWORK; CULTURE; PERSONALITY; SPECIALTIES; POSSESSIONS</t>
  </si>
  <si>
    <t>The recent cultural turn in American sociology has inspired a number of more scientifically oriented scholars to study the meanings that are embedded within institutions, practices, and cultural artifacts. I focus here on research that (a) emphasizes institutional (rather than individual) meanings, (b) uses a structural approach to interpretation, and (c) employs formal algorithms or quantitative procedures for reducing the complexity of meanings to simpler structural principles. I discuss two core methodological issues-the assessment of similarities and differences between items in a cultural system and the process by which structure-preserving simplifications are found in the data. I also highlight the importance of two-mode analytic procedures and I review some of the perceived benefits and criticisms of this style of research.</t>
  </si>
  <si>
    <t>Univ Calif Santa Barbara, Dept Sociol, Santa Barbara, CA 93106 USA</t>
  </si>
  <si>
    <t>University of California System; University of California Santa Barbara</t>
  </si>
  <si>
    <t>Mohr, JW (corresponding author), Univ Calif Santa Barbara, Dept Sociol, Santa Barbara, CA 93106 USA.</t>
  </si>
  <si>
    <t>mohr@sscf.ucsb.edu</t>
  </si>
  <si>
    <t>1545-2115</t>
  </si>
  <si>
    <t>10.1146/annurev.soc.24.1.345</t>
  </si>
  <si>
    <t>114TT</t>
  </si>
  <si>
    <t>WOS:000075625800014</t>
  </si>
  <si>
    <t>Wade, JB; Porac, JF; Pollock, TG</t>
  </si>
  <si>
    <t>Worth, words, and the justification of executive pay</t>
  </si>
  <si>
    <t>JOURNAL OF ORGANIZATIONAL BEHAVIOR</t>
  </si>
  <si>
    <t>COMPENSATION; PERFORMANCE; MANAGEMENT; ATTRIBUTIONS; PERSPECTIVE; LEGITIMACY; FIRM</t>
  </si>
  <si>
    <t>This study examines how the compensation committees of a sample of U.S. corporations from the S &amp; P 500 justify their compensation practices to shareholders. Drawing from research on organizational legitimacy as a theoretical base, we examine the effects of ownership structure, CEO pay, and organizational performance on the frequencies of three types of compensation justifications: external validations, shareholder alignment statements, and discussions of company performance. We find that when companies have more concentrated and active outside owners, they are much more likely to justify their compensation practices by citing the role of compensation consultants as advisors in the compensation-setting process. They are also more likely to discuss the alignment of managerial and shareholder interests, and to downplay a company's accounting returns. Companies that pay their CEOs large base salaries are also more likely to cite the role of consultants, and, for those with dispersed ownership, to discuss shareholder alignment. High accounting returns lead companies to emphasize accounting performance in their compensation justifications, and to downplay market returns. High stock price volatility leads companies to de-emphasize market returns. We discuss the implications of these findings for research and theory on the symbolic aspects of company-shareholder relationships. (C) 1997 John Wiley &amp; Sons, Ltd.</t>
  </si>
  <si>
    <t>UNIV ILLINOIS, DEPT BUSINESS ADM, CHAMPAIGN, IL 61820 USA</t>
  </si>
  <si>
    <t>Wade, James/C-1921-2008</t>
  </si>
  <si>
    <t>0894-3796</t>
  </si>
  <si>
    <t>1099-1379</t>
  </si>
  <si>
    <t>J ORGAN BEHAV</t>
  </si>
  <si>
    <t>J. Organ. Behav.</t>
  </si>
  <si>
    <t>10.1002/(SICI)1099-1379(199711)18:1+&lt;641::AID-JOB910&gt;3.0.CO;2-M</t>
  </si>
  <si>
    <t>Business; Psychology, Applied; Management</t>
  </si>
  <si>
    <t>YK636</t>
  </si>
  <si>
    <t>WOS:A1997YK63600007</t>
  </si>
  <si>
    <t>Xu, Z; Bengston, DN</t>
  </si>
  <si>
    <t>Trends in national forest values among forestry professionals, environmentalists, and the news media, 1982-1993</t>
  </si>
  <si>
    <t>SOCIETY &amp; NATURAL RESOURCES</t>
  </si>
  <si>
    <t>content analysis; ecosystem management; forest values; generalized logit model; national forests</t>
  </si>
  <si>
    <t>MANAGEMENT; ETHICS</t>
  </si>
  <si>
    <t>This study empirically analyzes the evolution of national forest values in recent years. Four broad categories of forest values are distinguished: economic/utilitarian, life support, aesthetic, and moral/spiritual. A computerized content analysis procedure was developed to identify expressions of these four forest values related to the national forests. With this procedure, changes in the forest value systems of three groups-forestry professionals, mainstream environmentalists, and the general public-were tracked over time. Forest value systems were found to have shifted over the study period, and significant differences were found between the forest value systems of the three groups. Implications of this study for ecosystem management are discussed.</t>
  </si>
  <si>
    <t>WASHINGTON STATE DEPT NAT RESOURCES, OFF POLICY ANAL &amp; RES, OLYMPIA, WA USA; US FOREST SERV, USDA, N CENT FOREST EXPT STN, ST PAUL, MN 55108 USA</t>
  </si>
  <si>
    <t>United States Department of Agriculture (USDA); United States Forest Service</t>
  </si>
  <si>
    <t>TAYLOR &amp; FRANCIS INC</t>
  </si>
  <si>
    <t>325 CHESTNUT ST, SUITE 800, PHILADELPHIA, PA 19106 USA</t>
  </si>
  <si>
    <t>0894-1920</t>
  </si>
  <si>
    <t>SOC NATUR RESOUR</t>
  </si>
  <si>
    <t>Soc. Nat. Resour.</t>
  </si>
  <si>
    <t>10.1080/08941929709381008</t>
  </si>
  <si>
    <t>Development Studies; Environmental Studies; Regional &amp; Urban Planning; Sociology</t>
  </si>
  <si>
    <t>Development Studies; Environmental Sciences &amp; Ecology; Public Administration; Sociology</t>
  </si>
  <si>
    <t>WM308</t>
  </si>
  <si>
    <t>WOS:A1997WM30800003</t>
  </si>
  <si>
    <t>Chartrand, TL; Bargh, JA</t>
  </si>
  <si>
    <t>Automatic activation of impression formation and memorization goals: Nonconscious goal priming reproduces effects of explicit task instructions</t>
  </si>
  <si>
    <t>PERSON MEMORY; COGNITIVE REPRESENTATION; INDIVIDUATING PROCESSES; RETRIEVAL-PROCESSES; OUTCOME DEPENDENCY; TRAIT INFORMATION; SEXUAL HARASSMENT; PERCEPTION; RECALL; ACCESSIBILITY</t>
  </si>
  <si>
    <t>According to the auto-motive model (J. A. Bargh, 1990), intentions and goals are represented mentally and, as representations, should be capable of nonconscious activation by the environmental context (i.e., ''priming''). To test this hypothesis, the authors replicated 2 well-known experiments that had demonstrated differential effects of varying the information-processing goal (impression formation or memorization) on processing the identical behavioral information. However, instead of giving participants the goals via explicit instructions, as had been done in the original studies, the authors primed the impression formation or memorization goal. In both cases, the original pattern of results was reproduced. The findings thus support the hypothesis that the effect of activated goals is the same whether the activation is nonconscious or through an act of will.</t>
  </si>
  <si>
    <t>Chartrand, TL (corresponding author), NYU, DEPT PSYCHOL, 6 WASHINGTON PL, 7TH FLOOR, NEW YORK, NY 10003 USA.</t>
  </si>
  <si>
    <t>10.1037/0022-3514.71.3.464</t>
  </si>
  <si>
    <t>VG905</t>
  </si>
  <si>
    <t>WOS:A1996VG90500004</t>
  </si>
  <si>
    <t>McQuarrie, EF; Mick, DG</t>
  </si>
  <si>
    <t>Figures of rhetoric in advertising language</t>
  </si>
  <si>
    <t>FIGURATIVE LANGUAGE; INFORMATION</t>
  </si>
  <si>
    <t>A rhetorical figure can be defined as an artful deviation in the form taken by a statement. Since antiquity dozens of figures have been cataloged, ranging from the familiar (rhyme, pun) to the obscure (antimetabole). Despite the frequent appearance of rhetorical figures in print advertisements, their incorporation into advertising theory and research has been minimal. This article develops a framework for classifying rhetorical figures that distinguishes between figurative and nonfigurative text, between two types of figures (schemes and tropes), and among four rhetorical operations that underlie individual figures (repetition, reversal, substitution, and destabilization). These differentiations in the framework are supported by preliminary validation data and are linked to suggested consumer responses. The article also considers the theoretical import of the proposed framework for future research on rhetorical structure in advertising.</t>
  </si>
  <si>
    <t>UNIV WISCONSIN, MADISON, WI 53706 USA</t>
  </si>
  <si>
    <t>McQuarrie, EF (corresponding author), SANTA CLARA UNIV, LEAVEY SCH BUSINESS, SANTA CLARA, CA 95053 USA.</t>
  </si>
  <si>
    <t>10.1086/209459</t>
  </si>
  <si>
    <t>UJ396</t>
  </si>
  <si>
    <t>WOS:A1996UJ39600005</t>
  </si>
  <si>
    <t>Kleine, SS; Kleine, RE; Allen, CT</t>
  </si>
  <si>
    <t>How is a possession ''me'' or ''not me''? Characterizing types and an antecedent of material possession attachment</t>
  </si>
  <si>
    <t>FAVORITE THINGS; EXTENDED SELF; PERSPECTIVE; BEHAVIOR; INQUIRY</t>
  </si>
  <si>
    <t>Material possession attachment, a property of the relationship between a specific person and a specific object of possession, reflects the extent of ''me-ness'' associated with that possession. The two Q-methodological studies reported here investigated the nature of this me-ness (and ''not me-ness''). Study 1 explores different types of attachment and how these types portray various facets of a person's life story (i.e., identity). It shows how strong Versus weak attachment, affiliation and/or autonomy seeking, and past, present, or future temporal orientation combine to form qualitatively distinct types of psychological significance. Study 2 begins development of a nomological network encompassing attachment by showing how mode of gift receipt (self-gift vs. interpersonal gift), as an antecedent, influences attachment type. Study 2 also examines aspects of successful and unsuccessful gifts. Both studies demonstrate that unidimensional affect fails to adequately describe or explain attachment. Together, the two studies suggest a more parsimonious way to represent person-possession relationships than has been offered in previous studies. Moreover, the findings help delineate the boundaries of attachment (e.g., What does it mean to say a possession is ''not me''?).</t>
  </si>
  <si>
    <t>UNIV CINCINNATI, CINCINNATI, OH 45221 USA</t>
  </si>
  <si>
    <t>University System of Ohio; University of Cincinnati</t>
  </si>
  <si>
    <t>Kleine, SS (corresponding author), ARIZONA STATE UNIV, COLL BUSINESS, TEMPE, AZ 85287 USA.</t>
  </si>
  <si>
    <t>10.1086/209454</t>
  </si>
  <si>
    <t>TP698</t>
  </si>
  <si>
    <t>WOS:A1995TP69800007</t>
  </si>
  <si>
    <t>MILLER, GA</t>
  </si>
  <si>
    <t>WORDNET - A LEXICAL DATABASE FOR ENGLISH</t>
  </si>
  <si>
    <t>MILLER, GA (corresponding author), PRINCETON UNIV,COGNIT SCI LAB,PRINCETON,NJ 08544, USA.</t>
  </si>
  <si>
    <t>1515 BROADWAY, NEW YORK, NY 10036</t>
  </si>
  <si>
    <t>10.1145/219717.219748</t>
  </si>
  <si>
    <t>TC175</t>
  </si>
  <si>
    <t>WOS:A1995TC17500014</t>
  </si>
  <si>
    <t>THOMPSON, CJ; HIRSCHMAN, EC</t>
  </si>
  <si>
    <t>UNDERSTANDING THE SOCIALIZED BODY - A POSTSTRUCTURALIST ANALYSIS OF CONSUMERS SELF-CONCEPTIONS, BODY IMAGES, AND SELF-CARE PRACTICES</t>
  </si>
  <si>
    <t>CONSUMPTION; BEHAVIOR; POSSESSIONS; IDEOLOGY; WOMEN</t>
  </si>
  <si>
    <t>The present inquiry examines the psychosocial meanings and processes that shape consumers' sense of body image and the consumption behaviors motivated by those perceptions. Poststructuralist interpretive procedures were used to analyze interviews with 30 male and female consumers, aged 6-54. This discourse analysis led to the development of three process-orientated themes: (1) the ideology of self-control, (2) the social processes of normalization and problematization, and (3) the operation of the disciplinary gaze. The systematic manifestations of these themes are illustrated across a range of consumer experiences and body-focused perceptions. Implications of these themes for the theoretical conceptualizations of body image and the nature of self-concept in contemporary consumer culture are discussed.</t>
  </si>
  <si>
    <t>RUTGERS STATE UNIV, SCH BUSINESS, NEW BRUNSWICK, NJ 08903 USA</t>
  </si>
  <si>
    <t>Rutgers State University New Brunswick</t>
  </si>
  <si>
    <t>THOMPSON, CJ (corresponding author), UNIV WISCONSIN, SCH BUSINESS, GRAINGER HALL, MADISON, WI 53706 USA.</t>
  </si>
  <si>
    <t>10.1086/209441</t>
  </si>
  <si>
    <t>RV564</t>
  </si>
  <si>
    <t>WOS:A1995RV56400002</t>
  </si>
  <si>
    <t>SCHOUTEN, JW; MCALEXANDER, JH</t>
  </si>
  <si>
    <t>SUBCULTURES OF CONSUMPTION - AN ETHNOGRAPHY OF THE NEW BIKERS</t>
  </si>
  <si>
    <t>OUTLAW MOTORCYCLE GANGS; CULTURE</t>
  </si>
  <si>
    <t>This article introduces the subculture of consumption as an analytic category through which to better understand consumers and the manner in which they organize their lives and identities. Recognizing that consumption activities, product categories, or even brands may serve as the basis for interaction and social cohesion, the concept of the subculture of consumption solves many problems inherent in the use of ascribed social categories as devices for understanding consumer behavior. This article is based on three years of ethnographic fieldwork with Harley-Davidson motorcycle owners. A key feature of the fieldwork was a process of progressive contextualization of the researchers from outsiders to insiders situated within the subculture. Analysis of the social structure, dominant values, and revealing symbolic behaviors of this distinct, consumption-oriented subculture have led to the advancement of a theoretical framework that situates subcultures of consumption in the context of modern consumer culture and discusses, among other implications, a symbiosis between such subcultures and marketing institutions. Transferability of the principal findings of this research to other subcultures of consumption is established through comparisons with ethnographies of other self-selecting, consumption-oriented subcultures.</t>
  </si>
  <si>
    <t>OREGON STATE UNIV,COLL BUSINESS ADM,CORVALLIS,OR 97331</t>
  </si>
  <si>
    <t>Oregon State University</t>
  </si>
  <si>
    <t>SCHOUTEN, JW (corresponding author), UNIV PORTLAND,SCH BUSINESS ADM,PORTLAND,OR 97203, USA.</t>
  </si>
  <si>
    <t>Schouten, John W./G-2418-2013</t>
  </si>
  <si>
    <t>Schouten, John W./0000-0002-5713-5964</t>
  </si>
  <si>
    <t>5720 S WOODLAWN AVE, CHICAGO, IL 60637</t>
  </si>
  <si>
    <t>10.1086/209434</t>
  </si>
  <si>
    <t>RB246</t>
  </si>
  <si>
    <t>WOS:A1995RB24600004</t>
  </si>
  <si>
    <t>BENJAMINI, Y; HOCHBERG, Y</t>
  </si>
  <si>
    <t>CONTROLLING THE FALSE DISCOVERY RATE - A PRACTICAL AND POWERFUL APPROACH TO MULTIPLE TESTING</t>
  </si>
  <si>
    <t>JOURNAL OF THE ROYAL STATISTICAL SOCIETY SERIES B-STATISTICAL METHODOLOGY</t>
  </si>
  <si>
    <t>BONFERRONI-TYPE PROCEDURES; FAMILYWISE ERROR RATE; MULTIPLE-COMPARISON PROCEDURES; P-VALUES</t>
  </si>
  <si>
    <t>BONFERRONI PROCEDURE</t>
  </si>
  <si>
    <t>The common approach to the multiplicity problem calls for controlling the familywise error rate (FWER). This approach, though, has faults, and we point out a few. A different approach to problems of multiple significance testing is presented. It calls for controlling the expected proportion of falsely rejected hypotheses - the false discovery rate. This error rate is equivalent to the FWER when all hypotheses are true but is smaller otherwise. Therefore, in problems where the control of the false discovery rate rather than that of the FWER is desired, there is potential for a gain in power. A simple sequential Bonferroni-type procedure is proved to control the false discovery rate for independent test statistics, and a simulation study shows that the gain in power is substantial. The use of the new procedure and the appropriateness of the criterion are illustrated with examples.</t>
  </si>
  <si>
    <t>BENJAMINI, Y (corresponding author), TEL AVIV UNIV, SACKLER FAC EXACT SCI, SCH MATH SCI, DEPT STAT, IL-69978 TEL AVIV, ISRAEL.</t>
  </si>
  <si>
    <t>Benjamini, Yoav/C-4219-2008</t>
  </si>
  <si>
    <t>1369-7412</t>
  </si>
  <si>
    <t>1467-9868</t>
  </si>
  <si>
    <t>J R STAT SOC B</t>
  </si>
  <si>
    <t>J. R. Stat. Soc. Ser. B-Stat. Methodol.</t>
  </si>
  <si>
    <t>10.1111/j.2517-6161.1995.tb02031.x</t>
  </si>
  <si>
    <t>QE453</t>
  </si>
  <si>
    <t>WOS:A1995QE45300017</t>
  </si>
  <si>
    <t>MORRIS, R</t>
  </si>
  <si>
    <t>COMPUTERIZED CONTENT-ANALYSIS IN MANAGEMENT RESEARCH - A DEMONSTRATION OF ADVANTAGES AND LIMITATIONS</t>
  </si>
  <si>
    <t>JOURNAL OF MANAGEMENT</t>
  </si>
  <si>
    <t>Content analysis is a research technique used to objectively and systematically make inferences about the intentions, attitudes, and values of individuals by identifying specified characteristics in textual messages. The unobtrusive nature of content analysis makes it well suited for strategic management research. To date, the content analyses in most management studies have been performed by human coders, despite advances in computer technology that enable researchers to perform the same analyses more reliably and less expensively. In this paper, the investigator compares human-coded content analysis to computerized coding of the same text communications. The results suggest the two methods may be equally effective. Differences in results obtained using different units of analysis (such as analysis by sentence, by paragraph or by whole document) are also examined. Better reliability, improved stability, and comparability of results suggest more extensive use of computerized content analysis in future research.</t>
  </si>
  <si>
    <t>MORRIS, R (corresponding author), UNIV NEBRASKA,COLL BUSINESS ADM,DEPT MANAGEMENT,OMAHA,NE 68182, USA.</t>
  </si>
  <si>
    <t>Morris, Rebecca/0000-0002-8380-3700</t>
  </si>
  <si>
    <t>JAI PRESS INC</t>
  </si>
  <si>
    <t>GREENWICH</t>
  </si>
  <si>
    <t>55 OLD POST RD-#2, PO BOX 1678, GREENWICH, CT 06836-1678</t>
  </si>
  <si>
    <t>0149-2063</t>
  </si>
  <si>
    <t>J MANAGE</t>
  </si>
  <si>
    <t>J. Manage.</t>
  </si>
  <si>
    <t>WIN</t>
  </si>
  <si>
    <t>10.1016/0149-2063(94)90035-3</t>
  </si>
  <si>
    <t>PX175</t>
  </si>
  <si>
    <t>WOS:A1994PX17500010</t>
  </si>
  <si>
    <t>SERA, MD; BERGE, CAH; PINTADO, JD</t>
  </si>
  <si>
    <t>GRAMMATICAL AND CONCEPTUAL FORCES IN THE ATTRIBUTION OF GENDER BY ENGLISH AND SPANISH SPEAKERS</t>
  </si>
  <si>
    <t>COGNITIVE DEVELOPMENT</t>
  </si>
  <si>
    <t>CHILDREN; ACQUISITION; SCHEMA; EVENTS</t>
  </si>
  <si>
    <t>We compared the assignment of gender to masculine and feminine pictured objects-as classified by the Spanish grammar-by English- and Spanish-speaking children and adults in three experiments. Across all three studies, subjects participated in one of two conditions. In one condition, pictures alone were presented; in the other condition, pictures were shown and labeled. We found that speakers of Spanish began to classify the objects according to the grammatical gender of the Spanish language in the second grade, unlike speakers of English. The effect of grammatical gender was more pronounced for speakers of Spanish when the objects were labeled, pointing specifically to the role of language in their classifications. We also found that English speakers were consistent in their judgments, often classifying artificial objects as male-like and natural objects as female-like. Spanish speakers were also sensitive to the natural-female/artificial-male conceptual division. Finally, we found that the artificial-male/natural-female link was an earlier force in classification for speakers of English than grammatical gender was for speakers of Spanish, suggesting that grammatical classifications are superimposed on conceptual ones in development.</t>
  </si>
  <si>
    <t>COMCQPLUTENSE UNIV MADRID,MADRID,SPAIN</t>
  </si>
  <si>
    <t>SERA, MD (corresponding author), UNIV MINNESOTA,INST CHILD DEV,51 E RIVER RD,MINNEAPOLIS,MN 55455, USA.</t>
  </si>
  <si>
    <t>ABLEX PUBL CORP</t>
  </si>
  <si>
    <t>NORWOOD</t>
  </si>
  <si>
    <t>355 CHESTNUT ST, NORWOOD, NJ 07648</t>
  </si>
  <si>
    <t>0885-2014</t>
  </si>
  <si>
    <t>COGNITIVE DEV</t>
  </si>
  <si>
    <t>Cogn. Dev.</t>
  </si>
  <si>
    <t>JUL-SEP</t>
  </si>
  <si>
    <t>10.1016/0885-2014(94)90007-8</t>
  </si>
  <si>
    <t>Psychology, Developmental; Psychology, Experimental</t>
  </si>
  <si>
    <t>PM296</t>
  </si>
  <si>
    <t>WOS:A1994PM29600001</t>
  </si>
  <si>
    <t>ARNOLD, SJ; FISCHER, E</t>
  </si>
  <si>
    <t>HERMENEUTICS AND CONSUMER RESEARCH</t>
  </si>
  <si>
    <t>MARKETING-RESEARCH; BEHAVIOR; CONSUMPTION; INQUIRY; IDEOLOGY</t>
  </si>
  <si>
    <t>This article reviews the nature of hermeneutic philosophy and the assumptions and features of a textual interpretation consistent with this perspective. The relationship of hermeneutic philosophy to the interpretive and critical theory traditions in consumer research is also discussed.</t>
  </si>
  <si>
    <t>YORK UNIV, FAC ADM STUDIES, N YORK M3J 1P3, ON, CANADA</t>
  </si>
  <si>
    <t>York University - Canada</t>
  </si>
  <si>
    <t>ARNOLD, SJ (corresponding author), QUEENS UNIV, SCH BUSINESS, KINGSTON K7L 3N6, ONTARIO, CANADA.</t>
  </si>
  <si>
    <t>10.1086/209382</t>
  </si>
  <si>
    <t>NT493</t>
  </si>
  <si>
    <t>WOS:A1994NT49300004</t>
  </si>
  <si>
    <t>SHERRY, JF; MCGRATH, MA; LEVY, SJ</t>
  </si>
  <si>
    <t>THE DARK SIDE OF THE GIFT</t>
  </si>
  <si>
    <t>JOURNAL OF BUSINESS RESEARCH</t>
  </si>
  <si>
    <t>CONSUMER-BEHAVIOR; PERSPECTIVE</t>
  </si>
  <si>
    <t>Probing of the semiotic significance of gift exchange behaviors has recently been resumed. The symbolic exchange value of the gift is especially amenable to investigation via ethnographic methods and projective techniques. In this paper, negativity and ambivalence in gift exchange, a theme derived from a comparative ethnographic study of two midwestern American gift stores, are refined and elaborated through projective analysis. What emerges is a more balanced and comprehensive account of gift giving than presently available in the literature of consumer-object relations. Gift giving and receiving engender high levels of anxiety among consumers. Gifts create and exacerbate interpersonal conflict. They are frequently used as weapons, and consumers' responses to them are carefully canalized. The ways in which negativity is managed by donors and recipients are examined. Consumers, victims of sentiment and symbolism, are found to be entrapped in rituals and enjoined by cultural ideology from expressing discontent in most ways except fantasy. The impact of such fantasy on gift giving, and its relevance for marketers, is explored in this article.</t>
  </si>
  <si>
    <t>LOYOLA UNIV,DEPT MKT,WATER TOWER CAMPUS,820 N MICHIGAN AVE,CHICAGO,IL 60611; NORTHWESTERN UNIV,CHICAGO,IL 60611</t>
  </si>
  <si>
    <t>Loyola University Chicago; Northwestern University</t>
  </si>
  <si>
    <t>655 AVENUE OF THE AMERICAS, NEW YORK, NY 10010</t>
  </si>
  <si>
    <t>0148-2963</t>
  </si>
  <si>
    <t>J BUS RES</t>
  </si>
  <si>
    <t>J. Bus. Res.</t>
  </si>
  <si>
    <t>10.1016/0148-2963(93)90049-U</t>
  </si>
  <si>
    <t>MB540</t>
  </si>
  <si>
    <t>WOS:A1993MB54000004</t>
  </si>
  <si>
    <t>NUNBERG, G</t>
  </si>
  <si>
    <t>INDEXICALITY AND DEIXIS</t>
  </si>
  <si>
    <t>LINGUISTICS AND PHILOSOPHY</t>
  </si>
  <si>
    <t>NUNBERG, G (corresponding author), XEROX CORP,PALO ALTO,CA 94304, USA.</t>
  </si>
  <si>
    <t>0165-0157</t>
  </si>
  <si>
    <t>LINGUIST PHILOS</t>
  </si>
  <si>
    <t>Linguist. Philos.</t>
  </si>
  <si>
    <t>10.1007/BF00984721</t>
  </si>
  <si>
    <t>Linguistics; Language &amp; Linguistics</t>
  </si>
  <si>
    <t>KM569</t>
  </si>
  <si>
    <t>WOS:A1993KM56900001</t>
  </si>
  <si>
    <t>GRUENFELD, DH; WYER, RS</t>
  </si>
  <si>
    <t>SEMANTICS AND PRAGMATICS OF SOCIAL-INFLUENCE - HOW AFFIRMATIONS AND DENIALS AFFECT BELIEFS IN REFERENT PROPOSITIONS</t>
  </si>
  <si>
    <t>PERSON MEMORY; INFORMATION</t>
  </si>
  <si>
    <t>Ss read either affirmations or denials of target propositions that ostensibly came from either newspapers or reference volumes. Denials of the validity of a proposition that was already assumed to be false increased Ss' beliefs in this proposition. The effect generalized to beliefs in related propositions that could be used to support the target's validity When denials came from a newspaper, their boomerang effect was nearly equal in magnitude to the direct effect of affirming the target proposition's validity When Ss were asked explicitly to consider the implications of the assertions, however, the impact of denials was eliminated. Affirmations of a target proposition that was already assumed to be true also had a boomerang effect. Results have implications for the effects of both semantic and pragmatic processing of assertions on belief change.</t>
  </si>
  <si>
    <t>UNIV ILLINOIS,DEPT PSYCHOL,603 E DANIEL ST,CHAMPAIGN,IL 61820</t>
  </si>
  <si>
    <t>NATIONAL INSTITUTE OF MENTAL HEALTH [R01MH038585] Funding Source: NIH RePORTER; NIMH NIH HHS [R01 MH3-8585] Funding Source: Medline</t>
  </si>
  <si>
    <t>750 FIRST ST NE, WASHINGTON, DC 20002-4242</t>
  </si>
  <si>
    <t>10.1037/0022-3514.62.1.38</t>
  </si>
  <si>
    <t>GZ896</t>
  </si>
  <si>
    <t>WOS:A1992GZ89600004</t>
  </si>
  <si>
    <t>HUGHES, MA; GARRETT, DE</t>
  </si>
  <si>
    <t>INTERCODER RELIABILITY ESTIMATION APPROACHES IN MARKETING - A GENERALIZABILITY THEORY FRAMEWORK FOR QUANTITATIVE DATA</t>
  </si>
  <si>
    <t>HUGHES, MA (corresponding author), UNIV OKLAHOMA, COLL BUSINESS ADM, DIV MKT, NORMAN, OK 73019 USA.</t>
  </si>
  <si>
    <t>10.2307/3172845</t>
  </si>
  <si>
    <t>CZ971</t>
  </si>
  <si>
    <t>WOS:A1990CZ97100006</t>
  </si>
  <si>
    <t>Humphreys</t>
  </si>
  <si>
    <t>Rosario, AB; Sotgiu, F; De Valck, K; Bijmolt, THA</t>
  </si>
  <si>
    <t>Rosario, Ana Babic; Sotgiu, Francesca; De Valck, Kristine; Bijmolt, Tammo H. A.</t>
  </si>
  <si>
    <t>The Effect of Electronic Word of Mouth on Sales: A Meta-Analytic Review of Platform, Product, and Metric Factors</t>
  </si>
  <si>
    <t>electronic word of mouth; online platforms; social media; eWOM metrics; meta-analysis</t>
  </si>
  <si>
    <t>DYNAMICS; RATINGS; COMMUNICATION; COEFFICIENTS; CREDIBILITY; INFORMATION; PERFORMANCE; STRATEGY; VARIETY; CHATTER</t>
  </si>
  <si>
    <t>The increasing amount of electronic word of mouth (eWOM) has significantly affected the way consumers make purchase decisions. Empirical studies have established an effect of eWOM on sales but disagree on which online platforms, products, and eWOM metrics moderate this effect. The authors conduct a meta-analysis of 1,532 effect sizes across 96 studies covering 40 platforms and 26 product categories. On average, eWOM is positively correlated with sales (. 091), but its effectiveness differs across platform, product, and metric factors. For example, the effectiveness of eWOM on social media platforms is stronger when eWOM receivers can assess their own similarity to eWOM senders, whereas these homophily details do not influence the effectiveness of eWOM for e-commerce platforms. In addition, whereas eWOM has a stronger effect on sales for tangible goods new to the market, the product life cycle does not moderate the eWOM effectiveness for services. With respect to the eWOM metrics, eWOM volume has a stronger impact on sales than eWOM valence. In addition, negative eWOM does not always jeopardize sales, but high variability does.</t>
  </si>
  <si>
    <t>[Rosario, Ana Babic; De Valck, Kristine] HEC Paris, Mkt, Paris, France; [Sotgiu, Francesca] Vrije Univ Amsterdam, Mkt, Amsterdam, Netherlands; [Bijmolt, Tammo H. A.] Univ Groningen, Mkt Res, Fac Econ &amp; Business, Groningen, Netherlands</t>
  </si>
  <si>
    <t>Hautes Etudes Commerciales (HEC) Paris; Vrije Universiteit Amsterdam; University of Groningen</t>
  </si>
  <si>
    <t>Rosario, AB (corresponding author), HEC Paris, Mkt, Paris, France.</t>
  </si>
  <si>
    <t>ana.babic-rosario@hec.edu; f.sotgiu@vu.nl; devalck@hec.fr; t.h.a.bijmolt@rug.nl</t>
  </si>
  <si>
    <t>Sotgiu, Francesca/AAD-8909-2021</t>
  </si>
  <si>
    <t>Sotgiu, Francesca/0000-0003-1830-7484</t>
  </si>
  <si>
    <t>HEC Foundation [F1307]; Labex ECODEC (Investissements d'Avenir) [ANR-11-IDEX-0003/LabexEcodec/ANR-11-LABX-0047]</t>
  </si>
  <si>
    <t>HEC Foundation; Labex ECODEC (Investissements d'Avenir)(French National Research Agency (ANR))</t>
  </si>
  <si>
    <t>The authors gratefully acknowledge the support of the HEC Foundation (F1307) and Labex ECODEC (Investissements d'Avenir ANR-11-IDEX-0003/LabexEcodec/ANR-11-LABX-0047) and thank Katrijn Gielens and the participants of the 2014 HEC-INSEAD-ESSEC research seminar for their constructive feedback.</t>
  </si>
  <si>
    <t>10.1509/jmr.14.0380</t>
  </si>
  <si>
    <t>DO7SM</t>
  </si>
  <si>
    <t>WOS:000377983300001</t>
  </si>
  <si>
    <t>Makarem, SC; Jae, H</t>
  </si>
  <si>
    <t>Makarem, Suzanne C.; Jae, Haeran</t>
  </si>
  <si>
    <t>Consumer Boycott Behavior: An Exploratory Analysis of Twitter Feeds</t>
  </si>
  <si>
    <t>JOURNAL OF CONSUMER AFFAIRS</t>
  </si>
  <si>
    <t>5th International-Centre-of-Anti-Consumption-Research (ICAR) Symposium</t>
  </si>
  <si>
    <t>JUL 04-05, 2014</t>
  </si>
  <si>
    <t>Univ Kiel, Kiel, GERMANY</t>
  </si>
  <si>
    <t>Int Ctr Anti-Consumpt Res</t>
  </si>
  <si>
    <t>Univ Kiel</t>
  </si>
  <si>
    <t>MOTIVATIONS; CONSUMPTION; PURCHASE; IMPACT</t>
  </si>
  <si>
    <t>Boycott movements are often one of the most effective anticonsumption tactics used against companies that engage in practices deemed unethical or unjustified. This research explores the motives, causes, and targets of consumer boycott behavior using content analysis of Twitter feeds. Additionally, human sentiment analysis is used to investigate the relationship between boycott motives and the emotional intensity of boycott messages. The findings from analyzing a sample of 1,422 tweets show that while human rights issues constitute the leading cause of boycotts, business strategy decisions and corporate failures are also frequent causes, with for-profit providers of products and services being the most common boycott targets. The results also indicate that although consumer boycott messages are more commonly motivated by instrumental motives, noninstrumental motives have higher emotional intensity. This study provides a deeper understanding of consumer boycott behavior, and offers implications for consumers and businesses.</t>
  </si>
  <si>
    <t>[Makarem, Suzanne C.; Jae, Haeran] Virginia Commonwealth Univ, Mkt, Richmond, VA 23284 USA</t>
  </si>
  <si>
    <t>Virginia Commonwealth University</t>
  </si>
  <si>
    <t>Makarem, SC; Jae, H (corresponding author), Virginia Commonwealth Univ, Mkt, Richmond, VA 23284 USA.</t>
  </si>
  <si>
    <t>scmakarem@vcu.edu; hjae@vcu.edu</t>
  </si>
  <si>
    <t>Makarem, Suzanne C./AAG-2685-2020</t>
  </si>
  <si>
    <t>Makarem, Suzanne C./0000-0001-9874-9789</t>
  </si>
  <si>
    <t>0022-0078</t>
  </si>
  <si>
    <t>1745-6606</t>
  </si>
  <si>
    <t>J CONSUM AFF</t>
  </si>
  <si>
    <t>J. Consum. Aff.</t>
  </si>
  <si>
    <t>SPR</t>
  </si>
  <si>
    <t>10.1111/joca.12080</t>
  </si>
  <si>
    <t>Business; Economics</t>
  </si>
  <si>
    <t>DG8IO</t>
  </si>
  <si>
    <t>WOS:000372327400009</t>
  </si>
  <si>
    <t>Erevelles, S; Fukawa, N; Swayne, L</t>
  </si>
  <si>
    <t>Erevelles, Sunil; Fukawa, Nobuyuki; Swayne, Linda</t>
  </si>
  <si>
    <t>Big Data consumer analytics and the transformation of marketing</t>
  </si>
  <si>
    <t>Big Data; Consumer analytics; Consumer insights; Resource-based theory; Induction; Ignorance</t>
  </si>
  <si>
    <t>DYNAMIC CAPABILITIES; RADICAL INNOVATION; FIRM PERFORMANCE; BUSINESS STRATEGY; GENERATION</t>
  </si>
  <si>
    <t>Consumer analytics is at the epicenter of a Big Data revolution. Technology helps capture rich and plentiful data on consumer phenomena in real time. Thus, unprecedented volume, velocity, and variety of primary data, Big Data, are available from individual consumers. To better understand the impact of Big Data on various marketing activities, enabling firms to better exploit its benefits, a conceptual framework that builds on resource-based theory is proposed. Three resources-physical, human, and organizational capital-moderate the following: (1) the process of collecting and storing evidence of consumer activity as Big Data, (2) the process of extracting consumer insight from Big Data, and (3) the process of utilizing consumer insight to enhance dynamic/adaptive capabilities. Furthermore, unique resource requirements for firms to benefit from Big Data are discussed. (C) 2015 Elsevier Inc. All rights reserved.</t>
  </si>
  <si>
    <t>[Erevelles, Sunil; Swayne, Linda] Univ N Carolina, Dept Mkt, Charlotte, NC 28223 USA; [Fukawa, Nobuyuki] Missouri Univ Sci &amp; Technol, Dept Business &amp; Informat Technol, Rolla, MO 65409 USA</t>
  </si>
  <si>
    <t>University of North Carolina; University of North Carolina Charlotte; University of Missouri System; Missouri University of Science &amp; Technology</t>
  </si>
  <si>
    <t>Fukawa, N (corresponding author), Missouri Univ Sci &amp; Technol, Dept Business &amp; Informat Technol, Rolla, MO 65409 USA.</t>
  </si>
  <si>
    <t>serevell@uncc.edu; fukawan@mst.edu; leswayne@uncc.edu</t>
  </si>
  <si>
    <t>1873-7978</t>
  </si>
  <si>
    <t>10.1016/j.jbusres.2015.07.001</t>
  </si>
  <si>
    <t>DA4HJ</t>
  </si>
  <si>
    <t>WOS:000367760600056</t>
  </si>
  <si>
    <t>Liang, TP; Li, X; Yang, CT; Wang, M</t>
  </si>
  <si>
    <t>Liang, Ting-Peng; Li, Xin; Yang, Chin-Tsung; Wang, Mengyue</t>
  </si>
  <si>
    <t>What in Consumer Reviews Affects the Sales of Mobile Apps: A Multifacet Sentiment Analysis Approach</t>
  </si>
  <si>
    <t>INTERNATIONAL JOURNAL OF ELECTRONIC COMMERCE</t>
  </si>
  <si>
    <t>Consumer reviews; electronic word of mouth; eWoM; mobile app sales; opinion analysis; sentiment analysis; text mining</t>
  </si>
  <si>
    <t>WORD-OF-MOUTH; INFORMATION-SYSTEMS SUCCESS; ONLINE PRODUCT REVIEWS; SERVICE QUALITY; MODERATING ROLE; PERFORMANCE; MANAGEMENT; SOFTWARE; IMPACT; MODEL</t>
  </si>
  <si>
    <t>With the rapid adoption of smartphones, developing mobile apps has become an attractive arena for entrepreneurs. Many factors drive the sales of mobile apps, one of which is online word of mouth (eWOM). This research examines the effect of textual consumer reviews on the sales of mobile apps. Noting the inconsistent findings on the effect of textual reviews in previous literature, this study inspects how the sentiments of different topics in online reviews affect app sales. We develop a multifacet sentiment analysis (MFSA) approach to measure the dimensions in consumer reviews. Specifically, we are interested in the comments on product quality and service quality in this research. Employing a real-world data set of seventy-nine paid and seventy free apps from an iOS app store, we found that although consumers' opinions on product quality occupies a larger portion of consumer reviews, their comments on service quality have a stronger unit effect on sales rankings. The empirical analysis illustrates the value of our proposed MFSA approach for better understanding of the effect of textual consumer reviews on mobile app success.</t>
  </si>
  <si>
    <t>[Liang, Ting-Peng] Natl Sun Yat Sen Univ, Elect Commerce Res Ctr, Kaohsiung 80424, Taiwan; [Liang, Ting-Peng] Natl Chengchi Univ, 64 Chihnan Rd,Sec 2 Wenshan, Taipei 11623, Taiwan; [Liang, Ting-Peng] Univ Illinois, Chicago, IL 60680 USA; [Liang, Ting-Peng] Purdue Univ, W Lafayette, IN 47907 USA; [Liang, Ting-Peng] Chinese Univ Hong Kong, Hong Kong, Hong Kong, Peoples R China; [Liang, Ting-Peng] City Univ Hong Kong, Hong Kong, Hong Kong, Peoples R China; [Li, Xin; Wang, Mengyue] City Univ Hong Kong, Dept Informat Syst, Hong Kong, Hong Kong, Peoples R China</t>
  </si>
  <si>
    <t>National Sun Yat Sen University; National Chengchi University; University of Illinois System; University of Illinois Chicago; University of Illinois Chicago Hospital; Purdue University System; Purdue University; Purdue University West Lafayette Campus; Chinese University of Hong Kong; City University of Hong Kong; City University of Hong Kong</t>
  </si>
  <si>
    <t>Liang, TP (corresponding author), Natl Sun Yat Sen Univ, Elect Commerce Res Ctr, Kaohsiung 80424, Taiwan.;Liang, TP (corresponding author), Natl Chengchi Univ, 64 Chihnan Rd,Sec 2 Wenshan, Taipei 11623, Taiwan.</t>
  </si>
  <si>
    <t>tpliang@faculty.nsysu.edu.tw</t>
  </si>
  <si>
    <t>Li, Xin/K-8045-2015</t>
  </si>
  <si>
    <t>Li, Xin/0000-0002-0041-3134</t>
  </si>
  <si>
    <t>Ministry of Education [CityU SRG 7004287, SRG 7004142]</t>
  </si>
  <si>
    <t>Ministry of Education</t>
  </si>
  <si>
    <t>The authors thank anonymous reviewers for their constructive comments. The work described in this paper was partial supported by a grant to the Electronic Commerce Research Center through the Top University Project granted to National Sun Yat-Sen University from the Ministry of Education, CityU SRG 7004287 and SRG 7004142. All opinions are those of the authors and do not necessarily reflect the views of the funding agencies.</t>
  </si>
  <si>
    <t>1086-4415</t>
  </si>
  <si>
    <t>1557-9301</t>
  </si>
  <si>
    <t>INT J ELECTRON COMM</t>
  </si>
  <si>
    <t>Int. J. Electron. Commer.</t>
  </si>
  <si>
    <t>10.1080/10864415.2016.1087823</t>
  </si>
  <si>
    <t>Business; Computer Science, Software Engineering</t>
  </si>
  <si>
    <t>Business &amp; Economics; Computer Science</t>
  </si>
  <si>
    <t>DC0RC</t>
  </si>
  <si>
    <t>WOS:000368924400004</t>
  </si>
  <si>
    <t>Lotz, S; van Rensburg, A</t>
  </si>
  <si>
    <t>Lotz, Susan; van Rensburg, Alta</t>
  </si>
  <si>
    <t>Omission and other sins: Tracking the quality of online machine translation output over four years</t>
  </si>
  <si>
    <t>STELLENBOSCH PAPERS IN LINGUISTICS-SPIL</t>
  </si>
  <si>
    <t>error categories; Google Translate; machine translation; mistranslation; non-translation; translation quality</t>
  </si>
  <si>
    <t>FUNCTIONALIST-APPROACH; GOOGLE TRANSLATE; TECHNOLOGY</t>
  </si>
  <si>
    <t>Online machine translation (MT) has empowered ordinary language users to have texts translated all by themselves. But are these users aware of the pitfalls? This article draws on a longitudinal study that explored the quality of output by online MT application Google Translate in the language combination Afrikaans-English. We investigated the distribution of errors in two sets of translations (slide-show text and news report text) that we had Google Translate produce annually over a period of four years, 2010-2013. Omission, Mistranslation, Non-translation and Grammar were error categories that scored high in the analyses. In addition, we found that although the quality of the translations seemed to improve up to 2012, the pattern of improvement levelled off, with some of the 2013 output containing more errors than that of the previous year. We believe users should be made aware of the risks they unknowingly take when using online MT.</t>
  </si>
  <si>
    <t>[Lotz, Susan; van Rensburg, Alta] Stellenbosch Univ, Language Ctr, Stellenbosch, South Africa</t>
  </si>
  <si>
    <t>Stellenbosch University</t>
  </si>
  <si>
    <t>Lotz, S (corresponding author), Stellenbosch Univ, Language Ctr, Stellenbosch, South Africa.</t>
  </si>
  <si>
    <t>slotz@sun.ac.za; avrens@sun.ac.za</t>
  </si>
  <si>
    <t>UNIV STELLENBOSCH, DEPT GENERAL LINGUISTICS</t>
  </si>
  <si>
    <t>STELLENBOSCH</t>
  </si>
  <si>
    <t>PRIVATE BAG X1, MATIELAND, STELLENBOSCH, 7602, SOUTH AFRICA</t>
  </si>
  <si>
    <t>1027-3417</t>
  </si>
  <si>
    <t>2223-9936</t>
  </si>
  <si>
    <t>STELLENBOSCH PAP LIN</t>
  </si>
  <si>
    <t>Stellenbosch Pap. Linguist.-SPiL</t>
  </si>
  <si>
    <t>10.5774/46-0-223</t>
  </si>
  <si>
    <t>Law</t>
  </si>
  <si>
    <t>Emerging Sources Citation Index (ESCI)</t>
  </si>
  <si>
    <t>FR7VM</t>
  </si>
  <si>
    <t>gold, Green Submitted</t>
  </si>
  <si>
    <t>WOS:000419280500004</t>
  </si>
  <si>
    <t>Heydari, A; Tavakoli, MA; Salim, N; Heydari, Z</t>
  </si>
  <si>
    <t>Heydari, Atefeh; Tavakoli, Mohammad Ali; Salim, Naomie; Heydari, Zahra</t>
  </si>
  <si>
    <t>Detection of review spam: A survey</t>
  </si>
  <si>
    <t>Review spam; Survey; Spam detection techniques; Opinion spam; Fake reviews; Review spammer detection</t>
  </si>
  <si>
    <t>In recent years, online reviews have become the most important resource of customers' opinions. These reviews are used increasingly by individuals and organizations to make purchase and business decisions. Unfortunately, driven by the desire for profit or publicity, fraudsters have produced deceptive (spam) reviews. The fraudsters' activities mislead potential customers and organizations reshaping their businesses and prevent opinion-mining techniques from reaching accurate conclusions. The present research focuses on systematically analyzing and categorizing models that detect review spam. Next, the study proceeds to assess them in terms of accuracy and results. We find that studies can be categorized into three groups that focus on methods to detect spam reviews, individual spammers and group spam. Different detection techniques have different strengths and weaknesses and thus favor different detection contexts. (C) 2014 Elsevier Ltd. All rights reserved.</t>
  </si>
  <si>
    <t>[Heydari, Atefeh; Tavakoli, Mohammad Ali; Salim, Naomie] Univ Teknol Malaysia, Fac Comp Sci &amp; Informat Syst, Johor Baharu 81310, Malaysia; [Heydari, Zahra] Univ Tehran, Fac Comp Sci &amp; Informat Syst, Tehran 14174, Iran</t>
  </si>
  <si>
    <t>Universiti Teknologi Malaysia; University of Tehran</t>
  </si>
  <si>
    <t>Salim, N (corresponding author), Univ Teknol Malaysia, Fac Comp Sci &amp; Informat Syst, Johor Baharu 81310, Malaysia.</t>
  </si>
  <si>
    <t>a_tav_ir@yahoo.com; tmohammadali2@live.utm.my; naomie@utm.my; za_heydari@yahoo.com</t>
  </si>
  <si>
    <t>Heydari, Atefeh/0000-0001-6065-3300</t>
  </si>
  <si>
    <t>MAY 1</t>
  </si>
  <si>
    <t>10.1016/j.eswa.2014.12.029</t>
  </si>
  <si>
    <t>CC2NT</t>
  </si>
  <si>
    <t>WOS:000350182600029</t>
  </si>
  <si>
    <t>Lunnay, B; Borlagdan, J; McNaughton, D; Ward, P</t>
  </si>
  <si>
    <t>Lunnay, Belinda; Borlagdan, Joseph; McNaughton, Darlene; Ward, Paul</t>
  </si>
  <si>
    <t>Ethical Use of Social Media to Facilitate Qualitative Research</t>
  </si>
  <si>
    <t>QUALITATIVE HEALTH RESEARCH</t>
  </si>
  <si>
    <t>alcohol/alcoholism; ethics / moral perspectives; Internet; young adults; sociology</t>
  </si>
  <si>
    <t>Increasingly, qualitative health researchers might consider using social media to facilitate communication with participants. Ambiguity surrounding the potential risks intrinsic to social media could hinder ethical conduct and discourage use of this innovative method. We used some core principles of traditional human research ethics, that is, respect, integrity, and beneficence, to design our photo elicitation research that explored the social influences of drinking alcohol among 34 underage women in metropolitan South Australia. Facebook aided our communication with participants, including correspondence ranging from recruitment to feeding back results and sharing research data. This article outlines the ethical issues we encountered when using Facebook to interact with participants and provides guidance to researchers planning to incorporate social media as a tool in their qualitative studies. In particular, we raise the issues of privacy and confidentiality as contemporary risks associated with research using social media.</t>
  </si>
  <si>
    <t>[Lunnay, Belinda; McNaughton, Darlene; Ward, Paul] Flinders Univ S Australia, Discipline Publ Hlth, Adelaide, SA 5001, Australia; [Borlagdan, Joseph] Univ Melbourne, Sch Social &amp; Polit Sci, Melbourne, Vic, Australia</t>
  </si>
  <si>
    <t>Flinders University South Australia; University of Melbourne</t>
  </si>
  <si>
    <t>Lunnay, B (corresponding author), Flinders Univ S Australia, Sch Med, Discipline Publ Hlth, Fac Hlth Sci, GPO Box 2100, Adelaide, SA 5001, Australia.</t>
  </si>
  <si>
    <t>belinda.lunnay@flinders.edu.au</t>
  </si>
  <si>
    <t>McNaughton, Darlene/0000-0002-0131-5966; Ward, Paul/0000-0002-5559-9714; Lunnay, Belinda/0000-0002-9103-0445</t>
  </si>
  <si>
    <t>1049-7323</t>
  </si>
  <si>
    <t>1552-7557</t>
  </si>
  <si>
    <t>QUAL HEALTH RES</t>
  </si>
  <si>
    <t>Qual. Health Res.</t>
  </si>
  <si>
    <t>10.1177/1049732314549031</t>
  </si>
  <si>
    <t>Public, Environmental &amp; Occupational Health; Information Science &amp; Library Science; Social Sciences, Interdisciplinary; Social Sciences, Biomedical</t>
  </si>
  <si>
    <t>Public, Environmental &amp; Occupational Health; Information Science &amp; Library Science; Social Sciences - Other Topics; Biomedical Social Sciences</t>
  </si>
  <si>
    <t>AX0MI</t>
  </si>
  <si>
    <t>WOS:000346646000010</t>
  </si>
  <si>
    <t>Gopaldas, A</t>
  </si>
  <si>
    <t>Gopaldas, Ahir</t>
  </si>
  <si>
    <t>Marketplace Sentiments</t>
  </si>
  <si>
    <t>CONSUMER CULTURE; POLITICAL-IDEOLOGY; CONSUMPTION; EMOTIONS; BRANDS; MODEL; CONSCIOUSNESS; TECHNOLOGY; COMMUNITY; IDENTITY</t>
  </si>
  <si>
    <t>From outrage at corporations to excitement about innovations, marketplace sentiments are powerful forces in consumer culture that transform markets. This article develops a preliminary theory of marketplace sentiments. Defined as collectively shared emotional dispositions, sentiments can be grouped into three function-based categories: contempt for villains, concern for victims, and celebration of heroes. Marketplace actors such as activists, brands, and consumers have a variety of motives and methods for producing and reproducing sentiments. Activists plant, amplify, and hyper-perform sentiments to recruit consumers and discipline institutions. Brands carefully select, calibrate, and broadcast sentiments to entertain consumers and promote products. Consumers learn, experience, and communicate sentiments to commune and individuate in society. The emergent theory of marketplace sentiments (1) advances a sociocultural perspective on consumer emotion, (2) elevates the theoretical significance of emotional observations in cultural studies, (3) offers a sentiment-based understanding of the power of ideology, (4) indicates how activist sentiments can paradoxically benefit from brand co-optation, and (5) calls for human input in big data sentiment analysis. More broadly, the article proposes that cultures are systems of discourses, sentiments, and practices wherein discourses legitimize sentiments and practices, sentiments energize discourses and practices, and practices materialize discourses and sentiments.</t>
  </si>
  <si>
    <t>Fordham Univ, New York, NY 10023 USA</t>
  </si>
  <si>
    <t>Fordham University</t>
  </si>
  <si>
    <t>Gopaldas, A (corresponding author), Fordham Univ, New York, NY 10023 USA.</t>
  </si>
  <si>
    <t>ahir@gopaldas.net</t>
  </si>
  <si>
    <t>Gopaldas, Ahir/AAL-8546-2020; Gopaldas, Ahir/GNM-8187-2022</t>
  </si>
  <si>
    <t>Gopaldas, Ahir/0000-0001-6996-5378</t>
  </si>
  <si>
    <t>10.1086/678034</t>
  </si>
  <si>
    <t>WOS:000345227600007</t>
  </si>
  <si>
    <t>Dumas, G; Serfass, DG; Brown, NA; Sherman, RA</t>
  </si>
  <si>
    <t>Dumas, Guillaume; Serfass, David G.; Brown, Nicolas A.; Sherman, Ryne A.</t>
  </si>
  <si>
    <t>The Evolving Nature of Social Network Research: A Commentary to Gleibs (2014)</t>
  </si>
  <si>
    <t>ANALYSES OF SOCIAL ISSUES AND PUBLIC POLICY</t>
  </si>
  <si>
    <t>Social networking sites (SNSs) provide researchers with an unprecedented amount of user derived personal information. This wealth of information can be invaluable for research purposes. However, the privacy of the SNS user must be protected from both public and private researchers. New research capabilities raise new ethical concerns. We argue that past research regulation has largely been in reaction to questionable research practices, and therefore new innovations need to be regulated before SNS users' privacy is irreparably compromised. It is the responsibility of the academic community to start this ethical discourse.</t>
  </si>
  <si>
    <t>[Dumas, Guillaume; Serfass, David G.; Brown, Nicolas A.; Sherman, Ryne A.] Florida Atlantic Univ, Boca Raton, FL 33431 USA</t>
  </si>
  <si>
    <t>State University System of Florida; Florida Atlantic University</t>
  </si>
  <si>
    <t>Dumas, G (corresponding author), Florida Atlantic Univ, Ctr Complex Syst Sci, 777 Glades Rd BS 12, Boca Raton, FL 33431 USA.</t>
  </si>
  <si>
    <t>dumas@ccs.fau.edu</t>
  </si>
  <si>
    <t>Dumas, Guillaume/E-3756-2012</t>
  </si>
  <si>
    <t>Dumas, Guillaume/0000-0002-2253-1844</t>
  </si>
  <si>
    <t>1529-7489</t>
  </si>
  <si>
    <t>1530-2415</t>
  </si>
  <si>
    <t>ANAL SOC ISS PUB POL</t>
  </si>
  <si>
    <t>Anal. Soc. Issues Public Policy</t>
  </si>
  <si>
    <t>10.1111/asap.12055</t>
  </si>
  <si>
    <t>Social Issues; Psychology, Social</t>
  </si>
  <si>
    <t>Social Issues; Psychology</t>
  </si>
  <si>
    <t>AX4QK</t>
  </si>
  <si>
    <t>WOS:000346916400023</t>
  </si>
  <si>
    <t>Tang, TY; Fang, EE; Wang, F</t>
  </si>
  <si>
    <t>Tang, Tanya (Ya); Fang, Eric (Er); Wang, Feng</t>
  </si>
  <si>
    <t>Is Neutral Really Neutral? The Effects of Neutral User-Generated Content on Product Sales</t>
  </si>
  <si>
    <t>user-generated content; mixed-neutral user-generated content; indifferent-neutral user-generated content; product sales; opportunity-motivation-ability framework</t>
  </si>
  <si>
    <t>WORD-OF-MOUTH; INTEGRATIVE FRAMEWORK; FIRM VALUE; ONLINE; REVIEWS; AMBIVALENCE; DYNAMICS; ATTITUDE; RATINGS; MEDIA</t>
  </si>
  <si>
    <t>This article aims to specify the performance implications of neutral user-generated content (UGC) on product sales by differentiating mixed-neutral UGC, which contains an equal amount of positive and negative claims, from indifferent-neutral UGC, which includes neither positive nor negative claims. The authors propose that positive and negative UGC only provide opportunities for consumers to process product-related information, whereas both mixed- and indifferent-neutral UGC affect consumers' motivation and ability to process positive and negative UGC. The results of three studies using multiple measures (text and numerical UGC), contexts (automobiles, movies, and tablets), and methods (empirical and behavioral experiment) indicate contrasting premium and discount effects such that mixed-neutral UGC amplifies the effects of positive and negative UGC, whereas indifferent-neutral UGC attenuates them. Empirical evidence further indicates that ignoring mixed- or indifferent-neutral UGC leads to substantial under- or overestimates of the effects of positive and negative UGC. The effects of neutral UGC on product sales thus are not truly neutral, and the direction of the bias depends on both the type of UGC and the distribution of positive and negative UGC.</t>
  </si>
  <si>
    <t>[Tang, Tanya (Ya)] Univ Massachusetts Amherst, Isenberg Sch Management, Amherst, MA 01003 USA; [Fang, Eric (Er)] Univ Illinois, Urbana, IL 61801 USA; [Wang, Feng] Hunan Univ, Sch Business Adm, Changsha 410082, Hunan, Peoples R China</t>
  </si>
  <si>
    <t>University of Massachusetts System; University of Massachusetts Amherst; University of Illinois System; University of Illinois Urbana-Champaign; Hunan University</t>
  </si>
  <si>
    <t>Wang, F (corresponding author), Hunan Univ, Sch Business Adm, Changsha 410082, Hunan, Peoples R China.</t>
  </si>
  <si>
    <t>yatang@isenberg.umass.edu; erfang@illinois.edu; fwang@hnu.edu.cn</t>
  </si>
  <si>
    <t>10.1509/jm.13.0301</t>
  </si>
  <si>
    <t>AN6VO</t>
  </si>
  <si>
    <t>WOS:000340736700004</t>
  </si>
  <si>
    <t>Chen, YQ; Skiena, S</t>
  </si>
  <si>
    <t>Toutanova, K; Wu, H</t>
  </si>
  <si>
    <t>Chen, Yanqing; Skiena, Steven</t>
  </si>
  <si>
    <t>Building Sentiment Lexicons for All Major Languages</t>
  </si>
  <si>
    <t>PROCEEDINGS OF THE 52ND ANNUAL MEETING OF THE ASSOCIATION FOR COMPUTATIONAL LINGUISTICS, VOL 2</t>
  </si>
  <si>
    <t>52nd Annual Meeting of the Association-for-Computational-Linguistics (ACL)</t>
  </si>
  <si>
    <t>JUN 22-27, 2014</t>
  </si>
  <si>
    <t>Baltimore, MD</t>
  </si>
  <si>
    <t>Assoc Computat Linguist,Baidu,Bloomberg,Google,Microsoft,Nuance,Yahoo Labs,Informat Sci Inst, Xerox Res Ctr Europe,Brandeis Univ,Facebook,Yandex,Amazon Com,IBM Watson,Johns Hopkins Univ,A9,AI@ISI,Xerox</t>
  </si>
  <si>
    <t>Sentiment analysis in a multilingual world remains a challenging problem, because developing language-specific sentiment lexicons is an extremely resource-intensive process. Such lexicons remain a scarce resource for most languages. In this paper, we address this lexicon gap by building high-quality sentiment lexicons for 136 major languages. We integrate a variety of linguistic resources to produce an immense knowledge graph. By appropriately propagating from seed words, we construct sentiment lexicons for each component language of our graph. Our lexicons have a polarity agreement of 95.7% with published lexicons, while achieving an overall coverage of 45.2%. We demonstrate the performance of our lexicons in an extrinsic analysis of 2,000 distinct historical figures' Wikipedia articles on 30 languages. Despite cultural difference and the intended neutrality of Wikipedia articles, our lexicons show an average sentiment correlation of 0.28 across all language pairs.</t>
  </si>
  <si>
    <t>[Chen, Yanqing; Skiena, Steven] SUNY Stony Brook, Comp Sci Dept, Stony Brook, NY 11794 USA</t>
  </si>
  <si>
    <t>State University of New York (SUNY) System; State University of New York (SUNY) Stony Brook</t>
  </si>
  <si>
    <t>Chen, YQ (corresponding author), SUNY Stony Brook, Comp Sci Dept, Stony Brook, NY 11794 USA.</t>
  </si>
  <si>
    <t>cyanqing@cs.stonybrook.edu; skiena@cs.stonybrook.edu</t>
  </si>
  <si>
    <t>NSF [DBI-1060572, IIS-1017181]; Google Faculty Research Award</t>
  </si>
  <si>
    <t>NSF(National Science Foundation (NSF)); Google Faculty Research Award(Google Incorporated)</t>
  </si>
  <si>
    <t>This research was partially supported by NSF Grants DBI-1060572 and IIS-1017181, and a Google Faculty Research Award.</t>
  </si>
  <si>
    <t>ASSOC COMPUTATIONAL LINGUISTICS-ACL</t>
  </si>
  <si>
    <t>STROUDSBURG</t>
  </si>
  <si>
    <t>209 N EIGHTH STREET, STROUDSBURG, PA 18360 USA</t>
  </si>
  <si>
    <t>978-1-937284-73-2</t>
  </si>
  <si>
    <t>BO0XQ</t>
  </si>
  <si>
    <t>WOS:000493811100063</t>
  </si>
  <si>
    <t>Otterbacher, J</t>
  </si>
  <si>
    <t>Otterbacher, Jahna</t>
  </si>
  <si>
    <t>Gender, writing and ranking in review forums: a case study of the IMDb</t>
  </si>
  <si>
    <t>Gender; Information filtering; Social voting; Text classification</t>
  </si>
  <si>
    <t>WORD-OF-MOUTH; SEX</t>
  </si>
  <si>
    <t>Online review forums provide consumers with essential information about goods and services by facilitating word-of-mouth communication. Despite that preferences are correlated to demographic characteristics, reviewer gender is not often provided on user profiles. We consider the case of the internet movie database (IMDb), where users exchange views on movies. Like many forums, IMDb employs collaborative filtering such that by default, reviews are ranked by perceived utility. IMDb also provides a unique gender filter that displays an equal number of reviews authored by men and women. Using logistic classification, we compare reviews with respect to writing style, content and metadata features. We find salient differences in stylistic features and content between reviews written by men and women, as predicted by sociolinguistic theory. However, utility is the best predictor of gender, with women's reviews perceived as being much less useful than those written by men. While we cannot observe who votes at IMDb, we do find that highly rated female-authored reviews exhibit male characteristics. Our results have implications for which contributions are likely to be seen, and to what extent participants get a balanced view as to what others think about an item.</t>
  </si>
  <si>
    <t>IIT, Dept Humanities, Chicago, IL 60616 USA</t>
  </si>
  <si>
    <t>Illinois Institute of Technology</t>
  </si>
  <si>
    <t>Otterbacher, J (corresponding author), IIT, Dept Humanities, Chicago, IL 60616 USA.</t>
  </si>
  <si>
    <t>jotterba@iit.edu</t>
  </si>
  <si>
    <t>Otterbacher, Jahna/0000-0002-7655-7118</t>
  </si>
  <si>
    <t>10.1007/s10115-012-0548-z</t>
  </si>
  <si>
    <t>Science Citation Index Expanded (SCI-EXPANDED); Social Science Citation Index (SSCI); Arts &amp;amp; Humanities Citation Index (A&amp;amp;HCI)</t>
  </si>
  <si>
    <t>136PQ</t>
  </si>
  <si>
    <t>WOS:000318374200006</t>
  </si>
  <si>
    <t>He, W; Zha, SH; Li, L</t>
  </si>
  <si>
    <t>He, Wu; Zha, Shenghua; Li, Ling</t>
  </si>
  <si>
    <t>Social media competitive analysis and text mining: A case study in the pizza industry</t>
  </si>
  <si>
    <t>Social media; Facebook; Twitter; Case study; Pizza industry; Competitive analysis; Competitive intelligence; Competitor intelligence; Actionable intelligence; Text mining; Content analysis</t>
  </si>
  <si>
    <t>WORD-OF-MOUTH; ENTERPRISE SYSTEMS; ONLINE; MANAGEMENT</t>
  </si>
  <si>
    <t>Social media have been adopted by many businesses. More and more companies are using social media tools such as Facebook and Twitter to provide various services and interact with customers. As a result, a large amount of user-generated content is freely available on social media sites. To increase competitive advantage and effectively assess the competitive environment of businesses, companies need to monitor and analyze not only the customer-generated content on their own social media sites, but also the textual information on their competitors' social media sites. In an effort to help companies understand how to perform a social media competitive analysis and transform social media data into knowledge for decision makers and e-marketers, this paper describes an in-depth case study which applies text mining to analyze unstructured text content on Facebook and Twitter sites of the three largest pizza chains: Pizza Hut, Domino's Pizza and Papa John's Pizza. The results reveal the value of social media competitive analysis and the power of text mining as an effective technique to extract business value from the vast amount of available social media data. Recommendations are also provided to help companies develop their social media competitive analysis strategy. (C) 2013 Elsevier Ltd. All rights reserved.</t>
  </si>
  <si>
    <t>[He, Wu; Li, Ling] Old Dominion Univ, Coll Business &amp; Publ Adm, Dept Informat Technol &amp; Decis Sci, Norfolk, VA 23529 USA; [Zha, Shenghua] James Madison Univ, Ctr Instruct Technol, Harrisonburg, VA 22807 USA; [Li, Ling] Old Dominion Univ, Coll Business &amp; Publ Adm, Norfolk, VA 23529 USA</t>
  </si>
  <si>
    <t>Old Dominion University; James Madison University; Old Dominion University</t>
  </si>
  <si>
    <t>He, W (corresponding author), Old Dominion Univ, Coll Business &amp; Publ Adm, Dept Informat Technol &amp; Decis Sci, Norfolk, VA 23529 USA.</t>
  </si>
  <si>
    <t>whe@odu.edu; zhasx@jmu.edu; lli@odu.edu</t>
  </si>
  <si>
    <t>10.1016/j.ijinfomgt.2013.01.001</t>
  </si>
  <si>
    <t>149IB</t>
  </si>
  <si>
    <t>WOS:000319311100005</t>
  </si>
  <si>
    <t>Nunan, D; Di Domenico, M</t>
  </si>
  <si>
    <t>Nunan, Daniel; Di Domenico, MariaLaura</t>
  </si>
  <si>
    <t>Market research and the ethics of big data</t>
  </si>
  <si>
    <t>INTERNATIONAL JOURNAL OF MARKET RESEARCH</t>
  </si>
  <si>
    <t>INTERNET; FUTURE</t>
  </si>
  <si>
    <t>The term 'big data' has recently emerged to describe a range of technological and commercial trends enabling the storage and analysis of huge amounts of customer data, such as that generated by social networks and mobile devices. Much of the commercial promise of big data is in the ability to generate valuable insights from collecting new types and volumes of data in ways that were not previously economically viable. At the same time a number of questions have been raised about the implications for individual privacy. This paper explores key perspectives underlying the emergence of big data, and considers both the opportunities and ethical challenges raised for market research.</t>
  </si>
  <si>
    <t>[Nunan, Daniel] Univ Reading, Henley Business Sch, Reading RG6 6AH, Berks, England; [Nunan, Daniel] Univ Reading, Henley Business Sch, MSc Programmes Mkt, Reading RG6 6AH, Berks, England; [Di Domenico, MariaLaura] Univ Surrey, Surrey Business Sch, Guildford GU2 5XH, Surrey, England; [Di Domenico, MariaLaura] Univ Surrey, Surrey Business Sch, Entrepreneurship Grp, Guildford GU2 5XH, Surrey, England</t>
  </si>
  <si>
    <t>University of Reading; University of Reading; University of Surrey; University of Surrey</t>
  </si>
  <si>
    <t>Nunan, D (corresponding author), Univ Reading, Henley Business Sch, Reading RG6 6AH, Berks, England.</t>
  </si>
  <si>
    <t>dan.nunan@gmail.com</t>
  </si>
  <si>
    <t>Nunan, Daniel/U-6628-2019</t>
  </si>
  <si>
    <t>Nunan, Daniel/0000-0002-0514-3276</t>
  </si>
  <si>
    <t>1470-7853</t>
  </si>
  <si>
    <t>2515-2173</t>
  </si>
  <si>
    <t>INT J MARKET RES</t>
  </si>
  <si>
    <t>Int. J. Market Res.</t>
  </si>
  <si>
    <t>10.2501/IJMR-2013-015</t>
  </si>
  <si>
    <t>AM7AN</t>
  </si>
  <si>
    <t>WOS:000340017200005</t>
  </si>
  <si>
    <t>Hasan, O; Habegger, B; Brunie, L; Bennani, N; Damiani, E</t>
  </si>
  <si>
    <t>Hasan, Omar; Habegger, Benjamin; Brunie, Lionel; Bennani, Nadia; Damiani, Ernesto</t>
  </si>
  <si>
    <t>A Discussion of Privacy Challenges in User Profiling with Big Data Techniques: The EEXCESS Use Case</t>
  </si>
  <si>
    <t>2013 IEEE INTERNATIONAL CONGRESS ON BIG DATA</t>
  </si>
  <si>
    <t>IEEE International Congress on Big Data</t>
  </si>
  <si>
    <t>JUN 27-JUL 02, 2013</t>
  </si>
  <si>
    <t>Santa Clara, CA</t>
  </si>
  <si>
    <t>IEEE,IEEE Comp Soc</t>
  </si>
  <si>
    <t>User profiling; recommender systems; big data; privacy; EEXCESS</t>
  </si>
  <si>
    <t>User profiling is the process of collecting information about a user in order to construct their profile. The information in a user profile may include various attributes of a user such as geographical location, academic and professional background, membership in groups, interests, preferences, opinions, etc. Big data techniques enable collecting accurate and rich information for user profiles, in particular due to their ability to process unstructured as well as structured information in high volumes from multiple sources. Accurate and rich user profiles are important for applications such as recommender systems, which try to predict elements that a user has not yet considered but may find useful. The information contained in user profiles is personal and thus there are privacy issues related to user profiling. In this position paper, we discuss user profiling with big data techniques and the associated privacy challenges. We also discuss the ongoing EU-funded EEXCESS project as a concrete example of constructing user profiles with big data techniques</t>
  </si>
  <si>
    <t>[Hasan, Omar; Habegger, Benjamin; Brunie, Lionel; Bennani, Nadia] Univ Lyon, CNRS, INSA Lyon, LIRIS,UMR5205, F-69621 Villeurbanne, France; [Damiani, Ernesto] Univ Milan, Dept Comp Technol, I-20122 Milan, Italy</t>
  </si>
  <si>
    <t>Centre National de la Recherche Scientifique (CNRS); Institut National des Sciences Appliquees de Lyon - INSA Lyon; University of Milan</t>
  </si>
  <si>
    <t>Hasan, O (corresponding author), Univ Lyon, CNRS, INSA Lyon, LIRIS,UMR5205, F-69621 Villeurbanne, France.</t>
  </si>
  <si>
    <t>omar.hasan@insa-lyon.fr; benjamin.habegger@insa-lyon.fr; lionel.brunie@insa-lyon.fr; nadia.bennani@insa-lyon.fr; ernesto.damiani@unimi.it</t>
  </si>
  <si>
    <t>damiani, ernesto/AAI-5709-2020; damiani, ernesto/J-6060-2012</t>
  </si>
  <si>
    <t>damiani, ernesto/0000-0002-9557-6496; damiani, ernesto/0000-0002-9557-6496</t>
  </si>
  <si>
    <t>EU [600601]</t>
  </si>
  <si>
    <t>EU(European Commission)</t>
  </si>
  <si>
    <t>The presented work was developed within the EEXCESS project funded by the EU Seventh Framework Program, grant agreement number 600601.</t>
  </si>
  <si>
    <t>345 E 47TH ST, NEW YORK, NY 10017 USA</t>
  </si>
  <si>
    <t>2379-7703</t>
  </si>
  <si>
    <t>978-0-7695-5006-0</t>
  </si>
  <si>
    <t>IEEE INT CONGR BIG</t>
  </si>
  <si>
    <t>10.1109/BigData.Congress.2013.13</t>
  </si>
  <si>
    <t>BA1GT</t>
  </si>
  <si>
    <t>WOS:000332528300004</t>
  </si>
  <si>
    <t>Baek, H; Ahn, J; Choi, Y</t>
  </si>
  <si>
    <t>Baek, Hyunmi; Ahn, JoongHo; Choi, Youngseok</t>
  </si>
  <si>
    <t>Helpfulness of Online Consumer Reviews: Readers' Objectives and Review Cues</t>
  </si>
  <si>
    <t>Consumer decision-making process; dual process theory; eWOM (electronic word of mouth); online consumer review; review helpfulness</t>
  </si>
  <si>
    <t>WORD-OF-MOUTH; MODERATING ROLE; INFORMATION; KNOWLEDGE; SALES; PERSUASION; INTENTION; SEARCH</t>
  </si>
  <si>
    <t>With the growth of e-commerce, online consumer reviews have increasingly become important sources of information that help consumers in their purchase decisions. However, the influx of online consumer reviews has caused information overload, making it difficult for consumers to choose reliable reviews. For an online retail market to succeed, it is important to lead product reviewers to write more helpful reviews, and for consumers to get helpful reviews more easily by figuring out the factors determining the helpfulness of online reviews. For this research, 75,226 online consumer reviews were collected from Amazon.com using a Web data crawler. Additional information on review content was also gathered by carrying out a sentiment analysis for mining review text. Our results show that both peripheral cues, including review rating and reviewer's credibility, and central cues, such as the content of reviews, influence the helpfulness of reviews. Based on dual process theories, we find that consumers focus on different information sources of reviews, depending on their purposes for reading reviews: online reviews can be used for information search or for evaluating alternatives. Our findings provide new perspectives to online market owners on how to manage online reviews on their Web sites.</t>
  </si>
  <si>
    <t>[Ahn, JoongHo] Seoul Natl Univ, Grad Sch Business, Seoul 151, South Korea; [Baek, Hyunmi; Choi, Youngseok] Seoul Natl Univ, Coll Business Adm, Seoul 151, South Korea; [Baek, Hyunmi] ETRI, Taejon, South Korea</t>
  </si>
  <si>
    <t>Seoul National University (SNU); Seoul National University (SNU); Electronics &amp; Telecommunications Research Institute - Korea (ETRI)</t>
  </si>
  <si>
    <t>Ahn, J (corresponding author), Seoul Natl Univ, Grad Sch Business, Seoul 151, South Korea.</t>
  </si>
  <si>
    <t>lotus1225@snu.ac.kr; jahn@snu.ac.kr; aquinas9@snu.ac.kr</t>
  </si>
  <si>
    <t>Ahn, Joongho/E-4403-2017</t>
  </si>
  <si>
    <t>Choi, Youngeok/0000-0001-9842-5231</t>
  </si>
  <si>
    <t>Institute of Management Research at Seoul National University</t>
  </si>
  <si>
    <t>JoongHo Ahn is the corresponding author. This study was funded in part by the Institute of Management Research at Seoul National University.</t>
  </si>
  <si>
    <t>10.2753/JEC1086-4415170204</t>
  </si>
  <si>
    <t>060KC</t>
  </si>
  <si>
    <t>WOS:000312775200005</t>
  </si>
  <si>
    <t>Sonnier, GP; McAlister, L; Rutz, OJ</t>
  </si>
  <si>
    <t>Sonnier, Garrett P.; McAlister, Leigh; Rutz, Oliver J.</t>
  </si>
  <si>
    <t>A Dynamic Model of the Effect of Online Communications on Firm Sales</t>
  </si>
  <si>
    <t>word of mouth; Bayesian estimation; endogeneity; dynamics</t>
  </si>
  <si>
    <t>WORD-OF-MOUTH; INFORMATION; REVIEWS; IMPACT; IDENTIFICATION; SEARCH</t>
  </si>
  <si>
    <t>Interpersonal communications have long been recognized as an influential source of information for consumers. Internet-based media have facilitated information exchange among firms and consumers, as well as observability and measurement of such exchanges. However, much of the research addressing online communication focuses on ratings collected from online forums. In this paper, we look beyond ratings to a more comprehensive view of online communications. We consider the sales effect of the volume of positive, negative, and neutral online communications captured by Web crawler technology and classified by automated sentiment analysis. Our modeling approach captures two key features of our data, dynamics and endogeneity. In terms of dynamics, we model daily measures of online communications about a firm and its products as contributing to a latent demand-generating stock variable. To account for the endogeneity, we extend the latent instrumental variable technique to account for dynamic endogenous regressors. Our results demonstrate a significant effect of positive, negative, and neutral online communications on daily sales performance. Failure to account for endogeneity results in a severe attenuation of the estimated effects. From a managerial perspective, we demonstrate the importance of accounting for communication valence as well as the impact of shocks to positive, negative, and neutral online communications.</t>
  </si>
  <si>
    <t>[Sonnier, Garrett P.; McAlister, Leigh] Univ Texas Austin, Red McCombs Sch Business, Austin, TX 78712 USA; [Rutz, Oliver J.] Yale Univ, Yale Sch Management, New Haven, CT 06521 USA</t>
  </si>
  <si>
    <t>University of Texas System; University of Texas Austin; Yale University</t>
  </si>
  <si>
    <t>Sonnier, GP (corresponding author), Univ Texas Austin, Red McCombs Sch Business, Austin, TX 78712 USA.</t>
  </si>
  <si>
    <t>garrett.sonnier@mccombs.utexas.edu; leigh.mcalister@mccombs.utexas.edu; rutz@uw.edu</t>
  </si>
  <si>
    <t>10.1287/mksc.1110.0642</t>
  </si>
  <si>
    <t>806QH</t>
  </si>
  <si>
    <t>WOS:000293824200011</t>
  </si>
  <si>
    <t>Scholand, AJ; Tausczik, YR; Pennebaker, JW</t>
  </si>
  <si>
    <t>Chai, SK; Salerno, JJ; Mabry, PL</t>
  </si>
  <si>
    <t>Scholand, Andrew J.; Tausczik, Yla R.; Pennebaker, James W.</t>
  </si>
  <si>
    <t>Assessing Group Interaction with Social Language Network Analysis</t>
  </si>
  <si>
    <t>ADVANCES IN SOCIAL COMPUTING, PROCEEDINGS</t>
  </si>
  <si>
    <t>Lecture Notes in Computer Science</t>
  </si>
  <si>
    <t>3rd International Workshop on Social Computing, Behavioral Modeling and Prediction</t>
  </si>
  <si>
    <t>MAR 30-31, 2010</t>
  </si>
  <si>
    <t>Bethesda, MD</t>
  </si>
  <si>
    <t>social language processing; social network analysis; network structure; communication; content analysis; group</t>
  </si>
  <si>
    <t>In this paper we discuss a new methodology, social language network analysis (SLNA), that combines tools from social language processing and network analysis to assess socially situated working relationships within a group. Specifically, SLNA aims to identify and characterize the nature of working relationships by processing artifacts generated with computer-mediated communication systems, such as instant message texts or emails. Because social language processing is able to identify psychological, social, and emotional processes that individuals are not able to fully mask, social language network analysis can clarify and highlight complex interdependencies between group members, even when these relationships are latent or unrecognized.</t>
  </si>
  <si>
    <t>[Scholand, Andrew J.] Sandia Natl Labs, Box 5800, Albuquerque, NM 87185 USA; [Tausczik, Yla R.; Pennebaker, James W.] Univ Texas Austin, Dept Psychol, Austin, TX 78712 USA</t>
  </si>
  <si>
    <t>United States Department of Energy (DOE); Sandia National Laboratories; University of Texas System; University of Texas Austin</t>
  </si>
  <si>
    <t>Scholand, AJ (corresponding author), Sandia Natl Labs, Box 5800, Albuquerque, NM 87185 USA.</t>
  </si>
  <si>
    <t>ajschol@sandia.gov; tausczik@mail.utexas.edu; pennebaker@mail.utexas.edu</t>
  </si>
  <si>
    <t>Army Research Institute [W91WAW-07-C-0029]; Sandia Laboratory Directed Research &amp; Development Seniors Council</t>
  </si>
  <si>
    <t>Army Research Institute; Sandia Laboratory Directed Research &amp; Development Seniors Council</t>
  </si>
  <si>
    <t>Thanks to the Army Research Institute (W91WAW-07- C-0029) and the Sandia Laboratory Directed Research &amp; Development Seniors Council for the funding that made this publication possible.</t>
  </si>
  <si>
    <t>SPRINGER-VERLAG BERLIN</t>
  </si>
  <si>
    <t>HEIDELBERGER PLATZ 3, D-14197 BERLIN, GERMANY</t>
  </si>
  <si>
    <t>0302-9743</t>
  </si>
  <si>
    <t>1611-3349</t>
  </si>
  <si>
    <t>978-3-642-12078-7</t>
  </si>
  <si>
    <t>LECT NOTES COMPUT SC</t>
  </si>
  <si>
    <t>Computer Science, Information Systems; Computer Science, Software Engineering; Computer Science, Theory &amp; Methods</t>
  </si>
  <si>
    <t>BPW01</t>
  </si>
  <si>
    <t>WOS:000280121900029</t>
  </si>
  <si>
    <t>Thelwall, M; Wilkinson, D; Uppal, S</t>
  </si>
  <si>
    <t>Thelwall, Mike; Wilkinson, David; Uppal, Sukhvinder</t>
  </si>
  <si>
    <t>Data Mining Emotion in Social Network Communication: Gender Differences in MySpace</t>
  </si>
  <si>
    <t>COMPUTER-MEDIATED COMMUNICATION; BEHAVIOR; LANGUAGE</t>
  </si>
  <si>
    <t>Despite the rapid growth in social network sites and in data mining for emotion (sentiment analysis), little research has tied the two together, and none has had social science goals. This article examines the extent to which emotion is present in MySpace comments, using a combination of data mining and content analysis, and exploring age and gender. A random sample of 819 public comments to or from U.S. users was manually classified for strength of positive and negative emotion. Two thirds of the comments expressed positive emotion, but a minority (20%) contained negative emotion, confirming that MySpace is an extraordinarily emotion-rich environment. Females are likely to give and receive more positive comments than are males, but there is no difference for negative comments. It is thus possible that females are more successful social network site users partly because of their greater ability to textually harness positive affect.</t>
  </si>
  <si>
    <t>[Thelwall, Mike; Wilkinson, David; Uppal, Sukhvinder] Wolverhampton Univ, Stat Cybermetr Res Grp, Sch Comp &amp; Informat Technol, Wolverhampton WV1 1SB, England</t>
  </si>
  <si>
    <t>University of Wolverhampton</t>
  </si>
  <si>
    <t>Thelwall, M (corresponding author), Wolverhampton Univ, Stat Cybermetr Res Grp, Sch Comp &amp; Informat Technol, Wulfruna St, Wolverhampton WV1 1SB, England.</t>
  </si>
  <si>
    <t>m.thelwal@wlv.ac.uk; d.wilkinson@wlv.ac.uk; shinde08@hotmail.com</t>
  </si>
  <si>
    <t>Thelwall, Mike/C-1449-2013</t>
  </si>
  <si>
    <t>Thelwall, Mike/0000-0001-6065-205X</t>
  </si>
  <si>
    <t>European Union; CyberEmotions [231323]</t>
  </si>
  <si>
    <t>European Union(European Commission); CyberEmotions</t>
  </si>
  <si>
    <t>The work was supported by a European Union grant by the 7th Framework Programme, Theme 3: Science of complex systems for socially intelligent ICT. It is part of the CyberEmotions project (contract 231323).</t>
  </si>
  <si>
    <t>10.1002/asi.21180</t>
  </si>
  <si>
    <t>538AD</t>
  </si>
  <si>
    <t>WOS:000273155100015</t>
  </si>
  <si>
    <t>Holmes, S</t>
  </si>
  <si>
    <t>Holmes, Susan</t>
  </si>
  <si>
    <t>Methodological and ethical considerations in designing an Internet study of quality of life: A discussion paper</t>
  </si>
  <si>
    <t>INTERNATIONAL JOURNAL OF NURSING STUDIES</t>
  </si>
  <si>
    <t>Internet; Data collection; Methodological considerations; Ethical issues</t>
  </si>
  <si>
    <t>SPINAL-CORD INJURIES; WORLD-WIDE-WEB; ELECTRONIC MAIL; ISSUES; ONLINE; HEALTH; SUPPORT; NURSES; RIGOR; SEX</t>
  </si>
  <si>
    <t>Use of the Internet in research is a relatively new phenomenon offering a potentially valuable research resource that, although increasingly used, appears largely untapped in nursing and healthcare more generally. This paper discusses methodological and ethical issues that need consideration when designing an Internet-based study concluding that, in general, online research methods are simply adaptations of traditional methods of data collection. Issues such as the representativeness of the data and ethical concerns are discussed. It considers whether the ethical dilemmas faced by online researchers differ from those faced by those seeking to use other, more 'traditional' approaches. Using the example of a study that employed the Internet as a means of distributing questionnaires, this paper shows that this can be an efficient and effective means of gathering data from a geographically dispersed sample. Furthermore, since typewritten data is obtained in the same format from all respondents, the need for transcription and the potential for error are reduced potentially enhancing the quality of any such study. (C) 2008 Elsevier Ltd. All rights reserved.</t>
  </si>
  <si>
    <t>Canterbury Christ Church Univ, Fac Hlth &amp; Social Care, Canterbury CT1 1QU, Kent, England</t>
  </si>
  <si>
    <t>Canterbury Christ Church University</t>
  </si>
  <si>
    <t>Holmes, S (corresponding author), Canterbury Christ Church Univ, Fac Hlth &amp; Social Care, N Holmes Rd, Canterbury CT1 1QU, Kent, England.</t>
  </si>
  <si>
    <t>susan.holmes@canterbury.ac.uk</t>
  </si>
  <si>
    <t>0020-7489</t>
  </si>
  <si>
    <t>1873-491X</t>
  </si>
  <si>
    <t>INT J NURS STUD</t>
  </si>
  <si>
    <t>Int. J. Nurs. Stud.</t>
  </si>
  <si>
    <t>10.1016/j.ijnurstu.2008.08.004</t>
  </si>
  <si>
    <t>Nursing</t>
  </si>
  <si>
    <t>427JU</t>
  </si>
  <si>
    <t>WOS:000264776400011</t>
  </si>
  <si>
    <t>Sousa, CMP; Martinez-Lopez, FJ; Coelho, F</t>
  </si>
  <si>
    <t>Sousa, Carlos M. P.; Martinez-Lopez, Francisco J.; Coelho, Filipe</t>
  </si>
  <si>
    <t>The determinants of export performance: A review of the research in the literature between 1998 and 2005</t>
  </si>
  <si>
    <t>INTERNATIONAL JOURNAL OF MANAGEMENT REVIEWS</t>
  </si>
  <si>
    <t>MARKETING-STRATEGY; FIRM SIZE; COMPETITIVE ADVANTAGE; KNOWLEDGE DEVELOPMENT; CULTURAL DISTANCE; PSYCHIC DISTANCE; ORIENTATION; ANTECEDENTS; STANDARDIZATION; BEHAVIOR</t>
  </si>
  <si>
    <t>Considerable attention has been paid to the determinants of export performance. However, despite this research effort in identifying and examining the influence of such determinants, the literature is characterized by fragmentation and diversity, hindering theory development and practical advancement in the field. This paper attempts to review and synthesize the knowledge on the subject. As a result, this study reviews and evaluates 52 articles published between 1998 and 2005 to assess the determinants of export performance. The assessment reveals that: (a) more studies have been conducted outside the USA; (b) the majority of the studies focus on manufacturing firms, with relatively few studies examining the service sector; (c) the majority of the export studies continue to focus on small to medium-sized firms; (d) there is a continuous increase in the sample size; (e) despite the problems that may arise from the use of single informants, it seems that none of the studies reviewed here collected data from more than one informant in the firm; (f) an increasing number of studies have been using the export venture as the unit of analysis; (g) the level of statistical sophistication has improved; (h) the use of control and moderating variables in export performance studies has increased; (i) more studies have started to include the external environment in their models, including domestic market characteristics; and (j) market orientation as a key determinant of export performance emerges in this review. Finally, conclusions are drawn, along with some suggestions for further research.</t>
  </si>
  <si>
    <t>[Sousa, Carlos M. P.] Univ Coll Dublin, UCD Michael Smurfit Sch Business, Mkt Grp, Blackrock, County Dublin, Ireland; [Martinez-Lopez, Francisco J.] Univ Granada, Dept Mkt, E-18071 Granada, Spain; [Coelho, Filipe] Univ Coimbra, Fac Econ, P-3000 Coimbra, Portugal</t>
  </si>
  <si>
    <t>University College Dublin; University of Granada; Universidade de Coimbra</t>
  </si>
  <si>
    <t>Sousa, CMP (corresponding author), Univ Coll Dublin, UCD Michael Smurfit Sch Business, Mkt Grp, Blackrock, County Dublin, Ireland.</t>
  </si>
  <si>
    <t>carlos.sousa@ucd.ie</t>
  </si>
  <si>
    <t>Coelho, Filipe/U-1012-2019</t>
  </si>
  <si>
    <t>Coelho, Filipe/0000-0001-6067-4849; Sousa, Carlos M. P./0000-0003-3969-1147</t>
  </si>
  <si>
    <t>1460-8545</t>
  </si>
  <si>
    <t>1468-2370</t>
  </si>
  <si>
    <t>INT J MANAG REV</t>
  </si>
  <si>
    <t>Int. J. Manag. Rev.</t>
  </si>
  <si>
    <t>10.1111/j.1468-2370.2008.00232.x</t>
  </si>
  <si>
    <t>374RV</t>
  </si>
  <si>
    <t>WOS:000261062300003</t>
  </si>
  <si>
    <t>Rambocas</t>
  </si>
  <si>
    <t>JOURNAL OF MANAGEMENT ANALYTICS</t>
  </si>
  <si>
    <t>2327-0012</t>
  </si>
  <si>
    <t>2327-0039</t>
  </si>
  <si>
    <t>J MANAG ANAL</t>
  </si>
  <si>
    <t>J. Manag. Anal.</t>
  </si>
  <si>
    <t>APR 2</t>
  </si>
  <si>
    <t>Business; Management; Social Sciences, Mathematical Methods</t>
  </si>
  <si>
    <t>Business &amp; Economics; Mathematical Methods In Social Sciences</t>
  </si>
  <si>
    <t>LS6VM</t>
  </si>
  <si>
    <t>FEB 2020</t>
  </si>
  <si>
    <t>Berger, J; Humphreys, A; Ludwig, S; Moe, WW; Netzer, O; Schweidel, DA</t>
  </si>
  <si>
    <t>Berger, Jonah; Humphreys, Ashlee; Ludwig, Stephan; Moe, Wendy W.; Netzer, Oded; Schweidel, David A.</t>
  </si>
  <si>
    <t>Uniting the Tribes: Using Text for Marketing Insight</t>
  </si>
  <si>
    <t>computational linguistics; machine learning; marketing insight; interdisciplinary; natural language processing; text analysis; text mining</t>
  </si>
  <si>
    <t>WORD-OF-MOUTH; LINGUISTIC STYLE MATCHES; USER-GENERATED CONTENT; SOCIAL MEDIA; LANGUAGE USE; DYNAMICS; SENTIMENT; RATINGS; IMPACT; MODEL</t>
  </si>
  <si>
    <t>Words are part of almost every marketplace interaction. Online reviews, customer service calls, press releases, marketing communications, and other interactions create a wealth of textual data. But how can marketers best use such data? This article provides an overview of automated textual analysis and details how it can be used to generate marketing insights. The authors discuss how text reflects qualities of the text producer (and the context in which the text was produced) and impacts the audience or text recipient. Next, they discuss how text can be a powerful tool both for prediction and for understanding (i.e., insights). Then, the authors overview methodologies and metrics used in text analysis, providing a set of guidelines and procedures. Finally, they further highlight some common metrics and challenges and discuss how researchers can address issues of internal and external validity. They conclude with a discussion of potential areas for future work. Along the way, the authors note how textual analysis can unite the tribes of marketing. While most marketing problems are interdisciplinary, the field is often fragmented. By involving skills and ideas from each of the subareas of marketing, text analysis has the potential to help unite the field with a common set of tools and approaches.</t>
  </si>
  <si>
    <t>[Berger, Jonah] Univ Penn, Wharton Sch, Mkt, Philadelphia, PA 19104 USA; [Humphreys, Ashlee] Northwestern Univ, Medill Sch Journalism Media &amp; Integrated Mkt Comm, Evanston, IL 60208 USA; [Ludwig, Stephan] Univ Melbourne, Mkt, Melbourne, Vic, Australia; [Moe, Wendy W.] Univ Maryland, Masters Programs, College Pk, MD 20742 USA; [Moe, Wendy W.] Univ Maryland, Mkt, College Pk, MD 20742 USA; [Moe, Wendy W.] Univ Maryland, Smith Analyt Consortium, College Pk, MD 20742 USA; [Netzer, Oded] Columbia Univ, Columbia Business Sch, Business, New York, NY 10027 USA; [Schweidel, David A.] Emory Univ, Goizueta Business Sch, Mkt, Atlanta, GA 30322 USA</t>
  </si>
  <si>
    <t>University of Pennsylvania; Northwestern University; University of Melbourne; University System of Maryland; University of Maryland College Park; University System of Maryland; University of Maryland College Park; University System of Maryland; University of Maryland College Park; Columbia University; Emory University</t>
  </si>
  <si>
    <t>Berger, J (corresponding author), Univ Penn, Wharton Sch, Mkt, Philadelphia, PA 19104 USA.</t>
  </si>
  <si>
    <t>jberger@wharton.upenn.edu; a-humphreys@northwestern.edu; stephan.ludwig@unimelb.edu.au; wmoe@rhsmith.umd.edu; onetzer@gsb.columbia.edu; dschweidel@emory.edu</t>
  </si>
  <si>
    <t>Ludwig, Stephan/0000-0001-5894-6294</t>
  </si>
  <si>
    <t>10.1177/0022242919873106</t>
  </si>
  <si>
    <t>JV5FU</t>
  </si>
  <si>
    <t>WOS:000502391400001</t>
  </si>
  <si>
    <t>Liu, X; Lee, D; Srinivasan, K</t>
  </si>
  <si>
    <t>Liu, Xiao; Lee, Dokyun; Srinivasan, Kannan</t>
  </si>
  <si>
    <t>Large-Scale Cross-Category Analysis of Consumer Review Content on Sales Conversion Leveraging Deep Learning</t>
  </si>
  <si>
    <t>consumer purchase journey; deep learning; economic impact of text; product reviews; natural language processing; regression discontinuity in time</t>
  </si>
  <si>
    <t>WORD-OF-MOUTH; REGRESSION DISCONTINUITY DESIGNS; USER-GENERATED CONTENT; BOX-OFFICE; FORECASTING SALES; ONLINE REVIEWS; BIG DATA; PRODUCT; DYNAMICS; CHATTER</t>
  </si>
  <si>
    <t>How consumers use review content has remained opaque due to the unstructured nature of text and the lack of review-reading behavior data. The authors overcome this challenge by applying deep learning-based natural language processing on data that tracks individual-level review reading, searching, and purchasing behaviors on an e-commerce site to investigate how consumers use review content. They extract quality and price content from 500,000 reviews of 600 product categories and achieve two objectives. First, the authors describe consumers' review-content-reading behaviors. Although consumers do not read review content all the time, they do rely on it for products that are expensive or of uncertain quality. Second, the authors quantify the causal impact of read-review content on sales by using supervised deep learning to tag six theory-driven content dimensions and applying a regression discontinuity in time design. They find that aesthetics and price content significantly increase conversion across almost all product categories. Review content has a higher impact on sales when the average rating is higher, ratings variance is lower, the market is more competitive or immature, or brand information is not accessible. A counterfactual simulation suggests that reordering reviews based on content can have the same effect as a 1.6% price cut for boosting conversion.</t>
  </si>
  <si>
    <t>[Liu, Xiao] NYU, Mkt, Stern Sch Business, New York, NY 10003 USA; [Lee, Dokyun] Carnegie Mellon Univ, Business Analyt, Tepper Sch Business, Pittsburgh, PA 15213 USA; [Srinivasan, Kannan] Carnegie Mellon Univ, Mkt, Tepper Sch Business, Pittsburgh, PA 15213 USA</t>
  </si>
  <si>
    <t>New York University; Carnegie Mellon University; Carnegie Mellon University</t>
  </si>
  <si>
    <t>Liu, X (corresponding author), NYU, Mkt, Stern Sch Business, New York, NY 10003 USA.</t>
  </si>
  <si>
    <t>xliu@stern.nyu.edu; dokyun@cmu.edu; kannans@cmu.edu</t>
  </si>
  <si>
    <t>Liu, Xiao/ABH-6079-2020</t>
  </si>
  <si>
    <t>Liu, Xiao/0000-0002-7093-8534</t>
  </si>
  <si>
    <t>Marketing Science Institute; NET Institute</t>
  </si>
  <si>
    <t>The author(s) disclosed receipt of the following financial support for the research, authorship, and/or publication of this article: The authors gratefully acknowledge financial support from the Marketing Science Institute and NET Institute.</t>
  </si>
  <si>
    <t>10.1177/0022243719866690</t>
  </si>
  <si>
    <t>WOS:000500198400002</t>
  </si>
  <si>
    <t>NOV 2019</t>
  </si>
  <si>
    <t>Dotzel, T; Shankar, V</t>
  </si>
  <si>
    <t>Dotzel, Thomas; Shankar, Venkatesh</t>
  </si>
  <si>
    <t>The Relative Effects of Business-to-Business (vs. Business-to-Consumer) Service Innovations on Firm Value and Firm Risk: An Empirical Analysis</t>
  </si>
  <si>
    <t>B2B marketing; finance-marketing interface; innovation; machine learning; natural language processing; services; shareholder value; strategy</t>
  </si>
  <si>
    <t>PRODUCT INTRODUCTIONS; CUSTOMER SATISFACTION; STRATEGIES; INSIGHTS; CAPABILITIES; RETURNS; IMPACT; SALES</t>
  </si>
  <si>
    <t>Many firms introduce both business-to-business service innovations (B2B-SIs) and business-to-consumer service innovations (B2C-SIs) and need to better allocate their resources. However, they are unsure about B2B-Sls' effects on firm value or risk, especially relative to those of B2C-SIs. The authors address this problem by developing hypotheses that relate the number of B2B-Sls and B2C-Sls to firm value and firm risk together with the moderators (the number of product innovations and customer-focus innovations). To test the hypotheses, the authors develop and estimate a model using unique panel data of 2,263 Sls across 15 industries over eight years assembled from multiple data sources and controlling for firm- and market-specific factors, heterogeneity, and endogeneity. They analyze innovation announcements using natural language processing. The results show that B2B-SIs have a positive effect on firm value and an insignificant influence on firm risk. Importantly, the effect of a B2B-SI on firm value is significantly greater than that of a B2C-SI. Unlike B2C-SIs, the effect of B2B-SIs on firm value is greater when the firm has more product innovations. Surprisingly, unlike B2C-SIs, the effect of B2B-SIs on firm value is less positive when the SIs emphasize customers. These findings offer important insights about the relative value of B2B-SIs.</t>
  </si>
  <si>
    <t>[Dotzel, Thomas] Univ Nebraska Lincoln, Mkt, Lincoln, NE 68588 USA; [Shankar, Venkatesh] Texas A&amp;M Univ, Dept Mkt, Mays Business Sch, Mkt, College Stn, TX 77843 USA</t>
  </si>
  <si>
    <t>University of Nebraska System; University of Nebraska Lincoln; Texas A&amp;M University System; Texas A&amp;M University College Station; Mays Business School</t>
  </si>
  <si>
    <t>Dotzel, T (corresponding author), Univ Nebraska Lincoln, Mkt, Lincoln, NE 68588 USA.</t>
  </si>
  <si>
    <t>thomas.dotzel@unl.edu; vshankar@mays.tamu.edu</t>
  </si>
  <si>
    <t>Dotzel, Thomas/GXM-8939-2022; SHANKAR, VENKATESH/AAZ-1876-2020</t>
  </si>
  <si>
    <t>SHANKAR, VENKATESH/0000-0003-0080-2540</t>
  </si>
  <si>
    <t>10.1177/0022242919847221</t>
  </si>
  <si>
    <t>IR5AZ</t>
  </si>
  <si>
    <t>WOS:000481446700010</t>
  </si>
  <si>
    <t>AUG 2019</t>
  </si>
  <si>
    <t>P2V-MAP: Mapping Market Structures for Large Retail Assortments</t>
  </si>
  <si>
    <t>The authors propose a new, exploratory approach for analyzing market structures that leverages two recent methodological advances in natural language processing and machine learning. They customize a neural network language model to derive latent product attributes by analyzing the co-occurrences of products in shopping baskets. Applying dimensionality reduction to the latent attributes yields a two-dimensional product map. This method is well-suited to retailers because it relies on data that are readily available from their checkout systems and facilitates their analyses of cross-category product complementarity, in addition to within-category substitution. The approach has high usability because it is automated, is scalable and does not require a priori assumptions. Its results are easy to interpret and update as new market basket data are collected. The authors validate their approach both by conducting an extensive simulation study and by comparing their results with those of state-of-the-art, econometric methods for modeling product relationships. The application of this approach using data collected at a leading German grocery retailer underlines its usefulness and provides novel findings that are relevant to assortment-related decisions.</t>
  </si>
  <si>
    <t>INFORMATION SYSTEMS RESEARCH</t>
  </si>
  <si>
    <t>1047-7047</t>
  </si>
  <si>
    <t>1526-5536</t>
  </si>
  <si>
    <t>INFORM SYST RES</t>
  </si>
  <si>
    <t>Inf. Syst. Res.</t>
  </si>
  <si>
    <t>Information Science &amp; Library Science; Management</t>
  </si>
  <si>
    <t>Information Science &amp; Library Science; Business &amp; Economics</t>
  </si>
  <si>
    <t>Grewal, Dhruv/B-7264-2013; de Ruyter, Ko/AAA-9850-2021; Wetzels, Martin/AAA-9399-2019</t>
  </si>
  <si>
    <t>Green Accepted, Green Submitted, Green Published</t>
  </si>
  <si>
    <t>Probabilistic Topic Model for Hybrid Recommender Systems: A Stochastic Variational Bayesian Approach</t>
  </si>
  <si>
    <t>HF7JP</t>
  </si>
  <si>
    <t>Engineering; Operations Research &amp; Management Science</t>
  </si>
  <si>
    <t>IEEE Conference on Computer Vision and Pattern Recognition</t>
  </si>
  <si>
    <t>IEEE,CVF,IEEE Comp Soc</t>
  </si>
  <si>
    <t>1063-6919</t>
  </si>
  <si>
    <t>PROC CVPR IEEE</t>
  </si>
  <si>
    <t>de Ruyter, Ko/AAA-9850-2021; Wetzels, Martin/AAA-9399-2019; Grewal, Dhruv/B-7264-2013</t>
  </si>
  <si>
    <t>Liu, X; Singh, PV; Srinivasan, K</t>
  </si>
  <si>
    <t>Liu, Xiao; Singh, Param Vir; Srinivasan, Kannan</t>
  </si>
  <si>
    <t>A Structured Analysis of Unstructured Big Data by Leveraging Cloud Computing</t>
  </si>
  <si>
    <t>big data; cloud computing; text mining; user generated content; Twitter; Google Trends</t>
  </si>
  <si>
    <t>WORD-OF-MOUTH; USER-GENERATED CONTENT; BOX-OFFICE; PANEL-DATA; GMM ESTIMATION; DYNAMICS; REVIEWS; CHATTER; IMPACT; MATTER</t>
  </si>
  <si>
    <t>Accurate forecasting of sales/consumption is particularly important for marketing because this information can be used to adjust marketing budget allocations and overall marketing strategies. Recently, online social platforms have produced an unparalleled amount of data on consumer behavior. However, two challenges have limited the use of these data in obtaining meaningful business marketing insights. First,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volume of or sentiments in Tweets, the information content of Tweets and their timeliness significantly improve forecasting accuracy. Our method endogenously summarizes the information in Tweets. The advantage of our method is that the classification of the Tweets is based on what is in the Tweets rather than preconceived topics that may not be relevant. We also find that, by contrast to Twitter, other online data (e.g., Google Trends, Wikipedia views, IMDB reviews, and Huffington Post news) are very weak predictors of TV show demand because users tweet about TV shows before, during, and after a TV show, whereas Google searches, Wikipedia views, IMDB reviews, and news posts typically lag behind the show.</t>
  </si>
  <si>
    <t>[Liu, Xiao] NYU, Stern Sch Business, 550 1St Ave, New York, NY 10012 USA; [Singh, Param Vir] Carnegie Mellon Univ, Pittsburgh, PA 15213 USA; [Srinivasan, Kannan] Carnegie Mellon Univ, Tepper Sch Business, Pittsburgh, PA 15213 USA</t>
  </si>
  <si>
    <t>Liu, X (corresponding author), NYU, Stern Sch Business, 550 1St Ave, New York, NY 10012 USA.</t>
  </si>
  <si>
    <t>xliu@stern.nyu.edu; psidhu@cmu.edu; kannans@cmu.edu</t>
  </si>
  <si>
    <t>Liu, Xiao/0000-0002-7093-8534; singh, param/0000-0002-0211-7849</t>
  </si>
  <si>
    <t>10.1287/mksc.2015.0972</t>
  </si>
  <si>
    <t>WOS:000377348400003</t>
  </si>
  <si>
    <t>National Natural Science Foundation of China(National Natural Science Foundation of China (NSFC))</t>
  </si>
  <si>
    <t>Manning, Christopher/AAM-9535-2020</t>
  </si>
  <si>
    <t>Manning, Christopher/0000-0001-6155-649X</t>
  </si>
  <si>
    <t>Archak, N; Ghose, A; Ipeirotis, PG</t>
  </si>
  <si>
    <t>Archak, Nikolay; Ghose, Anindya; Ipeirotis, Panagiotis G.</t>
  </si>
  <si>
    <t>Deriving the Pricing Power of Product Features by Mining Consumer Reviews</t>
  </si>
  <si>
    <t>Bayesian learning; consumer reviews; discrete choice; electronic commerce; electronic markets; opinion mining; sentiment analysis; user-generated content; text mining; econometrics</t>
  </si>
  <si>
    <t>WORD-OF-MOUTH; CONJOINT-ANALYSIS; BOX-OFFICE; PANEL-DATA; INFORMATION; DYNAMICS; PRICES; SALES</t>
  </si>
  <si>
    <t>Increasingly, user-generated product reviews serve as a valuable source of information for customers making product choices online. The existing literature typically incorporates the impact of product reviews on sales based on numeric variables representing the valence and volume of reviews. In this paper, we posit that the information embedded in product reviews cannot be captured by a single scalar value. Rather, we argue that product reviews are multifaceted, and hence the textual content of product reviews is an important determinant of consumers' choices, over and above the valence and volume of reviews. To demonstrate this, we use text mining to incorporate review text in a consumer choice model by decomposing textual reviews into segments describing different product features. We estimate our model based on a unique data set from Amazon containing sales data and consumer review data for two different groups of products (digital cameras and camcorders) over a 15-month period. We alleviate the problems of data sparsity and of omitted variables by providing two experimental techniques: clustering rare textual opinions based on pointwise mutual information and using externally imposed review semantics. This paper demonstrates how textual data can be used to learn consumers' relative preferences for different product features and also how text can be used for predictive modeling of future changes in sales.</t>
  </si>
  <si>
    <t>[Archak, Nikolay; Ghose, Anindya; Ipeirotis, Panagiotis G.] NYU, Leonard N Stern Sch Business, New York, NY 10012 USA</t>
  </si>
  <si>
    <t>Archak, N (corresponding author), NYU, Leonard N Stern Sch Business, 550 1St Ave, New York, NY 10012 USA.</t>
  </si>
  <si>
    <t>narchak@stern.nyu.edu; aghose@stern.nyu.edu; panos@stern.nyu.edu</t>
  </si>
  <si>
    <t>Microsoft Live Labs Search Award; Microsoft Virtual Earth Award; National Science Foundation [IIS-0643847, IIS-0643846]</t>
  </si>
  <si>
    <t>Microsoft Live Labs Search Award(Microsoft); Microsoft Virtual Earth Award(Microsoft); National Science Foundation(National Science Foundation (NSF))</t>
  </si>
  <si>
    <t>The authors thank Rhong Zheng for assistance with data collection. They offer deep thanks to Kenneth Reisman and his company Pluribo.com for providing them with an ontology construction tool. They thank seminar participants at Microsoft Research, IBM Research, Yahoo Research, Carnegie Mellon University, Columbia University, New York University, University of Utah, SCECR 2008, INFORMS-CIST 2008, and the 2008 NET Institute Conference for helpful comments. This work was supported by a 2006 Microsoft Live Labs Search Award, a 2007 Microsoft Virtual Earth Award, and by National Science Foundation CAREER Grants IIS-0643847 and IIS-0643846. Any opinions, findings, and conclusions expressed in this material are those of the authors and do not necessarily reflect the views of the Microsoft Corporation or of the National Science Foundation.</t>
  </si>
  <si>
    <t>10.1287/mnsc.1110.1370</t>
  </si>
  <si>
    <t>802JL</t>
  </si>
  <si>
    <t>WOS:000293506000009</t>
  </si>
  <si>
    <t>Computer Science, Artificial Intelligence; Computer Science, Interdisciplinary Applications; Linguistics</t>
  </si>
  <si>
    <t>Computer Science; Linguistics</t>
  </si>
  <si>
    <t>Ruytenbeek, N</t>
  </si>
  <si>
    <t>Ruytenbeek, Nicolas</t>
  </si>
  <si>
    <t>The Discourse of Customer Service Tweets: Planes, Trains and Automated Text Analysis</t>
  </si>
  <si>
    <t>JOURNAL OF PRAGMATICS</t>
  </si>
  <si>
    <t>[Ruytenbeek, Nicolas] Katholieke Univ Leuven, Linguist Res Unit, B-2000 Antwerp, Belgium</t>
  </si>
  <si>
    <t>KU Leuven</t>
  </si>
  <si>
    <t>Ruytenbeek, N (corresponding author), Katholieke Univ Leuven, Linguist Res Unit, B-2000 Antwerp, Belgium.</t>
  </si>
  <si>
    <t>Nicolas.Ruytenbeek@kuleuven.be</t>
  </si>
  <si>
    <t>0378-2166</t>
  </si>
  <si>
    <t>1879-1387</t>
  </si>
  <si>
    <t>J PRAGMATICS</t>
  </si>
  <si>
    <t>J. Pragmat.</t>
  </si>
  <si>
    <t>10.1016/j.pragma.2023.01.004</t>
  </si>
  <si>
    <t>JAN 2023</t>
  </si>
  <si>
    <t>8O1YN</t>
  </si>
  <si>
    <t>2023-03-16</t>
  </si>
  <si>
    <t>WOS:000925637600001</t>
  </si>
  <si>
    <t>Hendrickx, J; Van Remoortere, A</t>
  </si>
  <si>
    <t>Hendrickx, Jonathan; Van Remoortere, Annelien</t>
  </si>
  <si>
    <t>Exploring the link between media concentration and news content diversity using automated text analysis</t>
  </si>
  <si>
    <t>JOURNALISM</t>
  </si>
  <si>
    <t>Article; Early Access</t>
  </si>
  <si>
    <t>Media concentration; media diversity; news diversity; content diversity; content analysis</t>
  </si>
  <si>
    <t>OWNERSHIP; PLURALISM; COVERAGE; HOMOGENIZATION; CRISIS</t>
  </si>
  <si>
    <t>In this article, we explore the relationship between increased media market concentration and its effects on the diversity of news content. We assemble a dataset of 1,419,479 print and online 'hard news' articles published between 2018 and 2021 by the four largest newspapers in Flanders (Belgium). These include two popular and two quality titles owned by two rival media companies, which only emerged in recent years after a string of mergers and takeovers which fundamentally changed ownership diversity in the small yet increasingly concentrated Flemish media market. In our analysis, we compare articles for their similarity between titles belonging to the same company using automated text comparisons. We find that content is growing increasingly similar and expand the existing body of research on the link between media concentration and news (content) diversity in Flanders as well as beyond.</t>
  </si>
  <si>
    <t>[Hendrickx, Jonathan] Vrije Univ Brussel, Ixelles, Belgium; [Van Remoortere, Annelien] Wageningen Univ, Wageningen, Netherlands; [Hendrickx, Jonathan] Vrije Univ Brussel, Journalism Studies, Imec SMIT, Pl Laan 9, B-1040 Ixelles, Belgium</t>
  </si>
  <si>
    <t>Vrije Universiteit Brussel; Wageningen University &amp; Research; Vrije Universiteit Brussel</t>
  </si>
  <si>
    <t>Hendrickx, J (corresponding author), Vrije Univ Brussel, Journalism Studies, Imec SMIT, Pl Laan 9, B-1040 Ixelles, Belgium.</t>
  </si>
  <si>
    <t>Jonathan.hendrickx@vub.be</t>
  </si>
  <si>
    <t>Hendrickx, Jonathan/0000-0003-2802-2802</t>
  </si>
  <si>
    <t>1464-8849</t>
  </si>
  <si>
    <t>1741-3001</t>
  </si>
  <si>
    <t>Journalism</t>
  </si>
  <si>
    <t>10.1177/14648849221136946</t>
  </si>
  <si>
    <t>NOV 2022</t>
  </si>
  <si>
    <t>6F9ID</t>
  </si>
  <si>
    <t>WOS:000884373200001</t>
  </si>
  <si>
    <t>van Loon, A</t>
  </si>
  <si>
    <t>van Loon, Austin</t>
  </si>
  <si>
    <t>Three families of automated text analysis</t>
  </si>
  <si>
    <t>SOCIAL SCIENCE RESEARCH</t>
  </si>
  <si>
    <t>Text as data; Automated text analysis; Text analysis; Social science</t>
  </si>
  <si>
    <t>TOPIC MODELS; LANGUAGE; CULTURE; WORDS; TWITTER</t>
  </si>
  <si>
    <t>Since the beginning of this millennium, data in the form of human-generated text in a machinereadable format has become increasingly available to social scientists, presenting a unique window into social life. However, harnessing vast quantities of this highly unstructured data in a systematic way presents a unique combination of analytical and methodological challenges. Luckily, our understanding of how to overcome these challenges has also developed greatly over this same period. In this article, I present a novel typology of the methods social scientists have used to analyze text data at scale in the interest of testing and developing social theory. I describe three families of methods: analyses of (1) term frequency, (2) document structure, and (3) semantic similarity. For each family of methods, I discuss their logical and statistical foundations, analytical strengths and weaknesses, as well as prominent variants and applications.</t>
  </si>
  <si>
    <t>[van Loon, Austin] Stanford Univ, Stanford, CA 94305 USA</t>
  </si>
  <si>
    <t>van Loon, A (corresponding author), Stanford Univ, Stanford, CA 94305 USA.</t>
  </si>
  <si>
    <t>avanloon@stanford.edu</t>
  </si>
  <si>
    <t>van Loon, Austin/0000-0002-9565-7392</t>
  </si>
  <si>
    <t>0049-089X</t>
  </si>
  <si>
    <t>1096-0317</t>
  </si>
  <si>
    <t>SOC SCI RES</t>
  </si>
  <si>
    <t>Soc. Sci. Res.</t>
  </si>
  <si>
    <t>10.1016/j.ssresearch.2022.102798</t>
  </si>
  <si>
    <t>9A2SR</t>
  </si>
  <si>
    <t>WOS:000933913400011</t>
  </si>
  <si>
    <t>He, JL</t>
  </si>
  <si>
    <t>He, Jialan</t>
  </si>
  <si>
    <t>The discourse of customer service tweets: Planes, trains and automated text analysis</t>
  </si>
  <si>
    <t>ENGLISH FOR SPECIFIC PURPOSES</t>
  </si>
  <si>
    <t>[He, Jialan] Zhejiang Gongshang Univ, Sch Foreign Languages, 18 Xuezheng St,Xiasha Campus, Hangzhou 310018, Zhejiang, Peoples R China</t>
  </si>
  <si>
    <t>Zhejiang Gongshang University</t>
  </si>
  <si>
    <t>He, JL (corresponding author), Zhejiang Gongshang Univ, Sch Foreign Languages, 18 Xuezheng St,Xiasha Campus, Hangzhou 310018, Zhejiang, Peoples R China.</t>
  </si>
  <si>
    <t>jialan.he@outlook.com</t>
  </si>
  <si>
    <t>National Planning Of fice of Philosophy and Social Sciences, P. R. China [18BYY221]</t>
  </si>
  <si>
    <t>National Planning Of fice of Philosophy and Social Sciences, P. R. China</t>
  </si>
  <si>
    <t>Acknowledgements This paper is sponsored by the research grant from the National Planning Of fice of Philosophy and Social Sciences, P. R. China (18BYY221) .</t>
  </si>
  <si>
    <t>0889-4906</t>
  </si>
  <si>
    <t>1873-1937</t>
  </si>
  <si>
    <t>ENGL SPECIF PURP</t>
  </si>
  <si>
    <t>Engl. Specif. Purp.</t>
  </si>
  <si>
    <t>10.1016/j.esp.2022.07.005</t>
  </si>
  <si>
    <t>4W9UW</t>
  </si>
  <si>
    <t>WOS:000860500700001</t>
  </si>
  <si>
    <t>Boegershausen, J; Datta, H; Borah, A; Stephen, AT</t>
  </si>
  <si>
    <t>Boegershausen, Johannes; Datta, Hannes; Borah, Abhishek; Stephen, Andrew T.</t>
  </si>
  <si>
    <t>Fields of Gold: Scraping Web Data for Marketing Insights</t>
  </si>
  <si>
    <t>web scraping; application programming interface; API; crawling; validity; user-generated content; social media; big data</t>
  </si>
  <si>
    <t>WORD-OF-MOUTH; SOCIAL MEDIA; ONLINE REVIEWS; BIG DATA; CUSTOMERS; SENTIMENT; CONSUMERS; INTERNET; DEMAND; PRICES</t>
  </si>
  <si>
    <t>Marketing scholars increasingly use web scraping and application programming interfaces (APIs) to collect data from the internet. Yet, despite the widespread use of such web data, the idiosyncratic and sometimes insidious challenges in its collection have received limited attention. How can researchers ensure that the data sets generated via web scraping and APIs are valid? While existing resources emphasize technical details of extracting web data, the authors propose a novel methodological framework focused on enhancing its validity. In particular, the framework highlights how addressing validity concerns requires the joint consideration of idiosyncratic technical and legal/ethical questions along the three stages of collecting web data: selecting data sources, designing the data collection, and extracting the data. The authors further review more than 300 articles using web data published in the top five marketing journals and offer a typology of how web data have advanced marketing thought. The article concludes with directions for future research to identify promising web data sources and embrace novel approaches for using web data to capture and describe evolving marketplace realities.</t>
  </si>
  <si>
    <t>[Boegershausen, Johannes] Erasmus Univ, Rotterdam Sch Management, Mkt, Rotterdam, Netherlands; [Datta, Hannes] Tilburg Univ, Mkt, Tilburg, Netherlands; [Borah, Abhishek] INSEAD, Mkt, Fontainebleau, France; [Stephen, Andrew T.] Univ Oxford, Said Business Sch, Mkt, Oxford, England; [Stephen, Andrew T.] Univ Oxford, Said Business Sch, Res, Oxford, England</t>
  </si>
  <si>
    <t>Erasmus University Rotterdam; Tilburg University; INSEAD Business School; University of Oxford; University of Oxford</t>
  </si>
  <si>
    <t>Boegershausen, J (corresponding author), Erasmus Univ, Rotterdam Sch Management, Mkt, Rotterdam, Netherlands.</t>
  </si>
  <si>
    <t>boegershausen@rsm.nl; h.datta@tilburguniversity.edu; abhishek.borah@insead.edu; andrew.stephen@sbs.ox.ac.uk</t>
  </si>
  <si>
    <t>Boegershausen, Johannes/0000-0002-1429-9344; Datta, Hannes/0000-0002-8723-6002</t>
  </si>
  <si>
    <t>Marketing Science Institute [4000678]; Dutch Research Council (NWO) [451-17-028]</t>
  </si>
  <si>
    <t>Marketing Science Institute; Dutch Research Council (NWO)(Netherlands Organization for Scientific Research (NWO))</t>
  </si>
  <si>
    <t>The author(s) disclosed receipt of the following financial support for the research, authorship, and/or publication of this article: This work was supported by the Marketing Science Institute (grant #4000678) and the Dutch Research Council (NWO #451-17-028).</t>
  </si>
  <si>
    <t>10.1177/00222429221100750</t>
  </si>
  <si>
    <t>3M3FI</t>
  </si>
  <si>
    <t>WOS:000835347000001</t>
  </si>
  <si>
    <t>Wang, Y; Qin, MS; Luo, XM; Kou, Y</t>
  </si>
  <si>
    <t>Wang, Yang; Qin, Marco Shaojun; Luo, Xueming; Kou, Yu (Eric)</t>
  </si>
  <si>
    <t>Frontiers: How Support for Black Lives Matter Impacts Consumer Responses on Social Media</t>
  </si>
  <si>
    <t>Black Lives Matter (BLM); social media; brand management; causal inference; machine learning</t>
  </si>
  <si>
    <t>CORPORATE; RESPONSIBILITY</t>
  </si>
  <si>
    <t>We scrutinize the direct and moderated impact of brands' support for Black Lives Matter (BLM) on consumer responses. Our empirical strategy exploits Blackout Tuesday as a natural experiment in which BLM support occurred on Instagram (treated platform) but not on Twitter (control platform) to perform a within-brand crossplatform difference-in-differences (DID) analysis. We also combine econometric models with machine learning techniques to analyze the unstructured data of the social media content. Based on a unique multiindustry, multiyear, and multiplatform data set of 435 major brands and 396,988 social media posts, we find a negative impact of BLM support on consumer responses, such as followers and likes. Furthermore, our analyses uncover a multifaceted set of heterogeneous DID effects across brands. (1) Although lone-wolf BLM support leads to negligible effects, large-scale BLM support from many brands can lead to strong negative effects (i.e., the bandwagon effect). (2) Posting self-promotional content exacerbates the negative effects of BLM support. (3) Historical prosocial posting on social media attenuates the negative effects. (4) Brands with socially oriented missions suffer less from the negative effects. (5) Customers' political affiliation also matters; the negative effects of BLM support are amplified/attenuated for brands with mostly Republican/Democratic customers. Additionally, (6) slacktivism (showing BLM support in words but without financial donations) can mitigate the negative effects for brands with mostly Republican consumers but amplify the negative effects for brands with mostly Democratic consumers.</t>
  </si>
  <si>
    <t>[Wang, Yang; Qin, Marco Shaojun; Kou, Yu (Eric)] Temple Univ, Fox Sch Business, Mkt, Philadelphia, PA 19122 USA; [Luo, Xueming] Temple Univ, Fox Sch Business, Mkt Strategy &amp; Management Informat Syst, Philadelphia, PA 19122 USA</t>
  </si>
  <si>
    <t>Pennsylvania Commonwealth System of Higher Education (PCSHE); Temple University; Pennsylvania Commonwealth System of Higher Education (PCSHE); Temple University</t>
  </si>
  <si>
    <t>Luo, XM (corresponding author), Temple Univ, Fox Sch Business, Mkt Strategy &amp; Management Informat Syst, Philadelphia, PA 19122 USA.</t>
  </si>
  <si>
    <t>yangwang@temple.edu; shaojun.qin@temple.edu; xueming.luo@temple.edu; yu.kou@temple.edu</t>
  </si>
  <si>
    <t>Qin, Shaojun/0000-0002-2787-5929; KOU, YU (Eric)/0000-0002-5344-9819</t>
  </si>
  <si>
    <t>10.1287/mksc.2022.1372</t>
  </si>
  <si>
    <t>AUG 2022</t>
  </si>
  <si>
    <t>3N6GR</t>
  </si>
  <si>
    <t>WOS:000836245500001</t>
  </si>
  <si>
    <t>Charlesworth, TES; Caliskan, A; Banaji, MR</t>
  </si>
  <si>
    <t>Charlesworth, Tessa E. S.; Caliskan, Aylin; Banaji, Mahzarin R.</t>
  </si>
  <si>
    <t>Historical representations of social groups across 200 years of word embeddings from Google Books</t>
  </si>
  <si>
    <t>attitude change; natural language processing; stereotype change; word embeddings</t>
  </si>
  <si>
    <t>RACIAL STEREOTYPES; LANGUAGE</t>
  </si>
  <si>
    <t>Using word embeddings from 850 billion words in English-language Google Books, we provide an extensive analysis of historical change and stability in social group representations (stereotypes) across a long timeframe (from 1800 to 1999), for a large number of social group targets (Black, White, Asian, Irish, Hispanic, Native American, Man, Woman, Old, Young, Fat, Thin, Rich, Poor), and their emergent, bottom-up associations with 14,000 words and a subset of 600 traits. The results provide a nuanced picture of change and persistence in stereotypes across 200 y. Change was observed in the top-associated words and traits: Whether analyzing the top 10 or 50 associates, at least 50% of top associates changed across successive decades. Despite this changing content of top-associated words, the average valence (positivity/negativity) of these top stereotypes was generally persistent. Ultimately, through advances in the availability of historical word embeddings, this study offers a comprehensive characterization of both change and persistence in social group representations as revealed through books of the English-speaking world from 1800 to 1999.</t>
  </si>
  <si>
    <t>[Charlesworth, Tessa E. S.; Banaji, Mahzarin R.] Harvard Univ, Dept Psychol, Cambridge, MA 02138 USA; [Caliskan, Aylin] Univ Washington, Informat Sch, Seattle, WA 98195 USA</t>
  </si>
  <si>
    <t>Harvard University; University of Washington; University of Washington Seattle</t>
  </si>
  <si>
    <t>Banaji, MR (corresponding author), Harvard Univ, Dept Psychol, Cambridge, MA 02138 USA.</t>
  </si>
  <si>
    <t>mahzarin_banaji@haryard.edu</t>
  </si>
  <si>
    <t>Harvard Mind Brain Behavior Inter-Faculty Initiative; Foundations of Human Behavior; Hao Family Inequality in America Support Fund</t>
  </si>
  <si>
    <t>This research was supported by the Harvard Mind Brain Behavior Inter-Faculty Initiative, the Foundations of Human Behavior, and the Hao Family Inequality in America Support Fund awarded to M.R.B. and T.E.S.C. We are grateful to Wil Cunningham, Dan Hoyer, and Yoav Rabinovich for feedback on earlier versions of this manuscript.</t>
  </si>
  <si>
    <t>JUL 12</t>
  </si>
  <si>
    <t>e2121798119</t>
  </si>
  <si>
    <t>10.1073/pnas.2121798119</t>
  </si>
  <si>
    <t>4O8XO</t>
  </si>
  <si>
    <t>WOS:000854977300013</t>
  </si>
  <si>
    <t>Goldfarb, A; Tucker, C; Wang, YW</t>
  </si>
  <si>
    <t>Goldfarb, Avi; Tucker, Catherine; Wang, Yanwen</t>
  </si>
  <si>
    <t>Conducting Research in Marketing with Quasi-Experiments</t>
  </si>
  <si>
    <t>quasi-experiments; marketing methods; econometrics</t>
  </si>
  <si>
    <t>REGRESSION DISCONTINUITY DESIGNS; IN-DIFFERENCES; SMALL NUMBER; INFERENCE; IDENTIFICATION; VARIABLES; SALES; COMPENSATION; DIFFERENCE; BOOTSTRAP</t>
  </si>
  <si>
    <t>This article aims to broaden the understanding of quasi-experimental methods among marketing scholars and those who read their work by describing the underlying logic and set of actions that make their work convincing. The purpose of quasi-experimental methods is, in the absence of experimental variation, to determine the presence of a causal relationship. First, the authors explore how to identify settings and data where it is interesting to understand whether an action causally affects a marketing outcome. Second, they outline how to structure an empirical strategy to identify a causal empirical relationship. The article details the application of various methods to identify how an action affects an outcome in marketing, including difference-in-differences, regression discontinuity, instrumental variables, propensity score matching, synthetic control, and selection bias correction. The authors emphasize the importance of clearly communicating the identifying assumptions underlying the assertion of causality. Last, they explain how exploring the behavioral mechanism-whether individual, organizational, or market level-can actually reinforce arguments of causality.</t>
  </si>
  <si>
    <t>[Goldfarb, Avi] Univ Toronto, Rotman Sch Management, Rotman Chair Artificial Intelligence &amp; Healthcare, Mkt, Toronto, ON, Canada; [Goldfarb, Avi; Tucker, Catherine] NBER, Cambridge, MA 02138 USA; [Tucker, Catherine] MIT, Management Sci, Sloan Sch Management, Cambridge, MA 02139 USA; [Tucker, Catherine] MIT, Mkt, Sloan Sch Management, Cambridge, MA 02139 USA; [Wang, Yanwen] Univ British Columbia, Mkt, Mkt &amp; Behav Sci Div, Sauder Sch Business, Vancouver, BC, Canada</t>
  </si>
  <si>
    <t>University of Toronto; National Bureau of Economic Research; Massachusetts Institute of Technology (MIT); Massachusetts Institute of Technology (MIT); University of British Columbia</t>
  </si>
  <si>
    <t>Goldfarb, A (corresponding author), Univ Toronto, Rotman Sch Management, Rotman Chair Artificial Intelligence &amp; Healthcare, Mkt, Toronto, ON, Canada.;Goldfarb, A (corresponding author), NBER, Cambridge, MA 02138 USA.</t>
  </si>
  <si>
    <t>agoldfarb@rotman.utoronto.ca; cetucker@mit.edu; yanwen.wang@sauder.ubc.ca</t>
  </si>
  <si>
    <t>/0000-0002-1847-4832</t>
  </si>
  <si>
    <t>10.1177/00222429221082977</t>
  </si>
  <si>
    <t>0F6CB</t>
  </si>
  <si>
    <t>hybrid, Green Published</t>
  </si>
  <si>
    <t>WOS:000777444100001</t>
  </si>
  <si>
    <t>Reisenbichler, M; Reutterer, T; Schweidel, DA; Dan, D</t>
  </si>
  <si>
    <t>Reisenbichler, Martin; Reutterer, Thomas; Schweidel, David A.; Dan, Daniel</t>
  </si>
  <si>
    <t>Frontiers: Supporting Content Marketing with Natural Language Generation</t>
  </si>
  <si>
    <t>SEO; content marketing; natural language generation; transfer learning</t>
  </si>
  <si>
    <t>SEARCH ENGINE OPTIMIZATION; ARTIFICIAL-INTELLIGENCE</t>
  </si>
  <si>
    <t>Advances in natural language generation (NLG) have facilitated technologies such as digital voice assistants and chatbots. in this research, we demonstrate how NLG can support content marketing by using it to draft content for the landing page of a website in search engine optimization (SEO). Traditional SEO projects rely on hand-crafted content that is both time consuming and costly to produce. To address the costs associated with producing SEO content, we propose a semiautomated methodology using state-of-the-art NLG and demonstrate that the content-writing machine can create unique, human-like SEO content. As part of our research, we demonstrate that although the machine-generated content is designed to perform well in search engines, the role of the human editor remains essential. Comparing the resulting content with human refinement to traditional human-written SEO texts, we find that the revised, machine-generated texts are virtually indistinguishable from those created by SEO experts along a number of human perceptual dimensions. We conduct field experiments in two industries to demonstrate our approach and show that the resulting SEO content outperforms that created by human writers (including SEO experts) in search engine rankings. Additionally, we illustrate how our approach can substantially reduce the production costs associated with content marketing, increasing their return on investment.</t>
  </si>
  <si>
    <t>[Reisenbichler, Martin; Reutterer, Thomas] Vienna Univ Econ &amp; Business, Dept Mkt, A-1020 Vienna, Austria; [Schweidel, David A.] Emory Univ, Goizueta Business Sch, Mkt Area, Atlanta, GA 30322 USA; [Dan, Daniel] Modul Univ, Sch Appl Data Sci, A-1190 Vienna, Austria</t>
  </si>
  <si>
    <t>Vienna University of Economics &amp; Business; Emory University</t>
  </si>
  <si>
    <t>Reisenbichler, M (corresponding author), Vienna Univ Econ &amp; Business, Dept Mkt, A-1020 Vienna, Austria.</t>
  </si>
  <si>
    <t>martin.reisenbichter@wu.ac.at; thomas.reutterer@wu.ac.at; dschweidel@emory.edu; daniel.dan@modul.ac.at</t>
  </si>
  <si>
    <t>Dan, Daniel/0000-0002-7251-7899</t>
  </si>
  <si>
    <t>10.1287/mksc.2022.1354</t>
  </si>
  <si>
    <t>1T0PR</t>
  </si>
  <si>
    <t>WOS:000804442500002</t>
  </si>
  <si>
    <t>Cognitive-Affective Styles of Biden and Trump Supporters: An Automated Text Analysis Study</t>
  </si>
  <si>
    <t>cognitive-affective styles; political preferences; LIWC; AutoIC; FFM</t>
  </si>
  <si>
    <t>CONSERVATIVES; PERSONALITY; LANGUAGE; LIBERALS; EXTREME; HAPPIER</t>
  </si>
  <si>
    <t>Are conservatives more simple-minded and happier than liberals? To revisit this question, 1,518 demographically diverse participants (52% females) were recruited from an online participant-sourcing platform and asked to write a narrative about the upcoming 2020 U.S. Presidential Election as well as complete self and candidates' ratings of personality. The narratives were analyzed using three well-validated text analysis programs. As expected, extremely enthusiastic Trump supporters used less cognitively complex and more confident language than both their less enthusiastic counterparts and Biden supporters. Trump supporters also used more positive affective language than Biden supporters. More simplistic and categorical modes of thinking as well as positive emotional tone were also associated with positive perceptions of Trump's, but not Biden's personality. Dialectical complexity and positive emotional tone accounted for significant unique variance in predicting appraisals of Trump's trustworthiness/integrity even after controlling for demographic variables, self-ratings of conscientiousness and openness, and political affiliation.</t>
  </si>
  <si>
    <t>[Abe, Jo Ann A.] Southern Connecticut State Univ, New Haven, CT 06515 USA</t>
  </si>
  <si>
    <t>Abe, JAA (corresponding author), Southern Connecticut State Univ, Dept Psychol, 501 Crescent St, New Haven, CT 06515 USA.</t>
  </si>
  <si>
    <t>CSU-AAUP Faculty Research Grant Award; SCSU Faculty Creative Activity Research Grant</t>
  </si>
  <si>
    <t>This study was supported in part by a CSU-AAUP Faculty Research Grant Award and a SCSU Faculty Creative Activity Research Grant.</t>
  </si>
  <si>
    <t>10.1177/19485506221082737</t>
  </si>
  <si>
    <t>APR 2022</t>
  </si>
  <si>
    <t>8Q0MY</t>
  </si>
  <si>
    <t>WOS:000780133200001</t>
  </si>
  <si>
    <t>Kitova, DA; Zhuravlev, AL</t>
  </si>
  <si>
    <t>Kitova, D. A.; Zhuravlev, A. L.</t>
  </si>
  <si>
    <t>AUTOMATED TEXT ANALYSIS IN PSYCHOLOGY: STATE AND PROSPECTS OF WORLD RESEARCH11</t>
  </si>
  <si>
    <t>PSIKHOLOGICHESKII ZHURNAL</t>
  </si>
  <si>
    <t>Internet; social networks; digital footprints; automated analysis; branches of psychology; research trends; social phenomena</t>
  </si>
  <si>
    <t>TWITTER; SCIENCE; INFORMATION; HOTSPOTS; TOPICS; WEB</t>
  </si>
  <si>
    <t>The paper notes that the widespread dissemination of information technologies actualizes the problem of transition to the automated analysis of digital traces on the Internet, presented in text formats. It is shown how this kind of analysis is used to identify various psychological properties and states of a person (individual social groups and society as a whole). It is noted that the development of digital footprint analysis technologies is characterized by two main trends. The first is related to the processing of objective data of an informational nature, which is useful for correlating them with the subjective characteristics of users. The second is associated with the direct search for subjective (psychological) information, which requires the use of laborious information and psychological procedures. As examples of this kind of research, the following works are cited: analysis of the dynamics of the most pressing problems in psychological science and in everyday communication of scientists or users of social networks; identification of psychological characteristics of a person and gender characteristics; predicting behavioral effects (exam results or new topics in psychology), etc. It also provides examples of the use of information technology analysis in various fields of psychology - economic, legal, clinical, as well as in the psychology of management, labor, art, media, etc. It is assumed that the presented analysis of foreign studies will be useful for the development of Russian psychology, and the study of digital traces in psychology can be partially qualified as a paradigm shift of the empirical study of social phenomena (with its own advantages and problems). In addition, automated methods can be important in detecting the macropsychological patterns of the development of society, in particular, in detecting connections between the mass psychological characteristics of the population and the prevailing socio-economic conditions for the development of a particular society.</t>
  </si>
  <si>
    <t>[Kitova, D. A.] Russian Acad Sci, Inst Psychol, Lab Hist Psychol &amp; Hist Psychol, Yaroslavskaya Str 13,Bldn 1, Moscow 129366, Russia; [Zhuravlev, A. L.] Russian Acad Sci, Inst Psychol, Yaroslavskaya Str 13,Bldn 1, Moscow 129366, Russia</t>
  </si>
  <si>
    <t>Institute of Psychology of Russian Academy of Sciences; Russian Academy of Sciences; Institute of Psychology of Russian Academy of Sciences; Russian Academy of Sciences</t>
  </si>
  <si>
    <t>Kitova, DA (corresponding author), Russian Acad Sci, Inst Psychol, Lab Hist Psychol &amp; Hist Psychol, Yaroslavskaya Str 13,Bldn 1, Moscow 129366, Russia.</t>
  </si>
  <si>
    <t>j-kitova@yandex.ru; alzhuravlev2018@yandex.ru</t>
  </si>
  <si>
    <t>Russian Foundation for Basic Research [20-113-50385]</t>
  </si>
  <si>
    <t>Russian Foundation for Basic Research(Russian Foundation for Basic Research (RFBR))</t>
  </si>
  <si>
    <t>The study was carried out with the financial support of the Russian Foundation for Basic Research within the framework of scientific project No. 20-113-50385.</t>
  </si>
  <si>
    <t>Russian Acad Sciences, State Acad Univ Humanities (GAUGN)</t>
  </si>
  <si>
    <t>Moscow</t>
  </si>
  <si>
    <t>Leninsky prospekt 14, Moscow, RUSSIA</t>
  </si>
  <si>
    <t>0205-9592</t>
  </si>
  <si>
    <t>PSIKHOL ZH</t>
  </si>
  <si>
    <t>Psikhologicheskii Zhurnal</t>
  </si>
  <si>
    <t>10.31857/S020595920019417-4</t>
  </si>
  <si>
    <t>7F2TZ</t>
  </si>
  <si>
    <t>WOS:000901707800010</t>
  </si>
  <si>
    <t>Schramowski, P; Turan, C; Andersen, N; Rothkopf, CA; Kersting, K</t>
  </si>
  <si>
    <t>Schramowski, Patrick; Turan, Cigdem; Andersen, Nico; Rothkopf, Constantin A.; Kersting, Kristian</t>
  </si>
  <si>
    <t>Large pre-trained language models contain human-like biases of what is right and wrong to do</t>
  </si>
  <si>
    <t>NATURE MACHINE INTELLIGENCE</t>
  </si>
  <si>
    <t>Large language models identify patterns in the relations between words and capture their relations in an embedding space. Schramowski and colleagues show that a direction in this space can be identified that separates 'right' and 'wrong' actions as judged by human survey participants. Artificial writing is permeating our lives due to recent advances in large-scale, transformer-based language models (LMs) such as BERT, GPT-2 and GPT-3. Using them as pre-trained models and fine-tuning them for specific tasks, researchers have extended the state of the art for many natural language processing tasks and shown that they capture not only linguistic knowledge but also retain general knowledge implicitly present in the data. Unfortunately, LMs trained on unfiltered text corpora suffer from degenerated and biased behaviour. While this is well established, we show here that recent LMs also contain human-like biases of what is right and wrong to do, reflecting existing ethical and moral norms of society. We show that these norms can be captured geometrically by a 'moral direction' which can be computed, for example, by a PCA, in the embedding space. The computed 'moral direction' can rate the normativity (or non-normativity) of arbitrary phrases without explicitly training the LM for this task, reflecting social norms well. We demonstrate that computing the 'moral direction' can provide a path for attenuating or even preventing toxic degeneration in LMs, showcasing this capability on the RealToxicityPrompts testbed.</t>
  </si>
  <si>
    <t>[Schramowski, Patrick; Turan, Cigdem; Kersting, Kristian] Tech Univ Darmstadt, Comp Sci Dept, Artificial Intelligence &amp; Machine Learning Lab, Darmstadt, Germany; [Turan, Cigdem; Rothkopf, Constantin A.; Kersting, Kristian] Tech Univ Darmstadt, Ctr Cognit Sci, Darmstadt, Germany; [Andersen, Nico] Leibniz Inst Res &amp; Informat Educ, Frankfurt, Germany; [Rothkopf, Constantin A.] Tech Univ Darmstadt, Inst Psychol, Darmstadt, Germany; [Rothkopf, Constantin A.; Kersting, Kristian] Hessian Ctr Artificial Intelligence Hessian Ai, Darmstadt, Germany</t>
  </si>
  <si>
    <t>Technical University of Darmstadt; Technical University of Darmstadt; Technical University of Darmstadt</t>
  </si>
  <si>
    <t>Schramowski, P; Turan, C (corresponding author), Tech Univ Darmstadt, Comp Sci Dept, Artificial Intelligence &amp; Machine Learning Lab, Darmstadt, Germany.;Turan, C (corresponding author), Tech Univ Darmstadt, Ctr Cognit Sci, Darmstadt, Germany.</t>
  </si>
  <si>
    <t>schramowski@cs.tu-darmstadt.de; cigdem.turan@cs.tu-darmstadt.de</t>
  </si>
  <si>
    <t>Schramowski, Patrick/0000-0003-1231-7120; Turan-Schwiewager, Cigdem/0000-0002-4836-6023; Rothkopf, Constantin/0000-0002-5636-0801</t>
  </si>
  <si>
    <t>ICT-48 Network of AI Research Excellence Center 'TAILOR' (EU Horizon 2020) [952215]; Hessian research priority programme LOEWE within the project WhiteBox; Hessian Ministry of Higher Education, Research and the Arts (HMWK)</t>
  </si>
  <si>
    <t>ICT-48 Network of AI Research Excellence Center 'TAILOR' (EU Horizon 2020); Hessian research priority programme LOEWE within the project WhiteBox; Hessian Ministry of Higher Education, Research and the Arts (HMWK)</t>
  </si>
  <si>
    <t>The authors thank the anonymous reviewers for their valuable feedback. Further, the authors are thankful to Aleph Alpha for very useful feedback and access to the GPT-3 API. This work benefited from the ICT-48 Network of AI Research Excellence Center 'TAILOR' (EU Horizon 2020, grant agreement no. 952215) (K.K.), the Hessian research priority programme LOEWE within the project WhiteBox (K.K. and C.R.), and the Hessian Ministry of Higher Education, Research and the Arts (HMWK) cluster projects 'The Adaptive Mind' (K.K. and C.R.) and 'The Third Wave of AI' (K.K., C.R. and P.S.).</t>
  </si>
  <si>
    <t>2522-5839</t>
  </si>
  <si>
    <t>NAT MACH INTELL</t>
  </si>
  <si>
    <t>Nat. Mach. Intell.</t>
  </si>
  <si>
    <t>10.1038/s42256-022-00458-8</t>
  </si>
  <si>
    <t>Computer Science, Artificial Intelligence; Computer Science, Interdisciplinary Applications</t>
  </si>
  <si>
    <t>ZY2TX</t>
  </si>
  <si>
    <t>WOS:000772442700005</t>
  </si>
  <si>
    <t>Simonov, A; Rao, JS</t>
  </si>
  <si>
    <t>Simonov, Andrey; Rao, Justin</t>
  </si>
  <si>
    <t>Demand for Online News under Government Control: Evidence from Russia</t>
  </si>
  <si>
    <t>JOURNAL OF POLITICAL ECONOMY</t>
  </si>
  <si>
    <t>PRODUCT VARIETY; MEDIA CAPTURE; SOCIAL MEDIA; RADIO; MARKET; COMPETITION; CENSORSHIP; PERSUASION; BIAS; CONSUMPTION</t>
  </si>
  <si>
    <t>We examine the nature of consumer demand for government-controlled online news outlets in Russia, testing whether such demand reflects a preference for progovernment ideological coverage or other factors unrelated to outlets' ideological positions. We detect government-sensitive topics and measure outlets' news-reporting decisions from news article texts, and we estimate a structural model of demand for news, using detailed browsing data that traces individual-level consumption. The average consumer has a distaste for progovernment ideology but a strong, persistent taste for state-owned outlets, primarily driven by third-party referrals and nonsensitive news content. We discuss implications for online media control and media power.</t>
  </si>
  <si>
    <t>[Simonov, Andrey] Columbia Univ, New York, NY 10027 USA; [Simonov, Andrey] Ctr Econ Policy Res, London, England; [Rao, Justin] Booking Com, Amsterdam, Netherlands</t>
  </si>
  <si>
    <t>Columbia University; Centre for Economic Policy Research - UK</t>
  </si>
  <si>
    <t>Simonov, A (corresponding author), Columbia Univ, New York, NY 10027 USA.;Simonov, A (corresponding author), Ctr Econ Policy Res, London, England.</t>
  </si>
  <si>
    <t>0022-3808</t>
  </si>
  <si>
    <t>1537-534X</t>
  </si>
  <si>
    <t>J POLIT ECON</t>
  </si>
  <si>
    <t>J. Polit. Econ.</t>
  </si>
  <si>
    <t>10.1086/717351</t>
  </si>
  <si>
    <t>FEB 2022</t>
  </si>
  <si>
    <t>Economics</t>
  </si>
  <si>
    <t>1M7RF</t>
  </si>
  <si>
    <t>WOS:000732291400001</t>
  </si>
  <si>
    <t>Chakraborty, I; Kim, M; Sudhir, K</t>
  </si>
  <si>
    <t>Chakraborty, Ishita; Kim, Minkyung; Sudhir, K.</t>
  </si>
  <si>
    <t>Attribute Sentiment Scoring with Online Text Reviews: Accounting for Language Structure and Missing Attributes</t>
  </si>
  <si>
    <t>text mining; convolutional neural networks; long-short term memory (LSTM); deep learning; endogeneity; missing data; online reviews; customer satisfaction</t>
  </si>
  <si>
    <t>WORD-OF-MOUTH; PRODUCT; PERFORMANCE; REPUTATION; WISDOM; IMPACT; MATTER; SALES</t>
  </si>
  <si>
    <t>The authors address two significant challenges in using online text reviews to obtain fine-grained, attribute-level sentiment ratings. First, in contrast to methods that rely on word frequency, they develop a deep learning convolutional-long short-term memory hybrid model to account for language structure. The convolutional layer accounts for spatial structure (adjacent word groups or phrases), and long short-term memory accounts for the sequential structure of language (sentiment distributed and modified across nonadjacent phrases). Second, they address the problem of missing attributes in text when constructing attribute sentiment scores, as reviewers write about only a subset of attributes and remain silent on others. They develop a model-based imputation strategy using a structural model of heterogeneous rating behavior. Using Yelp restaurant review data, they show superior attribute sentiment scoring accuracy with their model. They identify three reviewer segments with different motivations: status seeking, altruism/want voice, and need to vent/praise. Surprisingly, attribute mentions in reviews are driven by the need to inform and vent/praise rather than by attribute importance. The heterogeneous model-based imputation performs better than other common imputations and, importantly, leads to managerially significant corrections in restaurant attribute ratings. More broadly, the results suggest that social science research should pay more attention to reducing measurement error in variables constructed from text.</t>
  </si>
  <si>
    <t>[Chakraborty, Ishita] Univ Wisconsin Madison, Thomas &amp; Charlene Landsberg Smith Fac Fellow, Wisconsin Sch Business, Mkt, Madison, WI 53706 USA; [Kim, Minkyung] Univ N Carolina, Kenan Flagler Business Sch, Mkt, Chapel Hill, NC USA; [Sudhir, K.] Yale Univ, Yale Sch Management, Mkt &amp; Director China India Insights Program, New Haven, CT 06520 USA</t>
  </si>
  <si>
    <t>University of Wisconsin System; University of Wisconsin Madison; University of North Carolina; University of North Carolina Chapel Hill; Yale University</t>
  </si>
  <si>
    <t>Chakraborty, I (corresponding author), Univ Wisconsin Madison, Thomas &amp; Charlene Landsberg Smith Fac Fellow, Wisconsin Sch Business, Mkt, Madison, WI 53706 USA.</t>
  </si>
  <si>
    <t>ishita.chakraborty@wisc.edu; ishita.chakraborty@wisc.edu; k.sudhir@yale.edu</t>
  </si>
  <si>
    <t>10.1177/00222437211052500</t>
  </si>
  <si>
    <t>JAN 2022</t>
  </si>
  <si>
    <t>0X7ME</t>
  </si>
  <si>
    <t>WOS:000739431700001</t>
  </si>
  <si>
    <t>Rombach, R; Blattmann, A; Lorenz, D; Esser, P; Ommer, B</t>
  </si>
  <si>
    <t>IEEE COMP SOC</t>
  </si>
  <si>
    <t>Rombach, Robin; Blattmann, Andreas; Lorenz, Dominik; Esser, Patrick; Ommer, Bjoern</t>
  </si>
  <si>
    <t>High-Resolution Image Synthesis with Latent Diffusion Models</t>
  </si>
  <si>
    <t>2022 IEEE/CVF CONFERENCE ON COMPUTER VISION AND PATTERN RECOGNITION (CVPR)</t>
  </si>
  <si>
    <t>IEEE/CVF Conference on Computer Vision and Pattern Recognition (CVPR)</t>
  </si>
  <si>
    <t>JUN 18-24, 2022</t>
  </si>
  <si>
    <t>New Orleans, LA</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</si>
  <si>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new state of the art scores for image inpainting and class-conditional image synthesis and highly competitive performance on various tasks, including unconditional image generation, text-to-image synthesis, and super-resolution, while significantly reducing computational requirements compared to pixel-based DMs.</t>
  </si>
  <si>
    <t>[Rombach, Robin; Blattmann, Andreas; Lorenz, Dominik; Ommer, Bjoern] Ludwig Maximilian Univ Munich, Munich, Germany; [Rombach, Robin; Blattmann, Andreas; Lorenz, Dominik; Ommer, Bjoern] Heidelberg Univ, IWR, Heidelberg, Germany; [Esser, Patrick] Runway ML, New York, NY USA</t>
  </si>
  <si>
    <t>University of Munich; Ruprecht Karls University Heidelberg</t>
  </si>
  <si>
    <t>Rombach, R (corresponding author), Ludwig Maximilian Univ Munich, Munich, Germany.;Rombach, R (corresponding author), Heidelberg Univ, IWR, Heidelberg, Germany.</t>
  </si>
  <si>
    <t>German Federal Ministry for Economic Affairs and Energy; German Research Foundation (DFG) [421703927]</t>
  </si>
  <si>
    <t>German Federal Ministry for Economic Affairs and Energy; German Research Foundation (DFG)(German Research Foundation (DFG))</t>
  </si>
  <si>
    <t>This work has been supported by the German Federal Ministry for Economic Affairs and Energy within the project KI-Absicherung -Safe AI for automated driving and by the German Research Foundation (DFG) project 421703927.</t>
  </si>
  <si>
    <t>978-1-6654-6946-3</t>
  </si>
  <si>
    <t>10.1109/CVPR52688.2022.01042</t>
  </si>
  <si>
    <t>BU0OL</t>
  </si>
  <si>
    <t>WOS:000870759103073</t>
  </si>
  <si>
    <t>Dew, R; Ansari, A; Toubia, O</t>
  </si>
  <si>
    <t>Dew, Ryan; Ansari, Asim; Toubia, Olivier</t>
  </si>
  <si>
    <t>Letting Logos Speak: Leveraging Multiview Representation Learning for Data-Driven Branding and Logo Design</t>
  </si>
  <si>
    <t>logos; branding; machine learning; multiview learning; representation learning; image processing; Bayesian estimation</t>
  </si>
  <si>
    <t>PRODUCT; COLOR; PERCEPTIONS; IMPACT</t>
  </si>
  <si>
    <t>Logos serve a fundamental role as the visual figureheads of brands. Yet, because of the difficulty of using unstructured image data, prior research on logo design has largely been limited to nonquantitative studies. In this work, we explore the interplay between logo design and brand identity creation from a data-driven perspective. We develop both a novel logo feature extraction algorithm that uses modern image processing tools to decompose pixel-level image data into meaningful features and a multiview representation learning framework that links these visual features to textual descriptions, consumer ratings of brand personality, and other high-level tags describing firms. We apply this framework to a unique data set of brands to understand which brands use which logo features and how consumers evaluate these brands' personalities. Moreover, we show that manipulating the model's learned representations through what we term brand arithmetic yields new brand identities and can help with ideation. Finally, through an application to fast-food branding, we show how our model can be used as a decision support tool for suggesting typical logo features for a brand and for predicting consumers' reactions to new brands or rebranding efforts.</t>
  </si>
  <si>
    <t>[Dew, Ryan] Univ Penn, Wharton Sch, Philadelphia, PA 19104 USA; [Ansari, Asim; Toubia, Olivier] Columbia Univ, Columbia Business Sch, New York, NY 10027 USA</t>
  </si>
  <si>
    <t>University of Pennsylvania; Columbia University</t>
  </si>
  <si>
    <t>Dew, R (corresponding author), Univ Penn, Wharton Sch, Philadelphia, PA 19104 USA.</t>
  </si>
  <si>
    <t>ryandew@wharton.upenn.edu; maa48@gsb.columbia.edu; ot2107@gsb.columbia.edu</t>
  </si>
  <si>
    <t>Dew, Ryan/0000-0001-7652-0369</t>
  </si>
  <si>
    <t>Wharton Behavioral Lab; Analytics at Wharton; INFORMS Society for Marketing Science Doctoral Dissertation Proposal Competition; American Statistical Association's Section on Statistics in Marketing's Doctoral Dissertation Award</t>
  </si>
  <si>
    <t>The authors thank the Wharton Behavioral Lab for funding. This work was supported by a generous grant from Analytics at Wharton. The first author is grateful to have received financial support from the INFORMS Society for Marketing Science Doctoral Dissertation Proposal Competi-tion and the American Statistical Association's Section on Statistics in Marketing's Doctoral Dissertation Award.</t>
  </si>
  <si>
    <t>10.1287/mksc.2021.1326</t>
  </si>
  <si>
    <t>DEC 2021</t>
  </si>
  <si>
    <t>ZZ5ZI</t>
  </si>
  <si>
    <t>WOS:000737455400001</t>
  </si>
  <si>
    <t>Grewal, R; Gupta, S; Hamilton, R</t>
  </si>
  <si>
    <t>Grewal, Rajdeep; Gupta, Sachin; Hamilton, Rebecca</t>
  </si>
  <si>
    <t>Marketing Insights from Multimedia Data: Text, Image, Audio, and Video</t>
  </si>
  <si>
    <t>COMMUNICATION MODALITY; MEDIA RICHNESS; BIG DATA; ONLINE; INTERNET; REVIEWS; EMOTION; THINGS; IMPACT; SPOKEN</t>
  </si>
  <si>
    <t>[Grewal, Rajdeep] Univ N Carolina, Mkt, Kenan Flagler Business Sch, Chapel Hill, NC 27515 USA; [Gupta, Sachin] Cornell Univ, SC Johnson Coll Business, Management, Ithaca, NY 14853 USA; [Gupta, Sachin] Cornell Univ, SC Johnson Coll Business, Mkt, Ithaca, NY 14853 USA; [Hamilton, Rebecca] Georgetown Univ, McDonough Sch Business, Michael G &amp; Robin Psaros Chair Business Adm, Washington, DC 20057 USA; [Hamilton, Rebecca] Georgetown Univ, McDonough Sch Business, Mkt, Washington, DC 20057 USA</t>
  </si>
  <si>
    <t>University of North Carolina; University of North Carolina Chapel Hill; Cornell University; Cornell University; Georgetown University; Georgetown University</t>
  </si>
  <si>
    <t>Grewal, R (corresponding author), Univ N Carolina, Mkt, Kenan Flagler Business Sch, Chapel Hill, NC 27515 USA.</t>
  </si>
  <si>
    <t>rajdeep_grewal@kenan-flagler.unc.edu; sachin.gupta@cornell.edu; rebecca.hamilton@georgetown.edu</t>
  </si>
  <si>
    <t>10.1177/00222437211054601</t>
  </si>
  <si>
    <t>WX9LI</t>
  </si>
  <si>
    <t>WOS:000718909600001</t>
  </si>
  <si>
    <t>Hartmann, J; Heitmann, M; Schamp, C; Netzer, O</t>
  </si>
  <si>
    <t>Hartmann, Jochen; Heitmann, Mark; Schamp, Christina; Netzer, Oded</t>
  </si>
  <si>
    <t>The Power of Brand Selfies</t>
  </si>
  <si>
    <t>user-generated content; social media; image analysis; deep learning; natural language processing; interpretable machine learning</t>
  </si>
  <si>
    <t>WORD-OF-MOUTH; SOCIAL MEDIA; MENTAL SIMULATION; IMPACT</t>
  </si>
  <si>
    <t>Smartphones have made it nearly effortless to share images of branded experiences. This research classifies social media brand imagery and studies user response. Aside from packshots (standalone product images), two types of brand-related selfie images appear online: consumer selfies (featuring brands and consumers' faces) and an emerging phenomenon the authors term brand selfies (invisible consumers holding a branded product). The authors use convolutional neural networks to identify these archetypes and train language models to infer social media response to more than a quarter-million brand-image posts (185 brands on Twitter and Instagram). They find that consumer-selfie images receive more sender engagement (i.e., likes and comments), whereas brand selfies result in more brand engagement, expressed by purchase intentions. These results cast doubt on whether conventional social media metrics are appropriate indicators of brand engagement. Results for display ads are consistent with this observation, with higher click-through rates for brand selfies than for consumer selfies. A controlled lab experiment suggests that self-reference is driving the differential response to selfie images. Collectively, these results demonstrate how (interpretable) machine learning helps extract marketing-relevant information from unstructured multimedia content and that selfie images are a matter of perspective in terms of actual brand engagement.</t>
  </si>
  <si>
    <t>[Hartmann, Jochen] Univ Hamburg, Fac Business Adm, Hamburg, Germany; [Heitmann, Mark] Univ Hamburg, Fac Business Adm, Mkt &amp; Customer Insight, Hamburg, Germany; [Schamp, Christina] Vienna Univ Econ &amp; Business, Digital Mkt &amp; Behav Insights, Vienna, Austria; [Netzer, Oded] Columbia Univ, Columbia Business Sch, Business, New York, NY 10027 USA</t>
  </si>
  <si>
    <t>University of Hamburg; University of Hamburg; Vienna University of Economics &amp; Business; Columbia University</t>
  </si>
  <si>
    <t>Hartmann, J (corresponding author), Univ Hamburg, Fac Business Adm, Hamburg, Germany.</t>
  </si>
  <si>
    <t>German Research Foundation (DFG) [HE 6703/1-2]</t>
  </si>
  <si>
    <t>German Research Foundation (DFG)(German Research Foundation (DFG))</t>
  </si>
  <si>
    <t>The author(s) disclosed receipt of the following financial support for the research, authorship, and/or publication of this article: This work was supported by the German Research Foundation (DFG) (grant number HE 6703/1-2).</t>
  </si>
  <si>
    <t>10.1177/00222437211037258</t>
  </si>
  <si>
    <t>OCT 2021</t>
  </si>
  <si>
    <t>Green Published, hybrid, Green Accepted</t>
  </si>
  <si>
    <t>WOS:000709525700001</t>
  </si>
  <si>
    <t>Boughanmi, K; Ansari, A</t>
  </si>
  <si>
    <t>Boughanmi, Khaled; Ansari, Asim</t>
  </si>
  <si>
    <t>Dynamics of Musical Success: A Machine Learning Approach for Multimedia Data Fusion</t>
  </si>
  <si>
    <t>Bayesian nonparametrics; big data; data fusion; multimedia; music industry; product recommendations; supervised hierarchical Dirichlet process</t>
  </si>
  <si>
    <t>BAYESIAN MODEL; EMOTIONS; MARKET; INFORMATION; CONSUMPTION; DIVERSITY; CONCERTS; FEATURES; SYSTEM</t>
  </si>
  <si>
    <t>The success of creative products depends on the felt experience of consumers. Capturing such consumer reactions requires the fusing of different types of experiential covariates and perceptual data in an integrated modeling framework. In this article, the authors develop a novel multimodal machine learning framework that combines multimedia data (e.g., metadata, acoustic features, user-generated textual data) in creative product settings and apply it to predict the success of musical albums and playlists. The authors estimate the proposed model on a unique data set collected using different online sources. The model integrates different types of nonparametrics to flexibly accommodate diverse types of effects. It uses penalized splines to capture the nonlinear impact of acoustic features and a supervised hierarchical Dirichlet process to represent crowd-sourced textual tags, and it captures dynamics via a state-space specification. The authors show the predictive superiority of the model with respect to several benchmarks. The results illuminate the dynamics of musical success over the past five decades. The authors then use the components of the model for marketing decisions such as forecasting the success of new albums, conducting album tuning and diagnostics, constructing playlists for different generations of music listeners, and providing contextual recommendations.</t>
  </si>
  <si>
    <t>[Boughanmi, Khaled] Cornell Univ, Mkt, Ithaca, NY 14853 USA; [Ansari, Asim] Columbia Univ, Mkt, New York, NY 10027 USA</t>
  </si>
  <si>
    <t>Cornell University; Columbia University</t>
  </si>
  <si>
    <t>Boughanmi, K (corresponding author), Cornell Univ, Mkt, Ithaca, NY 14853 USA.</t>
  </si>
  <si>
    <t>kb746@cornell.edu</t>
  </si>
  <si>
    <t>W. Edwards Deming Center of Columbia Business School</t>
  </si>
  <si>
    <t>This paper is based on the first essay of Khaled Boughanmi's dissertation. We thank Rajeev Kohli for his insightful suggestions and valuable contributions to the development of this paper. We thank David Blei for his insightful comments on the Hierarchical Dirichlet Process and Michael Mauskapf for his valuable suggestions and comments about the music industry. We also thank the W. Edwards Deming Center of Columbia Business School for their generous financial support for this research.</t>
  </si>
  <si>
    <t>10.1177/00222437211016495</t>
  </si>
  <si>
    <t>WOS:000706116200001</t>
  </si>
  <si>
    <t>Liu, J; Toubia, O; Hill, S</t>
  </si>
  <si>
    <t>Liu, Jia; Toubia, Olivier; Hill, Shawndra</t>
  </si>
  <si>
    <t>Content-Based Model of Web Search Behavior: An Application to TV Show Search</t>
  </si>
  <si>
    <t>marketing; search; interpretable machine learning; recommendation systems; Poisson factorization; variational inference; big data</t>
  </si>
  <si>
    <t>We develop a flexible content-based search model that links the content preferences of search engine users to query search volume and click-through rates, while allowing content preferences to vary systematically based on the context of a search. Content preferences are defined over latent topics that describe the content of search queries and search result descriptions. Compared with existing applications of topic modeling in marketing and recommendation systems, our proposed approach can simultaneously capture multiple types of information and investigate multiple aspects of behavioral dynamics in a single framework that enables interpretable results for business decision making. To facilitate efficient and scalable inference, we develop a full Bayesian variational inference algorithm. We evaluate our modeling framework using real-world search data for TV shows from the Bing search engine. We illustrate how our model can quantify the content preferences associated with each query and how these preferences vary systematically based on whether the query is observed before, during, or after a TV show is aired. We also show that our model can help the search engine improve its ranking of search results as well as address the cold-start problem for new page links.</t>
  </si>
  <si>
    <t>[Liu, Jia] Hong Kong Univ Sci &amp; Technol, Dept Mkt, Clear Water Bay, Hong Kong, Peoples R China; [Toubia, Olivier] Columbia Univ, Grad Sch Business, New York, NY 10027 USA; [Hill, Shawndra] Univ Penn, Wharton Sch, Wharton Customer Analyt, Philadelphia, PA 19104 USA</t>
  </si>
  <si>
    <t>Hong Kong University of Science &amp; Technology; Columbia University; University of Pennsylvania</t>
  </si>
  <si>
    <t>Liu, J (corresponding author), Hong Kong Univ Sci &amp; Technol, Dept Mkt, Clear Water Bay, Hong Kong, Peoples R China.</t>
  </si>
  <si>
    <t>jialiu@ust.hk; ot2107@columbia.edu; shawndra@wharton.upenn.edu</t>
  </si>
  <si>
    <t>Liu, Jia/AAC-6944-2022</t>
  </si>
  <si>
    <t>10.1287/mnsc.2020.3827</t>
  </si>
  <si>
    <t>WR5RD</t>
  </si>
  <si>
    <t>WOS:000714555500002</t>
  </si>
  <si>
    <t>Jedidi, K; Schmitt, BH; Ben Sliman, M; Li, YY</t>
  </si>
  <si>
    <t>Jedidi, Kamel; Schmitt, Bernd H.; Ben Sliman, Malek; Li, Yanyan</t>
  </si>
  <si>
    <t>R2M Index 1.0: Assessing the Practical Relevance of Academic Marketing Articles</t>
  </si>
  <si>
    <t>information retrieval; marketing; marketing theory; marketing practice; relevance; topic modeling</t>
  </si>
  <si>
    <t>OF-THE-LITERATURE; INFORMATION-SCIENCE; COMMERCIAL USE; FRAMEWORK; THINKING; NOTION; BEHAVIOR; HISTORY</t>
  </si>
  <si>
    <t>Using text-mining, the authors develop version 1.0 of the Relevance to Marketing (R2M) Index, a dynamic index that measures the topical and timely relevance of academic marketing articles to marketing practice. The index assesses topical relevance drawing on a dictionary of marketing terms derived from 50,000 marketing articles published in practitioner outlets from 1982 to 2019. Timely relevance is based on the prevalence of academic marketing topics in practitioner publications at a given time. The authors classify topics into four quadrants based on their low/high popularity in academia and practice -Desert, Academic Island, Executive Fields, and Highlands-and score academic articles and journals: Journal of Marketing has the highest R2M score, followed by Marketing Science, Journal of Marketing Research, and Journal of Consumer Research. The index correlates with practitioner judgments of practical relevance and other relevance measures. Because the index is a work in progress, the authors discuss how to overcome current limitations and suggest correlating the index with citation counts, altmetrics, and readability measures. Marketing practitioners, authors, and journal editors can use the index to assess article relevance, and academic administrators can use it for promotion and tenure decisions (see www.R2Mindex.com). The R2M Index is thus not only a measurement instrument but also a tool for change.</t>
  </si>
  <si>
    <t>[Jedidi, Kamel] Columbia Univ, Business, Columbia Business Sch, New York, NY 10027 USA; [Schmitt, Bernd H.] Columbia Univ, Int Business, Columbia Business Sch, New York, NY 10027 USA; [Ben Sliman, Malek] Sothebys, Washington, DC USA; [Li, Yanyan] Univ Southern Calif, Marshall Sch Business, Los Angeles, CA 90089 USA</t>
  </si>
  <si>
    <t>Columbia University; Columbia University; University of Southern California</t>
  </si>
  <si>
    <t>Jedidi, K (corresponding author), Columbia Univ, Business, Columbia Business Sch, New York, NY 10027 USA.</t>
  </si>
  <si>
    <t>kj7@gsb.columbia.edu; bhs1@columbia.edu; malek.bensliman@sothebys.com; yanyan.li@marshall.usc.edu</t>
  </si>
  <si>
    <t>Ben Sliman, Malek/0000-0002-0294-4828</t>
  </si>
  <si>
    <t>10.1177/00222429211028145</t>
  </si>
  <si>
    <t>UE1IC</t>
  </si>
  <si>
    <t>WOS:000687648900002</t>
  </si>
  <si>
    <t>Puranam, D; Kadiyali, V; Narayan, V</t>
  </si>
  <si>
    <t>Puranam, Dinesh; Kadiyali, Vrinda; Narayan, Vishal</t>
  </si>
  <si>
    <t>The Impact of Increase in Minimum Wages on Consumer Perceptions of Service: A Transformer Model of Online Restaurant Reviews</t>
  </si>
  <si>
    <t>service quality; minimum wages; text analysis; transformer models; natural experiments; agency theory</t>
  </si>
  <si>
    <t>FAST-FOOD INDUSTRY; CUSTOMER SATISFACTION; NEW-JERSEY; EMPLOYMENT; QUALITY; PRICE; FORM</t>
  </si>
  <si>
    <t>We study the impact of a mandated increase in minimum wages on consumer perceptions of multiple dimensions of service quality in the restaurant industry. When faced with higher minimum wages, firms might reduce the number of employees, resulting in poorer consumer service. Alternatively, higher-paid workers might be more motivated to improve consumer service. Using a combination of human annotation and several transformer models, we estimate the incidence of discussion of several service quality attributes (and their valence) in a textual data set of 97,242 online reviews of 1,752 restaurants posted over two years. We exploit a natural experiment in the County of Santa Clara, California, wherein only the city of San Jose legislated a 25% minimum wage increase in 2013. By comparing restaurant reviews in San Jose with those of synthetic controls, we find an improvement in the perceived service quality of San Jose restaurants. Specifically, we find reduced negative discussion of the courtesy and friendliness of workers. This decrease is present in independent restaurants and not in chains. This finding appears to be consistent with agency theory-based predictions of greater incentives to improve service in independent restaurants. We discuss alternative mechanisms for our results. We also discuss implications for consumers, restaurants, and policy makers.</t>
  </si>
  <si>
    <t>[Puranam, Dinesh] Univ Southern Calif, Marshall Sch Business, Los Angeles, CA 90089 USA; [Kadiyali, Vrinda] Cornell Univ, Johnson Grad Sch Management, Ithaca, NY 14850 USA; [Narayan, Vishal] Natl Univ Singapore, NUS Business Sch, Singapore 119245, Singapore</t>
  </si>
  <si>
    <t>University of Southern California; Cornell University; National University of Singapore</t>
  </si>
  <si>
    <t>puranam@marshall.usc.edu; kadiyali@cornell.edu; bizvn@nus.edu.sg</t>
  </si>
  <si>
    <t>Johnson Graduate School of Management (Cornell University); Marshall School of Business (University of Southern California); National University of Singapore</t>
  </si>
  <si>
    <t>Johnson Graduate School of Management (Cornell University); Marshall School of Business (University of Southern California); National University of Singapore(National University of Singapore)</t>
  </si>
  <si>
    <t>This work was supported by Johnson Graduate School of Management (Cornell University), Marshall School of Business (University of Southern California) and National University of Singapore.</t>
  </si>
  <si>
    <t>10.1287/mksc.2021.1294</t>
  </si>
  <si>
    <t>YO3KB</t>
  </si>
  <si>
    <t>WOS:000747841200009</t>
  </si>
  <si>
    <t>Chung, J; Johar, GV; Li, YY; Netzer, O; Pearson, M</t>
  </si>
  <si>
    <t>Chung, Jaeyeon (Jae); Johar, Gita Venkataramani; Li, Yanyan; Netzer, Oded; Pearson, Matthew</t>
  </si>
  <si>
    <t>Mining Consumer Minds: Downstream Consequences of Host Motivations for Home-Sharing Platforms</t>
  </si>
  <si>
    <t>motivation; sharing economy; text mining; customer engagement; customer lifetime value; Airbnb</t>
  </si>
  <si>
    <t>INTRINSIC MOTIVATION; WORK ENGAGEMENT; LOSS AVERSION; ECONOMY; PRICE; GOAL; SATISFACTION; HOSPITALITY; PERFORMANCE; CONSUMPTION</t>
  </si>
  <si>
    <t>This research sheds light on consumer motivations for participating in the sharing economy and examines downstream consequences of the uncovered motivations. We use text-mining techniques to extract Airbnb hosts' motivations from their responses to the question why did you start hosting. We find that hosts are driven not only by the monetary motivation to earn cash but also by intrinsic motivations such as to share beauty and to meet people. Using extensive transaction-level data, we find that hosts with intrinsic motivations post more property photos and write longer property descriptions, demonstrating greater engagement with the platform. Consequently, these hosts receive higher guest satisfaction ratings. Compared to hosts who want to earn cash, hosts motivated to meet people are more likely to keep hosting and to stay active on the platform, and hosts motivated to share beauty charge higher prices. As a result, these intrinsically motivated hosts have a higher customer lifetime value compared to those with a monetary motivation. We employ a multimethod approach including text mining, Bayesian latent attrition models, and lab experiments to derive these insights. Our research provides an easy-to-implement approach to uncovering consumer motivations in practice and highlights the consequential role of these motivations for firms.</t>
  </si>
  <si>
    <t>[Chung, Jaeyeon (Jae)] Rice Univ, Jones Grad Sch Business, Mkt, 6100 Main St, Houston, TX 77005 USA; [Johar, Gita Venkataramani; Netzer, Oded] Columbia Business Sch, Mkt Dept, 3022 Broadway, New York, NY 10027 USA; [Li, Yanyan] Univ Southern Calif, Marshall Business Sch, Mkt Dept, 3670 Trousdale Pkwy, Los Angeles, CA 90089 USA; [Pearson, Matthew] Airbnb, San Francisco, CA USA</t>
  </si>
  <si>
    <t>Rice University; Columbia University; University of Southern California; Airbnb</t>
  </si>
  <si>
    <t>Chung, J (corresponding author), Rice Univ, Jones Grad Sch Business, Mkt, 6100 Main St, Houston, TX 77005 USA.</t>
  </si>
  <si>
    <t>jc134@rice.edu; gvj1@gsb.columbia.edu; Yanyan.Li@marshall.usc.edu; onetzer@gsb.columbia.edu; mpearson76@gmail.com</t>
  </si>
  <si>
    <t>Chazen Institute of International Business</t>
  </si>
  <si>
    <t>The authors thank the review team and dissertation committee members Don Lehmann, Leonard Lee, and Silvia Bellezza. They thank the Chazen Institute of International Business for their support. Supplementary materials are included in the web appendix accompanying the online version of this article.</t>
  </si>
  <si>
    <t>JAN 29</t>
  </si>
  <si>
    <t>10.1093/jcr/ucab034</t>
  </si>
  <si>
    <t>AUG 2021</t>
  </si>
  <si>
    <t>ZI2GM</t>
  </si>
  <si>
    <t>WOS:000761445300005</t>
  </si>
  <si>
    <t>Li, XL; Liao, CX; Xie, Y</t>
  </si>
  <si>
    <t>Li, Xiaolin; Liao, Chenxi; Xie, Ying</t>
  </si>
  <si>
    <t>Digital Piracy, Creative Productivity, and Customer Care Effort: Evidence from the Digital Publishing Industry</t>
  </si>
  <si>
    <t>intellectual property rights; digital piracy; emerging markets; content creation; incentive and productivity; difference-in-differences (DID) model</t>
  </si>
  <si>
    <t>MUSIC; SALES; INNOVATION; ADOPTION; MARKETS; IMPACTS; RIGHTS</t>
  </si>
  <si>
    <t>We empirically investigate how writers' output is affected by copyright piracy using data from a Chinese digital publishing platform. We identify two measurements of writers' output-creative productivity and customer care-which are also affected by readers' feedback through purchasing, tipping, and commenting. We take advantage of an exogenous event-the termination of a free personal storage service and search function by a leading Chinese cloud storage provider in June 2016-to causally identify the effects of the resulting reduced copyright piracy on writers' efforts. Using a difference-in-differences modeling approach, we compare the changes in average writer behavior before and after the event across two groups of writers: (1) writers who have profit-sharing contracts with the platform and (2) those who do not. We find that after the termination, contracted writers increased their creative productivity efforts in terms of quantity without sacrificing quality but reduced their customer care efforts. However, these effects are absent for noncontracted writers. Our study is among the first to provide empirical support for the positive effect of digital intellectual property rights infringement reduction on creative productivity.</t>
  </si>
  <si>
    <t>[Li, Xiaolin] London Sch Econ &amp; Polit Sci, Dept Management, London WC2A 2AE, England; [Liao, Chenxi] Chinese Univ Hong Kong, CUHK Business Sch, Shatin, Hong Kong, Peoples R China; [Xie, Ying] Univ Texas Dallas, Naveen Jindal Sch Management, Richardson, TX 75080 USA</t>
  </si>
  <si>
    <t>University of London; London School Economics &amp; Political Science; Chinese University of Hong Kong; University of Texas System; University of Texas Dallas</t>
  </si>
  <si>
    <t>Li, XL (corresponding author), London Sch Econ &amp; Polit Sci, Dept Management, London WC2A 2AE, England.</t>
  </si>
  <si>
    <t>x.li166@lse.ac.uk; chenxiliao@cuhk.edu.hk; ying.xie@utdallas.edu</t>
  </si>
  <si>
    <t>Liao, Chenxi/AAA-7668-2022</t>
  </si>
  <si>
    <t>Liao, Chenxi/0000-0003-3267-4707; Li, Xiaolin/0000-0002-0261-823X</t>
  </si>
  <si>
    <t>10.1287/mksc.2020.1275</t>
  </si>
  <si>
    <t>TZ3LO</t>
  </si>
  <si>
    <t>WOS:000684376800005</t>
  </si>
  <si>
    <t>Vogel, EA; Pechmann, C</t>
  </si>
  <si>
    <t>Vogel, Erin A.; Pechmann, Cornelia (connie)</t>
  </si>
  <si>
    <t>Application of Automated Text Analysis to Examine Emotions Expressed in Online Support Groups for Quitting Smoking</t>
  </si>
  <si>
    <t>JOURNAL OF THE ASSOCIATION FOR CONSUMER RESEARCH</t>
  </si>
  <si>
    <t>NEGATIVE AFFECT; ANXIETY SENSITIVITY; DEPRESSIVE SYMPTOMS; SOCIAL MEDIA; CESSATION; MOTIVATION; SMOKERS; TRIAL</t>
  </si>
  <si>
    <t>Online support groups offer social support and an outlet for expressing emotions when dealing with health-related challenges. This study examines whether automated text analysis of emotional expressions using Linguistic Inquiry and Word Count (LIWC) can identify emotions related to abstinence expressed in online support groups for quitting smoking, suggesting promise for offering targeted mood management to members. The emotional expressions in 1 month of posts by members of 36 online support groups were related to abstinence at month end. Using the available LIWC dictionary, posts were scored for overall positive emotions, overall negative emotions, anxiety, anger, sadness, and an upbeat emotional tone. Greater expressions of negative emotions, and specifically anxiety, related to nonabstinence, while a more upbeat emotional tone related to abstinence. The results indicate that automated text analysis can identify emotions expressed in online support groups for quitting smoking and enable targeted delivery of mood management to group members.</t>
  </si>
  <si>
    <t>[Vogel, Erin A.] Stanford Univ, Stanford Prevent Res Ctr, Dept Med, 1265 Welch Rd,X3C16, Stanford, CA 94305 USA; [Pechmann, Cornelia (connie)] Univ Calif Irvine, Mkt, Paul Merage Sch Business, 4293 Pereira Dr,SB Bldg 1,Suite 4317, Irvine, CA 92697 USA</t>
  </si>
  <si>
    <t>Stanford University; University of California System; University of California Irvine</t>
  </si>
  <si>
    <t>Vogel, EA (corresponding author), Stanford Univ, Stanford Prevent Res Ctr, Dept Med, 1265 Welch Rd,X3C16, Stanford, CA 94305 USA.</t>
  </si>
  <si>
    <t>eavogel@stanford.edu; cpechman@uci.edu</t>
  </si>
  <si>
    <t>National Cancer Institute; NCI [R01CA204356]; Tobacco Related Disease Research Program [TRDRP 28FT-0015]</t>
  </si>
  <si>
    <t>National Cancer Institute(United States Department of Health &amp; Human ServicesNational Institutes of Health (NIH) - USANIH National Cancer Institute (NCI)); NCI(United States Department of Health &amp; Human ServicesNational Institutes of Health (NIH) - USANIH National Cancer Institute (NCI)); Tobacco Related Disease Research Program(University of California System)</t>
  </si>
  <si>
    <t>This study was funded by the National Cancer Institute (award no. NCI R01CA204356). Preparation of this manuscript was partially supported by the Tobacco Related Disease Research Program (award no. TRDRP 28FT-0015). The authors gratefully acknowledge Douglas Calder and Connor Phillips for their assistance with data collection and Kevin Delucchi for his advice on statistical analyses.</t>
  </si>
  <si>
    <t>2378-1815</t>
  </si>
  <si>
    <t>2378-1823</t>
  </si>
  <si>
    <t>J ASSOC CONSUM RES</t>
  </si>
  <si>
    <t>J. Assoc. Consum. Res.</t>
  </si>
  <si>
    <t>10.1086/714517</t>
  </si>
  <si>
    <t>3X4UH</t>
  </si>
  <si>
    <t>WOS:000843037200004</t>
  </si>
  <si>
    <t>Toubia, O; Berger, J; Eliashberg, J</t>
  </si>
  <si>
    <t>Toubia, Olivier; Berger, Jonah; Eliashberg, Jehoshua</t>
  </si>
  <si>
    <t>How quantifying the shape of stories predicts their success</t>
  </si>
  <si>
    <t>discourse; natural language processing; cultural success; cultural analytics</t>
  </si>
  <si>
    <t>SELECTION; PSYCHOLOGY; COHERENCE; CULTURE</t>
  </si>
  <si>
    <t>Narratives, and other forms of discourse, are powerful vehicles for informing, entertaining, and making sense of the world. But while everyday language often describes discourse as moving quickly or slowly, covering a lot of ground, or going in circles, little work has actually quantified such movements or examined whether they are beneficial. To fill this gap, we use several state-of-the-art natural language-processing and machine-learning techniques to represent texts as sequences of points in a latent, high-dimensional semantic space. We construct a simple set of measures to quantify features of this semantic path, apply them to thousands of texts from a variety of domains (i.e., movies, TV shows, and academic papers), and examine whether and how they are linked to success (e.g., the number of citations a paper receives). Our results highlight some important cross-domain differences and provide a general framework that can be applied to study many types of discourse. The findings shed light on why things become popular and how natural language processing can provide insight into cultural success.</t>
  </si>
  <si>
    <t>[Toubia, Olivier] Columbia Univ, Columbia Business Sch, Mkt Div, New York, NY 10027 USA; [Berger, Jonah; Eliashberg, Jehoshua] Univ Penn, Wharton Sch, Mkt Dept, Philadelphia, PA 19104 USA</t>
  </si>
  <si>
    <t>Columbia University; University of Pennsylvania</t>
  </si>
  <si>
    <t>Toubia, O (corresponding author), Columbia Univ, Columbia Business Sch, Mkt Div, New York, NY 10027 USA.</t>
  </si>
  <si>
    <t>ot2107@gsb.columbia.edu</t>
  </si>
  <si>
    <t>JUN 29</t>
  </si>
  <si>
    <t>e2011695118</t>
  </si>
  <si>
    <t>10.1073/pnas.2011695118</t>
  </si>
  <si>
    <t>TD7HN</t>
  </si>
  <si>
    <t>WOS:000669493300016</t>
  </si>
  <si>
    <t>Abid, A; Farooqi, M; Zou, J</t>
  </si>
  <si>
    <t>Abid, Abubakar; Farooqi, Maheen; Zou, James</t>
  </si>
  <si>
    <t>Large language models associate Muslims with violence</t>
  </si>
  <si>
    <t>[Abid, Abubakar] Stanford Univ, Dept Elect Engn, Stanford, CA 94305 USA; [Farooqi, Maheen] McMaster Univ, Dept Hlth Res Methods Evidence &amp; Impact, Hamilton, ON, Canada; [Zou, James] Stanford Univ, Dept Biomed Data Sci, Stanford, CA 94305 USA</t>
  </si>
  <si>
    <t>Stanford University; McMaster University; Stanford University</t>
  </si>
  <si>
    <t>Zou, J (corresponding author), Stanford Univ, Dept Biomed Data Sci, Stanford, CA 94305 USA.</t>
  </si>
  <si>
    <t>jamesz@stanford.edu</t>
  </si>
  <si>
    <t>/0000-0002-8701-3351</t>
  </si>
  <si>
    <t>NSF CAREER [1942926]</t>
  </si>
  <si>
    <t>NSF CAREER(National Science Foundation (NSF)NSF - Office of the Director (OD))</t>
  </si>
  <si>
    <t>We thank A. Abid, A. Abdalla, D. Khan, and M. Ghassemi for the helpful feedback on the manuscript and experiments. J.Z. is supported by NSF CAREER 1942926.</t>
  </si>
  <si>
    <t>SPRINGERNATURE</t>
  </si>
  <si>
    <t>CAMPUS, 4 CRINAN ST, LONDON, N1 9XW, ENGLAND</t>
  </si>
  <si>
    <t>10.1038/s42256-021-00359-2</t>
  </si>
  <si>
    <t>SV9GP</t>
  </si>
  <si>
    <t>WOS:000664126400003</t>
  </si>
  <si>
    <t>Spina, D; Vindigni, G; Pecorino, B; Pappalardo, G; D'Amico, M; Chinnici, G</t>
  </si>
  <si>
    <t>Spina, Daniela; Vindigni, Gabriella; Pecorino, Biagio; Pappalardo, Gioacchino; D'Amico, Mario; Chinnici, Gaetano</t>
  </si>
  <si>
    <t>Identifying Themes and Patterns on Management of Horticultural Innovations with an Automated Text Analysis</t>
  </si>
  <si>
    <t>AGRONOMY-BASEL</t>
  </si>
  <si>
    <t>innovations; management; horticulture; content analysis; data mining</t>
  </si>
  <si>
    <t>URBAN AGRICULTURE; IRRIGATION MANAGEMENT; CLIMATE-CHANGE; FRUIT-FLY; SYSTEMS; SUSTAINABILITY; KNOWLEDGE; ADOPTION; PRODUCTIVITY; STAKEHOLDERS</t>
  </si>
  <si>
    <t>This research provides an overview on horticulture innovations in the last decade through a literature review and the use of a computer qualitative data analysis. We used Leximancer text mining software to identify concepts, themes and pathways linked with horticulture innovations. The software tool enabled us to zoom out to gain a broad perspective of the pooled data, and it indicated which studies clustered around the dominant topic. It displays the extracted information in a visual form, to wit, an interactive concept map, which summaries the interconnected themes and demonstrates any interdependencies. The text mining analysis revealed that the themes strongly related to innovation are water, urban, system, countries and technology. The outputs identified have been interpreted to discover meaning from the content analysis, since the software can facilitate a comprehensive and transparent data coding but cannot replace researcher's interpretive work. Furthermore, we focused on the diffusion and the barriers for the spread of innovation, pointing out the differences about developing and advanced countries. This analysis allows the researcher to have a holistic understanding of the examination area and could lead to further studies.</t>
  </si>
  <si>
    <t>[Spina, Daniela; Vindigni, Gabriella; Pecorino, Biagio; Pappalardo, Gioacchino; D'Amico, Mario; Chinnici, Gaetano] Univ Catania, Dept Agr Food &amp; Environm Di3A, Via S Sofia 98-100, I-95123 Catania, Italy</t>
  </si>
  <si>
    <t>University of Catania</t>
  </si>
  <si>
    <t>D'Amico, M (corresponding author), Univ Catania, Dept Agr Food &amp; Environm Di3A, Via S Sofia 98-100, I-95123 Catania, Italy.</t>
  </si>
  <si>
    <t>danispina@gmail.com; vindigni@unict.it; pecorino@unict.it; gioacchino.pappalardo@unict.it; mario.damico@unict.it; chinnici@unict.it</t>
  </si>
  <si>
    <t>Chinnici, Gaetano/E-9681-2016; D'Amico, Mario/F-2992-2017; Pappalardo, Gioacchino/F-7624-2016</t>
  </si>
  <si>
    <t>Chinnici, Gaetano/0000-0002-4728-646X; D'Amico, Mario/0000-0001-9411-6714; Spina, Daniela/0000-0002-7587-6360; Pappalardo, Gioacchino/0000-0002-8312-0862</t>
  </si>
  <si>
    <t>project Economic assessments of the sustainability of agri-food systems by UNICT 2016-2018 Piano per la Ricerca. Linea di intervento 2-Seconda annualita P7/WP2 [5A722192141]</t>
  </si>
  <si>
    <t>project Economic assessments of the sustainability of agri-food systems by UNICT 2016-2018 Piano per la Ricerca. Linea di intervento 2-Seconda annualita P7/WP2</t>
  </si>
  <si>
    <t>Cette publication a ete realisee avec le soutien financier de l'Union europeenne dans le cadre du Programme IEV de Cooperation Transfrontaliere Italie-Tunisie 2014-2020 a travers le projet INTEMAR-IS_2.1_073 Innovations dans la lutte integree contre les ravageurs et maladies recemment introduits sur cultures maraicheres. Son contenu releve de la seule responsabilite du beneficiaire principal et ne reflete pas necessairement les opinions de l'Union europeenne et celles de l'Autorite de Gestion (Grant Numbers E64I18002460007). This research was funded by the project Economic assessments of the sustainability of agri-food systems by UNICT 2016-2018 Piano per la Ricerca. Linea di intervento 2-Seconda annualita P7/WP2 (5A722192141). Project leader: Gaetano Chinnici.</t>
  </si>
  <si>
    <t>MDPI</t>
  </si>
  <si>
    <t>BASEL</t>
  </si>
  <si>
    <t>ST ALBAN-ANLAGE 66, CH-4052 BASEL, SWITZERLAND</t>
  </si>
  <si>
    <t>2073-4395</t>
  </si>
  <si>
    <t>Agronomy-Basel</t>
  </si>
  <si>
    <t>10.3390/agronomy11061103</t>
  </si>
  <si>
    <t>Agronomy; Plant Sciences</t>
  </si>
  <si>
    <t>Agriculture; Plant Sciences</t>
  </si>
  <si>
    <t>SY0QF</t>
  </si>
  <si>
    <t>gold</t>
  </si>
  <si>
    <t>WOS:000665599200001</t>
  </si>
  <si>
    <t>Woolley, K; Sharif, MA</t>
  </si>
  <si>
    <t>Woolley, Kaitlin; Sharif, Marissa A.</t>
  </si>
  <si>
    <t>Incentives Increase Relative Positivity of Review Content and Enjoyment of Review Writing</t>
  </si>
  <si>
    <t>enjoyment; incentives; motivation; natural language processing; reviews; word of mouth</t>
  </si>
  <si>
    <t>WORD-OF-MOUTH; INTRINSIC MOTIVATION; NEGATIVE AFFECT; REWARD; MODEL; TIME</t>
  </si>
  <si>
    <t>A series of controlled experiments examine how the strategy of incentivizing reviews influences consumers' expressions of positivity. Incentivized (vs. unincentivized) reviews contained a greater proportion of positive relative to negative emotion across a variety of product and service experiences (e.g., videos, service providers, consumer packaged goods companies). This effect occurred for both financial and nonfinancial incentives and when assessing review content across multiple natural language processing tools and human judgments. Incentives influence review content by modifying the experience of writing reviews. That is, when incentives are associated with review writing, they cause the positive affect that results from receiving an incentive to transfer to the review-writing experience, making review writing more enjoyable. In line with this process, the effect of an incentive on review positivity attenuates when incentives are weakly (vs. strongly) associated with review writing (i.e., incentive for participating in an experiment vs. writing a review) and when the incentive does not transfer positive affect (i.e., when an incentive is provided by a disliked company). By examining when incentives do (vs. do not) adjust the relative positivity of written reviews, this research offers theoretical insight into the literature on incentives, motivation, and word of mouth, with practical implications for managers.</t>
  </si>
  <si>
    <t>[Woolley, Kaitlin] Cornell Univ, SC Johnson Coll Business, Mkt, Ithaca, NY 14853 USA; [Sharif, Marissa A.] Univ Penn, Wharton Sch, Mkt, Philadelphia, PA 19104 USA</t>
  </si>
  <si>
    <t>Cornell University; University of Pennsylvania</t>
  </si>
  <si>
    <t>Woolley, K (corresponding author), Cornell Univ, SC Johnson Coll Business, Mkt, Ithaca, NY 14853 USA.</t>
  </si>
  <si>
    <t>krw67@cornell.edu; masharif@wharton.upenn.edu</t>
  </si>
  <si>
    <t>Woolley, Kaitlin/AAF-4300-2021</t>
  </si>
  <si>
    <t>Cornell Center for Social Sciences (CCSS)</t>
  </si>
  <si>
    <t>The author(s) disclosed receipt of the following financial support for the research, authorship, and/or publication of this article: This research was supported by a grant from the Cornell Center for Social Sciences (CCSS) to the first author.</t>
  </si>
  <si>
    <t>10.1177/00222437211010439</t>
  </si>
  <si>
    <t>SA6RB</t>
  </si>
  <si>
    <t>WOS:000649428100007</t>
  </si>
  <si>
    <t>Mass-scale emotionality reveals human behaviour and marketplace success</t>
  </si>
  <si>
    <t>NATURE HUMAN BEHAVIOUR</t>
  </si>
  <si>
    <t>Rocklage et al. find a positivity problem: 80% or more of online ratings are positive and are unreliable predictors of success. As an alternative, mass-scale emotion predicts behaviour towards and success of movies, books, commercials and restaurants. Online reviews promise to provide people with immediate access to the wisdom of the crowds. Yet, half of all reviews on Amazon and Yelp provide the most positive rating possible, despite human behaviour being substantially more varied in nature. We term the challenge of discerning success within this sea of positive ratings the 'positivity problem'. Positivity, however, is only one facet of individuals' opinions. We propose that one solution to the positivity problem lies with the emotionality of people's opinions. Using computational linguistics, we predict the box office revenue of nearly 2,400 movies, sales of 1.6 million books, new brand followers across two years of Super Bowl commercials, and real-world reservations at over 1,000 restaurants. Whereas star ratings are an unreliable predictor of success, emotionality from the very same reviews offers a consistent diagnostic signal. More emotional language was associated with more subsequent success.</t>
  </si>
  <si>
    <t>[Rocklage, Matthew D.] Univ Massachusetts, Coll Management, Boston, MA 02125 USA; [Rucker, Derek D.; Nordgren, Loran F.] Northwestern Univ, Kellogg Sch Management, Evanston, IL USA</t>
  </si>
  <si>
    <t>University of Massachusetts System; University of Massachusetts Boston; Northwestern University</t>
  </si>
  <si>
    <t>Rocklage, MD (corresponding author), Univ Massachusetts, Coll Management, Boston, MA 02125 USA.</t>
  </si>
  <si>
    <t>matthew.rocklage@umb.edu</t>
  </si>
  <si>
    <t>Rocklage, Matthew/0000-0002-9902-2773</t>
  </si>
  <si>
    <t>2397-3374</t>
  </si>
  <si>
    <t>NAT HUM BEHAV</t>
  </si>
  <si>
    <t>Nat. Hum. Behav.</t>
  </si>
  <si>
    <t>U65</t>
  </si>
  <si>
    <t>10.1038/s41562-021-01098-5</t>
  </si>
  <si>
    <t>APR 2021</t>
  </si>
  <si>
    <t>Psychology, Biological; Multidisciplinary Sciences; Neurosciences; Psychology, Experimental</t>
  </si>
  <si>
    <t>Psychology; Science &amp; Technology - Other Topics; Neurosciences &amp; Neurology</t>
  </si>
  <si>
    <t>WJ3LF</t>
  </si>
  <si>
    <t>WOS:000638076100001</t>
  </si>
  <si>
    <t>Hovy, D; Melumad, S; Inman, JJ</t>
  </si>
  <si>
    <t>Hovy, Dirk; Melumad, Shiri; Inman, J. Jeffrey</t>
  </si>
  <si>
    <t>Wordify: A Tool for Discovering and Differentiating Consumer Vocabularies</t>
  </si>
  <si>
    <t>text analysis; natural language processing; language; sentiment analysis</t>
  </si>
  <si>
    <t>IMPACT</t>
  </si>
  <si>
    <t>This work describes and illustrates a free and easy-to-use online text-analysis tool for understanding how consumer word use varies across contexts. The tool, Wordify, uses randomized logistic regression (RLR) to identify the words that best discriminate texts drawn from different pre-classified corpora, such as posts written by men versus women, or texts containing mostly negative versus positive valence. We present illustrative examples to show how the tool can be used for such diverse purposes as (1) uncovering the distinctive vocabularies that consumers use when writing reviews on smartphones versus PCs, (2) discovering how the words used in Tweets differ between presumed supporters and opponents of a controversial ad, and (3) expanding the dictionaries of dictionary-based sentiment-measurement tools. We show empirically that Wordify's RLR algorithm performs better at discriminating vocabularies than support vector machines and chi-square selectors, while offering significant advantages in computing time. A discussion is also provided on the use of Wordify in conjunction with other text-analysis tools, such as probabilistic topic modeling and sentiment analysis, to gain more profound knowledge of the role of language in consumer behavior.</t>
  </si>
  <si>
    <t>[Hovy, Dirk] Univ Bocconi, Comp Sci Mkt, I-20136 Milan, Italy; [Hovy, Dirk] Bocconi Inst Data Sci &amp; Anal BIDSA, Data &amp; Mkt Insights Res Unit DMI, Milan, Italy; [Melumad, Shiri] Univ Penn, Mkt, Philadelphia, PA 19146 USA; [Inman, J. Jeffrey] Univ Pittsburgh, Mkt, Pittsburgh, PA 15260 USA</t>
  </si>
  <si>
    <t>Bocconi University; University of Pennsylvania; Pennsylvania Commonwealth System of Higher Education (PCSHE); University of Pittsburgh</t>
  </si>
  <si>
    <t>Melumad, S (corresponding author), Univ Penn, Mkt, Philadelphia, PA 19146 USA.</t>
  </si>
  <si>
    <t>dirk.hovy@unibocconi.it; melumad@wharton.upenn.edu; jinman@katz.pitt.edu</t>
  </si>
  <si>
    <t>Inman, Jeffrey/0000-0003-0410-2242; Hovy, Dirk/0000-0002-4618-3127</t>
  </si>
  <si>
    <t>Wharton Behavioral Lab</t>
  </si>
  <si>
    <t>The authors thank Pietro Lesci for his help in the design and implementation of the tool, Jonah Berger and Ashlee Humphreys for their helpful comments, and the Wharton Behavioral Lab for its financial support.</t>
  </si>
  <si>
    <t>10.1093/jcr/ucab018</t>
  </si>
  <si>
    <t>MAR 2021</t>
  </si>
  <si>
    <t>WT4XM</t>
  </si>
  <si>
    <t>WOS:000715868600004</t>
  </si>
  <si>
    <t>Brown, T; Caruana, A; Mulvey, M; Pitt, L</t>
  </si>
  <si>
    <t>Brown, Terrence; Caruana, Albert; Mulvey, Michael; Pitt, Leyland</t>
  </si>
  <si>
    <t>Understanding the Emotions of Those With a Gambling Disorder: Insights From Automated Text Analysis</t>
  </si>
  <si>
    <t>JOURNAL OF GAMBLING ISSUES</t>
  </si>
  <si>
    <t>emotions; gambling disorder; automated text analysis</t>
  </si>
  <si>
    <t>UNIVERSALITY; PREVALENCE; EXPRESSION; ADDICTION; BEHAVIOR</t>
  </si>
  <si>
    <t>The diffusion and growth of the web and the social media applications that it has provided have seen people increasingly turn to social media to express their feelings, frustrations, and ambitions and to generally share life events. Like other internet users, those with a gambling disorder are also known to use specialized online forums to read the experiences articulated by others and to open up, share, and express themselves online. In this study, we examined how those with a gambling disorder talk about their emotions and express sentiment through their online comments. Sentiment Analysis in IBM Watson was used to capture expressed emotions (anger, disgust, fear, happiness, sadness, and surprise) and sentiments. These data were then used as input to a latent class cluster modelling procedure aimed at categorizing those with a gambling disorder into distinct groups. The findings show how qualitative online data can be transformed into quantitative insights in order to identify different categories of people with a gambling disorder. The technique offers a non-intrusive method of data collection that can provide useful insights into the emotions felt and expressed by those with a gambling disorder.</t>
  </si>
  <si>
    <t>[Brown, Terrence] Royal Inst Technol KTH, Unit Sustainabil Ind Dynam &amp; Entrepreneurship, Stockholm, Sweden; [Caruana, Albert] Univ Malta, Dept Corp Commun, Msida, Malta; [Mulvey, Michael] Univ Ottawa, Telfer Sch Management, Ottawa, ON, Canada; [Pitt, Leyland] Simon Fraser Univ, Beedle Sch Business, Vancouver, BC, Canada</t>
  </si>
  <si>
    <t>Royal Institute of Technology; University of Malta; University of Ottawa; Simon Fraser University</t>
  </si>
  <si>
    <t>Brown, T (corresponding author), Royal Inst Technol KTH, Unit Sustainabil Ind Dynam &amp; Entrepreneurship, Stockholm, Sweden.</t>
  </si>
  <si>
    <t>terrence@kth.se</t>
  </si>
  <si>
    <t>CARUANA, ALBERT/AAB-4722-2022; Mulvey, Michael S/B-6999-2008</t>
  </si>
  <si>
    <t>CARUANA, ALBERT/0000-0002-5815-8172; Mulvey, Michael S/0000-0003-0183-4173</t>
  </si>
  <si>
    <t>CENTRE ADDICTION &amp; MENTAL HEALTH-CAMH</t>
  </si>
  <si>
    <t>TORONTO</t>
  </si>
  <si>
    <t>33 RUSSELL ST, TORONTO, ON M5S 2S1, CANADA</t>
  </si>
  <si>
    <t>1910-7595</t>
  </si>
  <si>
    <t>J GAMBL ISSUES</t>
  </si>
  <si>
    <t>J. Gambl. Issues</t>
  </si>
  <si>
    <t>10.4309/jgi.2021.47.5</t>
  </si>
  <si>
    <t>Substance Abuse</t>
  </si>
  <si>
    <t>SM6WY</t>
  </si>
  <si>
    <t>WOS:000657744300005</t>
  </si>
  <si>
    <t>How Concrete Language Shapes Customer Satisfaction</t>
  </si>
  <si>
    <t>language; concreteness; listening; customer service; social perception</t>
  </si>
  <si>
    <t>SERVICE QUALITY; PERSUASION KNOWLEDGE; ABSTRACTION; IMPACT; LEVEL; MODEL; MEANINGFULNESS; PERCEPTIONS; ENCOUNTERS; CATEGORIES</t>
  </si>
  <si>
    <t>Consumers are often frustrated by customer service. But could a simple shift in language help improve customer satisfaction? We suggest that linguistic concreteness-the tangibility, specificity, or imaginability of words employees use when speaking to customers-can shape consumer attitudes and behaviors. Five studies, including text analysis of over 1,000 real consumer-employee interactions in two different field contexts, demonstrate that customers are more satisfied, willing to purchase, and purchase more when employees speak to them concretely. This occurs because customers infer that employees who use more concrete language are listening (i.e., attending to and understanding their needs). These findings deepen understanding of how language shapes consumer behavior, reveal a psychological mechanism by which concreteness impacts person perception, and provide a straightforward way that managers could help enhance customer satisfaction.</t>
  </si>
  <si>
    <t>[Packard, Grant] York Univ, Schulich Sch Business, Toronto, ON, Canada; [Berger, Jonah] Univ Penn, Wharton Sch, Philadelphia, PA 19104 USA</t>
  </si>
  <si>
    <t>York University - Canada; University of Pennsylvania</t>
  </si>
  <si>
    <t>Packard, G (corresponding author), York Univ, Schulich Sch Business, Toronto, ON, Canada.</t>
  </si>
  <si>
    <t>gpackard@schulich.yorku.ca; jberger@wharton.upenn.edu</t>
  </si>
  <si>
    <t>Social Sciences and Humanities Research Council of Canada; Lazaridis Institute for the Management of Technology Enterprises</t>
  </si>
  <si>
    <t>Social Sciences and Humanities Research Council of Canada(Social Sciences and Humanities Research Council of Canada (SSHRC)); Lazaridis Institute for the Management of Technology Enterprises</t>
  </si>
  <si>
    <t>This research is supported in part by funding from the Social Sciences and Humanities Research Council of Canada and by a seed grant from the Lazaridis Institute for the Management of Technology Enterprises awarded to the first author. Supplementary materials are included in the web appendix accompanying the online version of this article.</t>
  </si>
  <si>
    <t>10.1093/jcr/ucaa038</t>
  </si>
  <si>
    <t>RJ0JA</t>
  </si>
  <si>
    <t>WOS:000637288400010</t>
  </si>
  <si>
    <t>Carlini, N; Tramer, F; Wallace, E; Jagielski, M; Herbert-Voss, A; Lee, K; Roberts, A; Brown, T; Song, D; Erlingsson, U; Oprea, A; Raffel, C</t>
  </si>
  <si>
    <t>USENIX Assoc</t>
  </si>
  <si>
    <t>Carlini, Nicholas; Tramer, Florian; Wallace, Eric; Jagielski, Matthew; Herbert-Voss, Ariel; Lee, Katherine; Roberts, Adam; Brown, Tom; Song, Dawn; Erlingsson, Ulfar; Oprea, Alina; Raffel, Colin</t>
  </si>
  <si>
    <t>Extracting Training Data from Large Language Models</t>
  </si>
  <si>
    <t>PROCEEDINGS OF THE 30TH USENIX SECURITY SYMPOSIUM</t>
  </si>
  <si>
    <t>30th USENIX Security Symposium</t>
  </si>
  <si>
    <t>AUG 11-13, 2021</t>
  </si>
  <si>
    <t>ELECTR NETWORK</t>
  </si>
  <si>
    <t>It has become common to publish large (billion parameter) language models that have been trained on private datasets. This paper demonstrates that in such settings, an adversary can perform a training data extraction attack to recover individual training examples by querying the language model. We demonstrate our attack on GPT-2, a language model trained on scrapes of the public Internet, and are able to extract hundreds of verbatim text sequences from the model's training data. These extracted examples include (public) personally identifiable information (names, phone numbers, and email addresses), IRC conversations, code, and 128-bit UUIDs. Our attack is possible even though each of the above sequences are included in just one document in the training data. We comprehensively evaluate our extraction attack to understand the factors that contribute to its success. Worryingly, we find that larger models are more vulnerable than smaller models. We conclude by drawing lessons and discussing possible safeguards for training large language models.</t>
  </si>
  <si>
    <t>[Carlini, Nicholas; Lee, Katherine; Roberts, Adam; Raffel, Colin] Google, Mountain View, CA 94043 USA; [Tramer, Florian] Stanford, Stanford, CA USA; [Wallace, Eric; Song, Dawn] Univ Calif Berkeley, Berkeley, CA USA; [Jagielski, Matthew; Oprea, Alina] Northeastern Univ, Boston, MA 02115 USA; [Herbert-Voss, Ariel; Brown, Tom] OpenAI, San Francisco, CA USA; [Herbert-Voss, Ariel] Harvard, Cambridge, MA USA; [Erlingsson, Ulfar] Apple, Cupertino, CA USA</t>
  </si>
  <si>
    <t>Google Incorporated; Stanford University; University of California System; University of California Berkeley; Northeastern University; OpenAI; Apple Inc</t>
  </si>
  <si>
    <t>Carlini, N (corresponding author), Google, Mountain View, CA 94043 USA.</t>
  </si>
  <si>
    <t>Tramer, Florian/0000-0001-8703-8762</t>
  </si>
  <si>
    <t>NSF [CNS-1804222]</t>
  </si>
  <si>
    <t>NSF(National Science Foundation (NSF))</t>
  </si>
  <si>
    <t>We are grateful for comments on early versions of this paper by Dan Boneh, Andreas Terzis, Carey Radebaugh, Daphne Ippolito, Christine Robson, Kelly Cooke, Janel Thamkul, AustinTarango, Jack Clark, Ilya Mironov, and Om Thakkar. Florian Tramer is supported by NSF award CNS-1804222.</t>
  </si>
  <si>
    <t>USENIX ASSOC</t>
  </si>
  <si>
    <t>BERKELEY</t>
  </si>
  <si>
    <t>SUITE 215, 2560 NINTH ST, BERKELEY, CA 94710 USA</t>
  </si>
  <si>
    <t>978-1-939133-24-3</t>
  </si>
  <si>
    <t>Computer Science, Information Systems; Computer Science, Theory &amp; Methods</t>
  </si>
  <si>
    <t>BS4QP</t>
  </si>
  <si>
    <t>WOS:000722006802047</t>
  </si>
  <si>
    <t>Radford, A; Kim, JW; Hallacy, C; Ramesh, A; Goh, G; Agarwal, S; Sastry, G; Askell, A; Mishkin, P; Clark, J; Krueger, G; Sutskever, I</t>
  </si>
  <si>
    <t>Meila, M; Zhang, T</t>
  </si>
  <si>
    <t>Radford, Alec; Kim, Jong Wook; Hallacy, Chris; Ramesh, Aditya; Goh, Gabriel; Agarwal, Sandhini; Sastry, Girish; Askell, Amanda; Mishkin, Pamela; Clark, Jack; Krueger, Gretchen; Sutskever, Ilya</t>
  </si>
  <si>
    <t>Learning Transferable Visual Models From Natural Language Supervision</t>
  </si>
  <si>
    <t>INTERNATIONAL CONFERENCE ON MACHINE LEARNING, VOL 139</t>
  </si>
  <si>
    <t>Proceedings of Machine Learning Research</t>
  </si>
  <si>
    <t>International Conference on Machine Learning (ICML)</t>
  </si>
  <si>
    <t>JUL 18-24, 2021</t>
  </si>
  <si>
    <t>SOTA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performance on over 30 different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https://github.com/OpenAI/CLIP.</t>
  </si>
  <si>
    <t>[Radford, Alec; Kim, Jong Wook; Hallacy, Chris; Ramesh, Aditya; Goh, Gabriel; Agarwal, Sandhini; Sastry, Girish; Askell, Amanda; Mishkin, Pamela; Clark, Jack; Krueger, Gretchen; Sutskever, Ilya] OpenAI, San Francisco, CA 94110 USA</t>
  </si>
  <si>
    <t>OpenAI</t>
  </si>
  <si>
    <t>Radford, A; Kim, JW (corresponding author), OpenAI, San Francisco, CA 94110 USA.</t>
  </si>
  <si>
    <t>alec@openai.com; jongwook@openai.com</t>
  </si>
  <si>
    <t>JMLR-JOURNAL MACHINE LEARNING RESEARCH</t>
  </si>
  <si>
    <t>1269 LAW ST, SAN DIEGO, CA, UNITED STATES</t>
  </si>
  <si>
    <t>2640-3498</t>
  </si>
  <si>
    <t>PR MACH LEARN RES</t>
  </si>
  <si>
    <t>BS7WD</t>
  </si>
  <si>
    <t>WOS:000768182704084</t>
  </si>
  <si>
    <t>Manning, CD; Clark, K; Hewitt, J; Khandelwal, U; Levy, O</t>
  </si>
  <si>
    <t>Manning, Christopher D.; Clark, Kevin; Hewitt, John; Khandelwal, Urvashi; Levy, Omer</t>
  </si>
  <si>
    <t>Emergent linguistic structure in artificial neural networks trained by self-supervision</t>
  </si>
  <si>
    <t>artificial neural netwok; self-supervision; syntax; learning</t>
  </si>
  <si>
    <t>LANGUAGE; ACQUISITION</t>
  </si>
  <si>
    <t>This paper explores the knowledge of linguistic structure learned by large artificial neural networks, trained via self-supervision, whereby the model simply tries to predict a masked word in a given context. Human language communication is via sequences of words, but language understanding requires constructing rich hierarchical structures that are never observed explicitly. The mechanisms for this have been a prime mystery of human language acquisition, while engineering work has mainly proceeded by supervised learning on treebanks of sentences hand labeled for this latent structure. However, we demonstrate that modern deep contextual language models learn major aspects of this structure, without any explicit supervision. We develop methods for identifying linguistic hierarchical structure emergent in artificial neural networks and demonstrate that components in these models focus on syntactic grammatical relationships and anaphoric coreference. Indeed, we show that a linear transformation of learned embeddings in these models captures parse tree distances to a surprising degree, allowing approximate reconstruction of the sentence tree structures normally assumed by linguists. These results help explain why these models have brought such large improvements across many language-understanding tasks.</t>
  </si>
  <si>
    <t>[Manning, Christopher D.; Clark, Kevin; Hewitt, John; Khandelwal, Urvashi] Stanford Univ, Comp Sci Dept, Stanford, CA 94305 USA; [Levy, Omer] Facebook Inc, Facebook Artificial Intelligence Res, Seattle, WA 98109 USA</t>
  </si>
  <si>
    <t>Stanford University; Facebook Inc</t>
  </si>
  <si>
    <t>Manning, CD (corresponding author), Stanford Univ, Comp Sci Dept, Stanford, CA 94305 USA.</t>
  </si>
  <si>
    <t>manning@cs.stanford.edu</t>
  </si>
  <si>
    <t>Google Fellowship; Tencent Corp.</t>
  </si>
  <si>
    <t>Google Fellowship(Google Incorporated); Tencent Corp.</t>
  </si>
  <si>
    <t>We thank Tatsunori B. Hashimoto, Abigail See, Siva Reddy, Drew A. Hudson, Roma Patel, Percy Liang, and the PNAS reviewers for helpful comments. K.C. was supported by a Google Fellowship. J.H. and C.D.M. were partly funded by a gift from Tencent Corp.</t>
  </si>
  <si>
    <t>DEC 1</t>
  </si>
  <si>
    <t>10.1073/pnas.1907367117</t>
  </si>
  <si>
    <t>PB8CN</t>
  </si>
  <si>
    <t>WOS:000596542700015</t>
  </si>
  <si>
    <t>Sejnowski, TJ</t>
  </si>
  <si>
    <t>Sejnowski, Terrence J.</t>
  </si>
  <si>
    <t>The unreasonable effectiveness of deep learning in artificial intelligence</t>
  </si>
  <si>
    <t>deep learning; artificial intelligence; neural networks</t>
  </si>
  <si>
    <t>ALGORITHM; MEMORY; BACK</t>
  </si>
  <si>
    <t>Deep learning networks have been trained to recognize speech, caption photographs, and translate text between languages at high levels of performance. Although applications of deep learning networks to real-world problems have become ubiquitous, our understanding of why they are so effective is lacking. These empirical results should not be possible according to sample complexity in statistics and nonconvex optimization theory. However, paradoxes in the training and effectiveness of deep learning networks are being investigated and insights are being found in the geometry of high-dimensional spaces. A mathematical theory of deep learning would illuminate how they function, allow us to assess the strengths and weaknesses of different network architectures, and lead to major improvements. Deep learning has provided natural ways for humans to communicate with digital devices and is foundational for building artificial general intelligence. Deep learning was inspired by the architecture of the cerebral cortex and insights into autonomy and general intelligence may be found in other brain regions that are essential for planning and survival, but major breakthroughs will be needed to achieve these goals.</t>
  </si>
  <si>
    <t>[Sejnowski, Terrence J.] Salk Inst Biol Studies, Computat Neurobiol Lab, La Jolla, CA 92037 USA; [Sejnowski, Terrence J.] Univ Calif San Diego, Div Biol Sci, La Jolla, CA 92093 USA</t>
  </si>
  <si>
    <t>Salk Institute; University of California System; University of California San Diego</t>
  </si>
  <si>
    <t>Sejnowski, TJ (corresponding author), Salk Inst Biol Studies, Computat Neurobiol Lab, La Jolla, CA 92037 USA.;Sejnowski, TJ (corresponding author), Univ Calif San Diego, Div Biol Sci, La Jolla, CA 92093 USA.</t>
  </si>
  <si>
    <t>terry@salk.edu</t>
  </si>
  <si>
    <t>Sejnowski, Terrence/AAV-5558-2021</t>
  </si>
  <si>
    <t>10.1073/pnas.1907373117</t>
  </si>
  <si>
    <t>Bronze, Green Published, Green Submitted</t>
  </si>
  <si>
    <t>WOS:000596542700013</t>
  </si>
  <si>
    <t>Gennaro, A; Kipp, S; Viol, K; de Felice, G; Andreassi, S; Aichhorn, W; Salvatore, S; Schiepek, G</t>
  </si>
  <si>
    <t>Gennaro, Alessandro; Kipp, Sylvia; Viol, Kathrin; de Felice, Giulio; Andreassi, Silvia; Aichhorn, Wolfgang; Salvatore, Sergio; Schiepek, Gunter</t>
  </si>
  <si>
    <t>A Phase Transition of the Unconscious: Automated Text Analysis of Dreams in Psychoanalytic Psychotherapy</t>
  </si>
  <si>
    <t>text analysis; dream analysis; psychotherapy process; meaning; phase transition</t>
  </si>
  <si>
    <t>EMOTION-ABSTRACTION PATTERNS; CLIENT-THERAPIST INTERACTION; CHAOTIC PROCESS; TIME-SERIES; DYNAMICS; SENSE; MODEL</t>
  </si>
  <si>
    <t>Aim Psychotherapy could be interpreted as a self-organizing process which reveals discontinuous pattern transitions (so-called phase transitions). Whereas this was shown in the conscious process of awake patients by different measures and at different time scales, dreams came very seldom into the focus of investigation. The present work tests the hypothesis that, by dreaming, the patient gets progressively more access to affective-laden (i.e., emotionally charged) unconscious dimensions. Furthermore, the study investigates if, over the course of psychotherapy, a discontinuous phase transition occurs in the patient's capacity to get in contact with those unconscious dimensions. Methods and Procedures A series of 95 dream narratives reported during a psychoanalytic psychotherapy of a female patient (published as the dreams of Amalie X) was used for analysis. An automated text analysis procedure based on multiple correspondence analysis was applied to the textual corpus of the dreams, highlighting a 10-factor structure. The factors, interpreted as affective-laden unconscious meaning dimensions, were adopted to define a 10-dimensional phase space, in which the ability of a dream to be associated with one or more local factors representing complex affective-laden meanings is measured by the Euclidean distance (ED) from the origin of this hyperspace. The obtained ED time series has been fitted by an autoregressive integrated moving average (ARIMA) model and by non linear methods like dynamic complexity, recurrence plot, and time frequency distribution. Change point analysis was applied to these non linear methods. Results The results show an increased frequency and intensity of dreams to get access to affective-laden meanings. Non linear methods identified a phase transition-like jump of the ED dynamics onto a higher complexity level of the dreaming process, suggesting a non linear process in the patient's capacity to get in contact with unconscious dimensions. Conclusion The study corroborates the hypothesis that, by dreaming, the patient gets progressively more access to affective-laden meaning intended as unconscious dimensions. The trajectory of this process has been reproduced by an ARIMA model, and beyond this, non linear methods of time series analysis allowed the identification of a phase transition in the unconscious process of the psychoanalytic therapy under investigation.</t>
  </si>
  <si>
    <t>[Gennaro, Alessandro; de Felice, Giulio; Andreassi, Silvia; Salvatore, Sergio] Sapienza Univ Rome, Dept Dynam &amp; Clin Psychol, Rome, Italy; [Kipp, Sylvia] Univ Appl Sci Econ &amp; Management, Inst Hlth &amp; Social Relat, FOM, Essen, Germany; [Viol, Kathrin; Aichhorn, Wolfgang; Schiepek, Gunter] Paracelsus Med Univ, Univ Hosp Psychiat Psychotherapy &amp; Psychosomat, Inst Synerget &amp; Psychotherapy Res, Salzburg, Austria; [de Felice, Giulio] NCIUL Univ, Fac Psychol, London, England; [Schiepek, Gunter] Ludwig Maximilians Univ Munchen, Dept Psychol, Munich, Germany</t>
  </si>
  <si>
    <t>Sapienza University Rome; Paracelsus Private Medical University; University of Munich</t>
  </si>
  <si>
    <t>Kipp, S (corresponding author), Univ Appl Sci Econ &amp; Management, Inst Hlth &amp; Social Relat, FOM, Essen, Germany.</t>
  </si>
  <si>
    <t>info@drkipp.de</t>
  </si>
  <si>
    <t>Gennaro, Alessandro/HDO-0897-2022; salvatore, sergio/AAB-3177-2021</t>
  </si>
  <si>
    <t>Gennaro, Alessandro/0000-0003-3138-9875; salvatore, sergio/0000-0002-4583-8478; Aichhorn, Wolfgang/0000-0001-5168-4199</t>
  </si>
  <si>
    <t>AUG 12</t>
  </si>
  <si>
    <t>10.3389/fpsyg.2020.01667</t>
  </si>
  <si>
    <t>NI3WY</t>
  </si>
  <si>
    <t>Green Accepted, Green Published, gold</t>
  </si>
  <si>
    <t>WOS:000565287600001</t>
  </si>
  <si>
    <t>Kiatkawsin, K; Sutherland, I; Kim, JY</t>
  </si>
  <si>
    <t>Kiatkawsin, Kiattipoom; Sutherland, Ian; Kim, Jin-Young</t>
  </si>
  <si>
    <t>A Comparative Automated Text Analysis of Airbnb Reviews in Hong Kong and Singapore Using Latent Dirichlet Allocation</t>
  </si>
  <si>
    <t>SUSTAINABILITY</t>
  </si>
  <si>
    <t>automated text analysis; latent Dirichlet allocation (LDA); Airbnb; online reviews; Hong Kong; Singapore</t>
  </si>
  <si>
    <t>TOURIST SATISFACTION; EXPERIENCE; LOYALTY; HOTELS; ACCOMMODATION; SUPERHOST</t>
  </si>
  <si>
    <t>Airbnb has emerged as a platform where unique accommodation options can be found. Due to the uniqueness of each accommodation unit and host combination, each listing offers a one-of-a-kind experience. As consumers increasingly rely on text reviews of other customers, managers are also increasingly gaining insight from customer reviews. Thus, this present study aimed to extract those insights from reviews using latent Dirichlet allocation, an unsupervised type of topic modeling that extracts latent discussion topics from text data. Findings of Hong Kong's 185,695 and Singapore's 93,571 Airbnb reviews, two long-term rival destinations, were compared. Hong Kong produced 12 total topics that can be categorized into four distinct groups whereas Singapore's optimal number of topics was only five. Topics produced from both destinations covered the same range of attributes, but Hong Kong's 12 topics provide a greater degree of precision to formulate managerial recommendations. While many topics are similar to established hotel attributes, topics related to the host and listing management are unique to the Airbnb experience. The findings also revealed keywords used when evaluating the experience that provide more insight beyond typical numeric ratings.</t>
  </si>
  <si>
    <t>[Kiatkawsin, Kiattipoom; Sutherland, Ian] Sejong Univ, Dept Hospitality &amp; Tourism Management, Tourism Ind Data Analyt Lab TIDAL, Seoul 05006, South Korea; [Kim, Jin-Young] Dong Seoul Univ, Dept Hotel &amp; Tourism Management, Gyeonggi Do 13117, South Korea</t>
  </si>
  <si>
    <t>Sejong University</t>
  </si>
  <si>
    <t>Kim, JY (corresponding author), Dong Seoul Univ, Dept Hotel &amp; Tourism Management, Gyeonggi Do 13117, South Korea.</t>
  </si>
  <si>
    <t>kiatkawsin@gmail.com; ianosutherland@gmail.com; fiu9882@naver.com</t>
  </si>
  <si>
    <t>Kiatkawsin, Kiattipoom/L-1296-2016; Almeida-García, Fernando/AAE-4659-2019; Sutherland, Ian/AAU-7274-2020</t>
  </si>
  <si>
    <t>Kiatkawsin, Kiattipoom/0000-0001-9536-3231; Almeida-García, Fernando/0000-0001-6560-8752; Sutherland, Ian/0000-0002-0481-5827</t>
  </si>
  <si>
    <t>2071-1050</t>
  </si>
  <si>
    <t>SUSTAINABILITY-BASEL</t>
  </si>
  <si>
    <t>Sustainability</t>
  </si>
  <si>
    <t>10.3390/su12166673</t>
  </si>
  <si>
    <t>Green &amp; Sustainable Science &amp; Technology; Environmental Sciences; Environmental Studies</t>
  </si>
  <si>
    <t>Science &amp; Technology - Other Topics; Environmental Sciences &amp; Ecology</t>
  </si>
  <si>
    <t>OC0YU</t>
  </si>
  <si>
    <t>WOS:000578890600001</t>
  </si>
  <si>
    <t>Jaidka, K; Giorgi, S; Schwartz, HA; Kern, ML; Ungar, LH; Eichstaedt, JC</t>
  </si>
  <si>
    <t>Jaidka, Kokil; Giorgi, Salvatore; Schwartz, H. Andrew; Kern, Margaret L.; Ungar, Lyle H.; Eichstaedt, Johannes C.</t>
  </si>
  <si>
    <t>Estimating geographic subjective well-being from Twitter: A comparison of dictionary and data-driven language methods</t>
  </si>
  <si>
    <t>Twitter; subjective well-being; language analysis; big data; machine learning</t>
  </si>
  <si>
    <t>SLEEP</t>
  </si>
  <si>
    <t>Researchers and policy makers worldwide are interested in measuring the subjective well-being of populations. When users post on social media, they leave behind digital traces that reflect their thoughts and feelings. Aggregation of such digital traces may make it possible to monitor well-being at large scale. However, social media-based methods need to be robust to regional effects if they are to produce reliable estimates. Using a sample of 1.53 billion geotagged English tweets, we provide a systematic evaluation of word-level and data-driven methods for text analysis for generating well-being estimates for 1,208 US counties. We compared Twitter-based county-level estimates with well-being measurements provided by the Gallup-Sharecare Well-Being Index survey through 1.73 million phone surveys. We find that word-level methods (e.g., Linguistic Inquiry and Word Count [LIWC] 2015 and Language Assessment by Mechanical Turk [LabMT]) yielded inconsistent county-level wellbeing measurements due to regional, cultural, and socioeconomic differences in language use. However, removing as few as three of the most frequent words led to notable improvements in well-being prediction. Data-driven methods provided robust estimates, approximating the Gallup data at up to r = 0.64. We show that the findings generalized to county socioeconomic and health outcomes and were robust when poststratifying the samples to be more representative of the general US population. Regional well-being estimation from social media data seems to be robust when supervised data-driven methods are used.</t>
  </si>
  <si>
    <t>[Jaidka, Kokil] Natl Univ Singapore, Dept Commun &amp; New Media, Singapore 117416, Singapore; [Jaidka, Kokil] Natl Univ Singapore, Ctr Trusted Internet &amp; Community, Singapore 117416, Singapore; [Giorgi, Salvatore] Univ Penn, Dept Comp &amp; Informat Sci, 200 S 33rd St, Philadelphia, PA 19104 USA; [Schwartz, H. Andrew] SUNY Stony Brook, Dept Comp Sci, Stony Brook, NY 11794 USA; [Kern, Margaret L.] Univ Melbourne, Melbourne Grad Sch Educ, Parkville, Vic 3010, Australia; [Ungar, Lyle H.; Eichstaedt, Johannes C.] Stanford Univ, Dept Psychol, Stanford, CA 94305 USA; [Eichstaedt, Johannes C.] Stanford Univ, Inst Human Ctr Artificial Intelligence, Stanford, CA 94305 USA</t>
  </si>
  <si>
    <t>National University of Singapore; National University of Singapore; University of Pennsylvania; State University of New York (SUNY) System; State University of New York (SUNY) Stony Brook; University of Melbourne; Stanford University; Stanford University</t>
  </si>
  <si>
    <t>Jaidka, K (corresponding author), Natl Univ Singapore, Dept Commun &amp; New Media, Singapore 117416, Singapore.;Jaidka, K (corresponding author), Natl Univ Singapore, Ctr Trusted Internet &amp; Community, Singapore 117416, Singapore.;Eichstaedt, JC (corresponding author), Stanford Univ, Dept Psychol, Stanford, CA 94305 USA.;Eichstaedt, JC (corresponding author), Stanford Univ, Inst Human Ctr Artificial Intelligence, Stanford, CA 94305 USA.</t>
  </si>
  <si>
    <t>jaidka@nus.edu.sg; johannes.stanford@gmail.com</t>
  </si>
  <si>
    <t>Schwartz, H. Andrew/AAE-7276-2021</t>
  </si>
  <si>
    <t>Eichstaedt, Johannes/0000-0002-3220-2972; Jaidka, Kokil/0000-0002-8127-1157</t>
  </si>
  <si>
    <t>Nanyang Presidential Postdoctoral Award; Adobe Research Award; RobertWood Johnson Foundation Pioneer Award; Templeton Religion Trust [TRT0048]</t>
  </si>
  <si>
    <t>Nanyang Presidential Postdoctoral Award; Adobe Research Award; RobertWood Johnson Foundation Pioneer Award; Templeton Religion Trust</t>
  </si>
  <si>
    <t>We thank T.J.V., the PNAS editorial staff, the anonymous reviewers, and JamesW. Pennebaker for their generous and insightful suggestions. Support for this research was provided by a Nanyang Presidential Postdoctoral Award, an Adobe Research Award, a RobertWood Johnson Foundation Pioneer Award, and Templeton Religion Trust Grant TRT0048.</t>
  </si>
  <si>
    <t>MAY 12</t>
  </si>
  <si>
    <t>10.1073/pnas.1906364117</t>
  </si>
  <si>
    <t>LN3JG</t>
  </si>
  <si>
    <t>hybrid, Green Published, Green Submitted</t>
  </si>
  <si>
    <t>WOS:000532837500014</t>
  </si>
  <si>
    <t>Kubler, RV; Colicev, A; Pauwels, KH</t>
  </si>
  <si>
    <t>Kubler, Raoul, V; Colicev, Anatoli; Pauwels, Koen H.</t>
  </si>
  <si>
    <t>Social Media's Impact on the Consumer Mindset: When to Use Which Sentiment Extraction Tool?</t>
  </si>
  <si>
    <t>Sentiment extraction; Consumer attitudes; Language dictionary; Maching learning; LIWC; Support vector machine; Brand strength; Volume; Valence; User generated content</t>
  </si>
  <si>
    <t>TEXT ANALYSIS; METRICS; PREDICTION; ONLINE; BRANDS; MODELS</t>
  </si>
  <si>
    <t>User-generated content provides many opportunities for managers and researchers, but insights are hindered by a lack of consensus on how to extract brand-relevant valence and volume. Marketing studies use different sentiment extraction tools (SETs) based on social media volume, top-down language dictionaries and bottom-up machine learning approaches. This paper compares the explanatory and forecasting power of these methods over several years for daily customer mindset metrics obtained from survey data. For 48 brands in diverse industries, vector autoregressive models show that volume metrics explain the most for brand awareness and purchase intent, while bottom-up SETs excel at explaining brand impression, satisfaction and recommendation. Systematic differences yield contingent advice: the most nuanced version of bottom-up SETs (SVM with Neutral) performs best for the search goods for all consumer mind-set metrics but Purchase Intent for which Volume metrics work best. For experienced goods, Volume outperforms SVM with neutral. As processing time and costs increase when moving from volume to top-down to bottom-up sentiment extraction tools, these conditional findings can help managers decide when more detailed analytics are worth the investment. (C) 2020 Direct Marketing Educational Foundation, Inc. dba Marketing EDGE.</t>
  </si>
  <si>
    <t>[Kubler, Raoul, V] Westfalische Wilhelms Univ Munster, Mkt Ctr Munster, Stadtgraben 13-15, D-48143 Munster, Germany; [Colicev, Anatoli] Bocconi Univ, Dept Mkt, Via Roberto Sarfatti 25, I-20100 Milan, Italy; [Pauwels, Koen H.] Northeastern Univ, DAmore McKim Sch Business, 404 Hayden Hall,360 Huntington Ave, Boston, MA 02115 USA</t>
  </si>
  <si>
    <t>University of Munster; Bocconi University; Northeastern University</t>
  </si>
  <si>
    <t>Kubler, RV (corresponding author), Westfalische Wilhelms Univ Munster, Mkt Ctr Munster, Stadtgraben 13-15, D-48143 Munster, Germany.</t>
  </si>
  <si>
    <t>raoul.kubler@ozyegin.edu.tr; anatoli.colicev@unibocconi.it; k.pauwels@northeastern.edu</t>
  </si>
  <si>
    <t>pauwels, koen/ABE-7063-2020</t>
  </si>
  <si>
    <t>Colicev, Anatoli/0000-0002-3311-8334</t>
  </si>
  <si>
    <t>10.1016/j.intmar.2019.08.001</t>
  </si>
  <si>
    <t>LR8HL</t>
  </si>
  <si>
    <t>WOS:000535937100009</t>
  </si>
  <si>
    <t>Aronsson, FS; Kuhlmann, M; Jelic, V; Ostberg, P</t>
  </si>
  <si>
    <t>Aronsson, Fredrik; Kuhlmann, Marco; Jelic, Vesna; Ostberg, Per</t>
  </si>
  <si>
    <t>Is cognitive impairment associated with reduced syntactic complexity in writing? Evidence from automated text analysis</t>
  </si>
  <si>
    <t>APHASIOLOGY</t>
  </si>
  <si>
    <t>Syntactic complexity; average dependency distance; Alzheimer's disease; mci; sci</t>
  </si>
  <si>
    <t>EARLY ALZHEIMERS-DISEASE; WORKING-MEMORY; LANGUAGE IMPAIRMENT; LINGUISTIC ABILITY; SEMANTIC MEMORY; EARLY-LIFE; MILD; AGRAPHIA; DECLINE; DYSFUNCTION</t>
  </si>
  <si>
    <t>Background: Written language impairments are common in Alzheimer's disease and reduced syntactic complexity in written discourse has been observed decades before the onset of dementia. The validity of average dependency distance (ADD), a measure of syntactic complexity, in cognitive decline needs to be studied further to evaluate its clinical relevance. Aims: The aim of the study was to determine whether ADD is associated with levels of cognitive impairment in memory clinic patients. Methods &amp; procedures: We analyzed written texts collected in clinical practice from 114 participants with subjective cognitive impairment, mild cognitive impairment, and Alzheimer's disease during routine assessment at a memory clinic. ADD was measured using automated analysis methods consisting of a syntactic parser and a part-of-speech tagger. Outcomes &amp; results: Our results show a significant association between ADD and levels of cognitive impairment, using ordinal logistic regression models. Conclusion: These results suggest that ADD is clinically relevant with regard to levels of cognitive impairment and indicate a diagnostic potential for ADD in cognitive assessment.</t>
  </si>
  <si>
    <t>[Aronsson, Fredrik; Ostberg, Per] Karolinska Inst, Dept Clin Sci Intervent &amp; Technol, Div Speech &amp; Language Pathol, Stockholm, Sweden; [Aronsson, Fredrik; Ostberg, Per] Karolinska Univ Hosp, Speech &amp; Language Pathol Med Unit, Stockholm, Sweden; [Kuhlmann, Marco] Linkoping Univ, Dept Comp &amp; Informat Sci, Linkoping, Sweden; [Jelic, Vesna] Karolinska Inst, Div Clin Geriatr, Dept Neurobiol Care Sci &amp; Soc, Stockholm, Sweden; [Jelic, Vesna] Karolinska Univ Hosp, Theme Aging, Stockholm, Sweden</t>
  </si>
  <si>
    <t>Karolinska Institutet; Karolinska Institutet; Karolinska University Hospital; Linkoping University; Karolinska Institutet; Karolinska Institutet; Karolinska University Hospital</t>
  </si>
  <si>
    <t>Aronsson, FS (corresponding author), Karolinska Univ Hosp, Karolinska Inst, Dept Clin Sci Intervent &amp; Technol, Div Speech &amp; Language Pathol, F67, SE-14186 Stockholm, Sweden.</t>
  </si>
  <si>
    <t>fredrik.sand@ki.se</t>
  </si>
  <si>
    <t>Jelic, Vesna/HKM-5396-2023; Östberg, Per/GQZ-8379-2022</t>
  </si>
  <si>
    <t>Kuhlmann, Marco/0000-0002-2492-9872; Sand Aronsson, Fredrik/0000-0001-8452-0043</t>
  </si>
  <si>
    <t>Alzheimerfonden (The Swedish Alzheimer's Foundation); Karolinska Institutet</t>
  </si>
  <si>
    <t>Alzheimerfonden (The Swedish Alzheimer's Foundation); Karolinska Institutet(Karolinska Institutet)</t>
  </si>
  <si>
    <t>This research was supported by Alzheimerfonden (The Swedish Alzheimer's Foundation) and Karolinska Institutet.</t>
  </si>
  <si>
    <t>0268-7038</t>
  </si>
  <si>
    <t>1464-5041</t>
  </si>
  <si>
    <t>Aphasiology</t>
  </si>
  <si>
    <t>JUL 3</t>
  </si>
  <si>
    <t>10.1080/02687038.2020.1742282</t>
  </si>
  <si>
    <t>APR 2020</t>
  </si>
  <si>
    <t>Audiology &amp; Speech-Language Pathology; Linguistics; Clinical Neurology; Rehabilitation</t>
  </si>
  <si>
    <t>Audiology &amp; Speech-Language Pathology; Linguistics; Neurosciences &amp; Neurology; Rehabilitation</t>
  </si>
  <si>
    <t>TC0YH</t>
  </si>
  <si>
    <t>WOS:000526283200001</t>
  </si>
  <si>
    <t>Kang, Y; Cai, Z; Tan, CW; Huang, Q; Liu, HF</t>
  </si>
  <si>
    <t>Kang, Yue; Cai, Zhao; Tan, Chee-Wee; Huang, Qian; Liu, Hefu</t>
  </si>
  <si>
    <t>Natural language processing (NLP) in management research: A literature review</t>
  </si>
  <si>
    <t>natural language processing; literature review; sentiment analysis; machine learning</t>
  </si>
  <si>
    <t>SOCIAL MEDIA; TEXTUAL ANALYSIS; SEARCH ENGINES; SENTIMENT; IMPACT; INFORMATION; ADAPTATION; ANALYTICS; EVOLUTION; PATTERNS</t>
  </si>
  <si>
    <t>Natural language processing (NLP) is gaining momentum in management research for its ability to automatically analyze and comprehend human language. Yet, despite its extensive application in management research, there is neither a comprehensive review of extant literature on such applications, nor is there a detailed walkthrough on how it can be employed as an analytical technique. To this end, we review articles in the UT Dallas List of 24 Leading Business Journals that employ NLP as their focal analytical technique to elucidate how textual data can be harnessed for advancing management theories across multiple disciplines. We describe the available toolkits and procedural steps for employing NLP as an analytical technique as well as its advantages and disadvantages. In so doing, we highlight the managerial and technological challenges associated with the application of NLP in management research in order to guide future inquires.</t>
  </si>
  <si>
    <t>[Kang, Yue; Huang, Qian; Liu, Hefu] Univ Sci &amp; Technol China, Sch Management, Hefei, Peoples R China; [Cai, Zhao] Univ Nottingham Ningbo China, Nottingham Univ Business Sch China, Ningbo, Peoples R China; [Tan, Chee-Wee] Copenhagen Business Sch, Dept Digitalizat, Copenhagen, Denmark</t>
  </si>
  <si>
    <t>Chinese Academy of Sciences; University of Science &amp; Technology of China, CAS; University of Nottingham Ningbo China; Copenhagen Business School</t>
  </si>
  <si>
    <t>Cai, Z (corresponding author), Univ Nottingham Ningbo China, Nottingham Univ Business Sch China, Ningbo, Peoples R China.</t>
  </si>
  <si>
    <t>zhao.cai@nottingham.edu.cn</t>
  </si>
  <si>
    <t>Cai, Zhao/AAD-3347-2021; Liu, Hefu/Q-1463-2017</t>
  </si>
  <si>
    <t>Cai, Zhao/0000-0001-8705-4164; Tan, Chee-Wee/0000-0003-4245-541X; Liu, Hefu/0000-0003-3854-7821</t>
  </si>
  <si>
    <t>National Natural Science Foundation of China [71571177,71622009,71801204,71921001,71971202]</t>
  </si>
  <si>
    <t>This work was supported by National Natural Science Foundation of China: [Grant Number 71571177,71622009,71801204,71921001,71971202].</t>
  </si>
  <si>
    <t>10.1080/23270012.2020.1756939</t>
  </si>
  <si>
    <t>WOS:000536519700001</t>
  </si>
  <si>
    <t>Almquist, ZW; Bagozzi, BE</t>
  </si>
  <si>
    <t>Almquist, Zack W.; Bagozzi, Benjamin E.</t>
  </si>
  <si>
    <t>Automated text analysis for understanding radical activism: The topical agenda of the North American animal liberation movement</t>
  </si>
  <si>
    <t>RESEARCH &amp; POLITICS</t>
  </si>
  <si>
    <t>Environmental politics; radicalism; radical environmental activism; animal liberation front; animal rights; text-as-data</t>
  </si>
  <si>
    <t>SOCIAL NETWORKS; RIGHTS</t>
  </si>
  <si>
    <t>It is difficult to study radical social movements due to their often covert, fluid, and fleeting qualities. As a consequence, data limitations and/or theoretical disagreements abound within research on such movements. We contend that the texts produced by radical movements and their supporters provide a window into group features, and that recent advances in automated text analysis methods afford a means for unlocking these texts in a systematic fashion. We evaluate the contentions through an automated analysis of the radical animal liberation movement's primary North American publication. Our application provides novel insights into the topical agenda of animal liberationists, and the relative attention paid towards networking, (non)violence, radicalization, and direct actions. Examination of these topics over time further reveals a number of ideological and tactical shifts, which are predictive of future direct-action events. This demonstrates the benefits of automated text analysis for the study of radical movements and their texts.</t>
  </si>
  <si>
    <t>[Almquist, Zack W.] Univ Washington, Dept Sociol, Seattle, WA 98195 USA; [Almquist, Zack W.] Univ Washington, ESci Inst, Seattle, WA 98195 USA; [Bagozzi, Benjamin E.] Univ Delaware, Dept Polit &amp; Int Relat, 405 Smith Hall,18 Amstel Ave, Newark, DE 19716 USA</t>
  </si>
  <si>
    <t>University of Washington; University of Washington Seattle; University of Washington; University of Washington Seattle; University of Delaware</t>
  </si>
  <si>
    <t>Bagozzi, BE (corresponding author), Univ Delaware, Dept Polit &amp; Int Relat, 405 Smith Hall,18 Amstel Ave, Newark, DE 19716 USA.</t>
  </si>
  <si>
    <t>bagozzib@udel.edu</t>
  </si>
  <si>
    <t>Almquist, Zack/0000-0002-1967-123X; Bagozzi, Benjamin/0000-0002-6233-6453</t>
  </si>
  <si>
    <t>2053-1680</t>
  </si>
  <si>
    <t>RES POLITICS</t>
  </si>
  <si>
    <t>Res. Politics</t>
  </si>
  <si>
    <t>10.1177/2053168020921742</t>
  </si>
  <si>
    <t>LW7IS</t>
  </si>
  <si>
    <t>WOS:000539317700001</t>
  </si>
  <si>
    <t>The Enhancing Versus Backfiring Effects of Positive Emotion in Consumer Reviews</t>
  </si>
  <si>
    <t>emotion; language; online reviews; trust; word of mouth</t>
  </si>
  <si>
    <t>WORD-OF-MOUTH; PERCEIVED HELPFULNESS; ONLINE REVIEWS; CONSUMPTION; TRUST; EXPERIENCE; PERCEPTIONS; ATTITUDES; RESPONSES; FEELINGS</t>
  </si>
  <si>
    <t>Researchers, marketers, and consumers often believe that amplifying emotional content is impactful for the spread of information and purchasing decisions. However, there is little systematic investigation of when emotionality backfires. This research demonstrates when and why positive emotion can have enhancing versus backfiring effects. The authors find that reviewers who express greater positive emotion are indeed more positive toward their products, regardless of product type. In addition, expressed emotion for hedonic products has a positive impact when read by others, but this emotion backfires for utilitarian products, leading others to be less positive. The authors construct a conceptual model of these effects and show that violated expectations leading to decreased trust underlie this divergence between reviewers and readers. The effects occur in well-controlled experiments as well as computational linguistic analysis of 100,000 Amazon reviews across 500 products. Indeed, emotional reviews of utilitarian products are less likely to become popular and be displayed on the product's front page on Amazon. This work also introduces a novel tool for quantifying natural language in marketing: the Evaluative Lexicon.</t>
  </si>
  <si>
    <t>[Rocklage, Matthew D.] Univ Massachusetts, Mkt, Boston, MA 02125 USA; [Fazio, Russell H.] Ohio State Univ, Psychol, Columbus, OH 43210 USA</t>
  </si>
  <si>
    <t>University of Massachusetts System; University of Massachusetts Boston; University System of Ohio; Ohio State University</t>
  </si>
  <si>
    <t>Rocklage, MD (corresponding author), Univ Massachusetts, Mkt, Boston, MA 02125 USA.</t>
  </si>
  <si>
    <t>matthew.rocklage@umb.edu; fazio.11@osu.edu</t>
  </si>
  <si>
    <t>10.1177/0022243719892594</t>
  </si>
  <si>
    <t>LC6IC</t>
  </si>
  <si>
    <t>WOS:000525435800008</t>
  </si>
  <si>
    <t>Thinking of You: How Second-Person Pronouns Shape Cultural Success</t>
  </si>
  <si>
    <t>language; pronouns; psychological foundations of culture; arts and entertainment; open data; open materials; preregistered</t>
  </si>
  <si>
    <t>PERSPECTIVE-TAKING; SELF; TRANSPORTATION; TALK; PSYCHOLOGY; MECHANISM; COGNITION; NEEDS</t>
  </si>
  <si>
    <t>Why do some cultural items succeed and others fail? Some scholars have argued that one function of the narrative arts is to facilitate feelings of social connection. If this is true, cultural items that activate personal connections should be more successful. The present research tested this possibility in the context of second-person pronouns. We argue that rather than directly addressing the audience, communicating norms, or encouraging perspective taking, second-person pronouns can encourage audiences to think of someone in their own lives. Textual analysis of songs ranked in the Billboard charts (N = 4,200), as well as controlled experiments (total N = 2,921), support this possibility, demonstrating that cultural items that use more second-person pronouns are liked and purchased more. These findings demonstrate a novel way in which second-person pronouns make meaning, how pronouns' situated use (object case vs. subject case) may shape this meaning, and how psychological factors shape the success of narrative arts.</t>
  </si>
  <si>
    <t>[Packard, Grant] York Univ, Schulich Sch Business, 4700 Keele St, Toronto, ON M3J 1P3, Canada; [Berger, Jonah] Univ Penn, Wharton Sch, Philadelphia, PA 19104 USA</t>
  </si>
  <si>
    <t>Packard, G (corresponding author), York Univ, Schulich Sch Business, 4700 Keele St, Toronto, ON M3J 1P3, Canada.</t>
  </si>
  <si>
    <t>gpackard@schulich.yorku.ca</t>
  </si>
  <si>
    <t>10.1177/0956797620902380</t>
  </si>
  <si>
    <t>LE0AT</t>
  </si>
  <si>
    <t>WOS:000516695800001</t>
  </si>
  <si>
    <t>Pitt, CS; Bal, AS; Plangger, K</t>
  </si>
  <si>
    <t>Pitt, Christine S.; Bal, Anjali Suniti; Plangger, Kirk</t>
  </si>
  <si>
    <t>New approaches to psychographic consumer segmentation Exploring fine art collectors using artificial intelligence, automated text analysis and correspondence analysis</t>
  </si>
  <si>
    <t>EUROPEAN JOURNAL OF MARKETING</t>
  </si>
  <si>
    <t>Correspondence analysis; Artificial intelligence; Art collectors; Psychographic segmentation; Quantitative analysis of qualitative data; Automated text analysis; Psychographic consumer segmentation</t>
  </si>
  <si>
    <t>NATURAL-LANGUAGE USE; PRONOUN USE; PERSONALITY; PREFERENCES; BEHAVIOR; INVESTMENT; IMPACT; MARKET</t>
  </si>
  <si>
    <t>Purpose While the motivation for collecting art has received considerable attention in the literature, less is known about the characteristics of the typical art collector. This paper aims to explore these characteristics to develop a typology of art consumers using a mixed method approach over several studies. Design/methodology/approach This is achieved by analyzing qualitative data, gathered via semi-structured interviews of art collectors, and quantitatively by means of natural language processing analysis and automated text analysis and using correspondence analysis to analyze and present the results. Findings The study's findings reveal four distinct clusters of art collectors based on their Big Five personality traits, as well as uncovering insights into how these types talk about their possessions. Originality/value This paper demonstrates a unique mixed methods approach to analyzing unstructured qualitative data. It shows how text data can be used to identify measurable market segments for which targeted strategies can be developed.</t>
  </si>
  <si>
    <t>[Pitt, Christine S.] Kungliga Tekniska Hogskolan, Dept Ind Econ &amp; Management, Stockholm, Sweden; [Bal, Anjali Suniti] Babson Coll, Dept Mkt, Wellesley, MA 02457 USA; [Plangger, Kirk] Kings Coll London, Kings Business Sch, London, England</t>
  </si>
  <si>
    <t>Royal Institute of Technology; Babson College; University of London; King's College London</t>
  </si>
  <si>
    <t>Bal, AS (corresponding author), Babson Coll, Dept Mkt, Wellesley, MA 02457 USA.</t>
  </si>
  <si>
    <t>christine.pitt@indek.kth.se; abal@babson.edu; kirk.plangger@kcl.ac.uk</t>
  </si>
  <si>
    <t>Plangger, Kirk/P-7532-2018</t>
  </si>
  <si>
    <t>Plangger, Kirk/0000-0002-0354-9707</t>
  </si>
  <si>
    <t>0309-0566</t>
  </si>
  <si>
    <t>1758-7123</t>
  </si>
  <si>
    <t>EUR J MARKETING</t>
  </si>
  <si>
    <t>Eur. J. Market.</t>
  </si>
  <si>
    <t>JAN 2</t>
  </si>
  <si>
    <t>10.1108/EJM-01-2019-0083</t>
  </si>
  <si>
    <t>KI6FO</t>
  </si>
  <si>
    <t>WOS:000511445400001</t>
  </si>
  <si>
    <t>Chapman, C</t>
  </si>
  <si>
    <t>Chapman, Chris</t>
  </si>
  <si>
    <t>Commentary: Mind Your Text in Marketing Practice</t>
  </si>
  <si>
    <t>[Chapman, Chris] Google, Chrome OS &amp; Chromebooks, Mountain View, CA 94043 USA</t>
  </si>
  <si>
    <t>Google Incorporated</t>
  </si>
  <si>
    <t>Chapman, C (corresponding author), Google, Chrome OS &amp; Chromebooks, Mountain View, CA 94043 USA.</t>
  </si>
  <si>
    <t>cchapman@google.com</t>
  </si>
  <si>
    <t>Chapman, Chris/AAT-4943-2020</t>
  </si>
  <si>
    <t>10.1177/0022242919886882</t>
  </si>
  <si>
    <t>WOS:000502391400002</t>
  </si>
  <si>
    <t>Raffel, C; Shazeer, N; Roberts, A; Lee, K; Narang, S; Matena, M; Zhou, YQ; Li, W; Liu, PJ</t>
  </si>
  <si>
    <t>Raffel, Colin; Shazeer, Noam; Roberts, Adam; Lee, Katherine; Narang, Sharan; Matena, Michael; Zhou, Yanqi; Li, Wei; Liu, Peter J.</t>
  </si>
  <si>
    <t>Exploring the Limits of Transfer Learning with a Unified Text-to-Text Transformer</t>
  </si>
  <si>
    <t>transfer learning; natural language processing; multi-task learning; attention-based models; deep learning</t>
  </si>
  <si>
    <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code.(1)</t>
  </si>
  <si>
    <t>[Raffel, Colin; Shazeer, Noam; Roberts, Adam; Lee, Katherine; Narang, Sharan; Matena, Michael; Zhou, Yanqi; Li, Wei; Liu, Peter J.] Google, Mountain View, CA 94043 USA</t>
  </si>
  <si>
    <t>Raffel, C (corresponding author), Google, Mountain View, CA 94043 USA.</t>
  </si>
  <si>
    <t>CRAFFEL@GMAIL.COM; NOAM@GOOGLE.COM; ADAROB@GOOGLE.COM; KATHERINELEE@GOOGLE.COM; SHARANNARANG@GOOGLE.COM; MMATENA@GOOGLE.COM; YANQIZ@GOOGLE.COM; MWEILI@GOOGLE.COM; PETERJLIU@GOOGLE.COM</t>
  </si>
  <si>
    <t>MZ0CQ</t>
  </si>
  <si>
    <t>WOS:000558791600001</t>
  </si>
  <si>
    <t>Rothe, S; Narayan, S; Severyn, A</t>
  </si>
  <si>
    <t>Rothe, Sascha; Narayan, Shashi; Severyn, Aliaksei</t>
  </si>
  <si>
    <t>Leveraging Pre-trained Checkpoints for Sequence Generation Tasks</t>
  </si>
  <si>
    <t>TRANSACTIONS OF THE ASSOCIATION FOR COMPUTATIONAL LINGUISTICS</t>
  </si>
  <si>
    <t>Unsupervised pre-training of large neural models has recently revolutionized Natural Language Processing. By warm-starting from the publicly released checkpoints, NLP practitioners have pushed the state-of-the-art on multiple benchmarks while saving significant amounts of compute time. So far the focus has been mainly on the Natural Language Understanding tasks. In this paper, we demonstrate the efficacy of pre-trained checkpoints for Sequence Generation. We developed a Transformer-based sequence-to-sequence model that is compatible with publicly available pre-trained BERT, GPT-2, and RoBERTa checkpoints and conducted an extensive empirical study on the utility of initializing our model, both encoder and decoder, with these checkpoints. Our models result in new state-of-the-art results on Machine Translation, Text Summarization, Sentence Splitting, and Sentence Fusion.</t>
  </si>
  <si>
    <t>[Rothe, Sascha; Narayan, Shashi; Severyn, Aliaksei] Google Res, Mountain View, CA 94035 USA</t>
  </si>
  <si>
    <t>Rothe, S (corresponding author), Google Res, Mountain View, CA 94035 USA.</t>
  </si>
  <si>
    <t>rothe@google.com; shashinarayan@google.com; severyn@google.com</t>
  </si>
  <si>
    <t>2307-387X</t>
  </si>
  <si>
    <t>T ASSOC COMPUT LING</t>
  </si>
  <si>
    <t>Trans. Assoc. Comput. Linguist.</t>
  </si>
  <si>
    <t>10.1162/tacl_a_00313</t>
  </si>
  <si>
    <t>Computer Science, Artificial Intelligence; Linguistics; Language &amp; Linguistics</t>
  </si>
  <si>
    <t>XX8IL</t>
  </si>
  <si>
    <t>Green Submitted, gold</t>
  </si>
  <si>
    <t>WOS:000736531900018</t>
  </si>
  <si>
    <t>Veitch, V; Sridhar, D; Blei, DM</t>
  </si>
  <si>
    <t>Peters, J; Sontag, D</t>
  </si>
  <si>
    <t>Veitch, Victor; Sridhar, Dhanya; Blei, David M.</t>
  </si>
  <si>
    <t>Adapting Text Embeddings for Causal Inference</t>
  </si>
  <si>
    <t>CONFERENCE ON UNCERTAINTY IN ARTIFICIAL INTELLIGENCE (UAI 2020)</t>
  </si>
  <si>
    <t>Conference on Uncertainty in Artificial Intelligence (UAI)</t>
  </si>
  <si>
    <t>AUG 03-06, 2020</t>
  </si>
  <si>
    <t>Does adding a theorem to a paper affect its chance of acceptance? Does labeling a post with the author's gender affect the post popularity? This paper develops a method to estimate such causal effects from observational text data, adjusting for confounding features of the text such as the subject or writing quality. We assume that the text suffices for causal adjustment but that, in practice, it is prohibitively high-dimensional. To address this challenge, we develop causally sufficient embeddings, low-dimensional document representations that preserve sufficient information for causal identification and allow for efficient estimation of causal effects. Causally sufficient embeddings combine two ideas. The first is supervised dimensionality reduction: causal adjustment requires only the aspects of text that are predictive of both the treatment and outcome. The second is efficient language modeling: representations of text are designed to dispose of linguistically irrelevant information, and this information is also causally irrelevant. Our method adapts language models (specifically, word embeddings and topic models) to learn document embeddings that are able to predict both treatment and outcome. We study causally sufficient embeddings with semi-synthetic datasets and find that they improve causal estimation over related embedding methods. We illustrate the methods by answering the two motivating questions-the effect of a theorem on paper acceptance and the effect of a gender label on post popularity. Code and data available at github.com/vveitch/causaltext-embeddings-tf2.</t>
  </si>
  <si>
    <t>[Veitch, Victor] Columbia Univ, Dept Stat, New York, NY 10027 USA; Columbia Univ, Dept Comp Sci, New York, NY 10027 USA</t>
  </si>
  <si>
    <t>Columbia University; Columbia University</t>
  </si>
  <si>
    <t>Veitch, V (corresponding author), Columbia Univ, Dept Stat, New York, NY 10027 USA.</t>
  </si>
  <si>
    <t>ONR [N00014-15-1-2209, N00014-17-1-2131]; NIH [1U01MH115727-01]; NSF [CCF-1740833]; DARPA [SD2 FA8750-18-C-0130]; Alfred P. Sloan Foundation; 2Sigma; government of Canada through NSERC</t>
  </si>
  <si>
    <t>ONR(Office of Naval Research); NIH(United States Department of Health &amp; Human ServicesNational Institutes of Health (NIH) - USA); NSF(National Science Foundation (NSF)); DARPA(United States Department of DefenseDefense Advanced Research Projects Agency (DARPA)); Alfred P. Sloan Foundation(Alfred P. Sloan Foundation); 2Sigma; government of Canada through NSERC(Natural Sciences and Engineering Research Council of Canada (NSERC))</t>
  </si>
  <si>
    <t>This work was supported by ONR N00014-15-1-2209, ONR N00014-17-1-2131, NIH 1U01MH115727-01, NSF CCF-1740833, DARPA SD2 FA8750-18-C-0130, the Alfred P. Sloan Foundation, 2Sigma, and the government of Canada through NSERC. The GPUs used for this research were donated by the NVIDIA Corporation.</t>
  </si>
  <si>
    <t>Computer Science, Artificial Intelligence; Computer Science, Theory &amp; Methods; Mathematics, Applied; Statistics &amp; Probability</t>
  </si>
  <si>
    <t>Computer Science; Mathematics</t>
  </si>
  <si>
    <t>BS4VS</t>
  </si>
  <si>
    <t>WOS:000723388600093</t>
  </si>
  <si>
    <t>Aleti, T; Pallant, JI; Tuan, A; van Laer, T</t>
  </si>
  <si>
    <t>Aleti, Torgeir; Pallant, Jason I.; Tuan, Annamaria; van Laer, Tom</t>
  </si>
  <si>
    <t>Tweeting with the Stars: Automated Text Analysis of the Effect of Celebrity Social Media Communications on Consumer Word of Mouth</t>
  </si>
  <si>
    <t>Analytical; Automated text analysis; Emotion; Focus; Function words; Linguistic style; Narrative; Speech act theory</t>
  </si>
  <si>
    <t>NARRATIVE TRANSPORTATION; PARASOCIAL RELATIONSHIPS; ENGAGEMENT; STRATEGIES; INFORMATION; PERSUASION; DISCLOSURE; PSYCHOLOGY; PATTERNS; AUDIENCE</t>
  </si>
  <si>
    <t>Prior research has focused on analyzing the content and intent of celebrity social media communications. By observing that the linguistic style of such celebrity communications drives consumer word of mouth, the main goal of the current research is to broaden this limited perspective. An automated text analysis of narrative/analytical, internally/externally focused, and negative/positive emotional styles in tweets by celebrity chefs, personal trainers, and fashion bloggers was conducted to this effect. The findings are threefold. First, across celebrity categories externally focused, narrative styles are more effective in terms of word of mouth. Second, emotional styles are not effective. Third, angry outbursts are an exception; they are effective drivers of word of mouth for personal trainers. As such, this research furthers scholarly and practitioner understanding of the state-the-art of celebrity social media communication: the effect of tweets' linguistic styles on consumer word of mouth. (C) 2019</t>
  </si>
  <si>
    <t>[Aleti, Torgeir] RMIT Univ, Sch Econ Finance &amp; Mkt, Bldg 80,445 Swanston St, Melbourne, Vic 3000, Australia; [Pallant, Jason I.] Swinburne Univ Technol, Dept Mkt &amp; Management, POB 218, Hawthorn, Vic 3122, Australia; [Tuan, Annamaria] Univ Bologna, Dept Management, Via Capo di Lucca 34, I-40126 Bologna, Italy; [van Laer, Tom] Univ Sydney, Discipline Mkt, Abercrombie Bldg H70, Darlington, NSW 2006, Australia</t>
  </si>
  <si>
    <t>Royal Melbourne Institute of Technology (RMIT); Swinburne University of Technology; University of Bologna; University of Sydney</t>
  </si>
  <si>
    <t>Aleti, T (corresponding author), RMIT Univ, Sch Econ Finance &amp; Mkt, Bldg 80,445 Swanston St, Melbourne, Vic 3000, Australia.</t>
  </si>
  <si>
    <t>torgeir.aleti@rmit.edu.au; jipallant@swin.edu.au; annamaria.tuan@unibo.it; tom.vanlaer@sydney.edu.au</t>
  </si>
  <si>
    <t>Tuan, Annamaria/ABD-4320-2020; Aleti, Torgeir/AAG-6310-2020; van Laer, Tom/AAC-2500-2019; Pallant, Jason Ian/AHA-4192-2022</t>
  </si>
  <si>
    <t>Aleti, Torgeir/0000-0002-1222-3784; van Laer, Tom/0000-0003-4646-1569; Pallant, Jason Ian/0000-0002-1000-6719; Tuan, Annamaria/0000-0003-1471-3063</t>
  </si>
  <si>
    <t>10.1016/j.intmar.2019.03.003</t>
  </si>
  <si>
    <t>JK9GP</t>
  </si>
  <si>
    <t>WOS:000495146900002</t>
  </si>
  <si>
    <t>Hatipoglu, E; Gokce, OZ; Arin, I; Saygin, Y</t>
  </si>
  <si>
    <t>Hatipoglu, Emre; Gokce, Osman Zeki; Arin, Inanc; Saygin, Yucel</t>
  </si>
  <si>
    <t>Automated Text Analysis and International Relations: The Introduction and Application of a Novel Technique for Twitter</t>
  </si>
  <si>
    <t>ALL AZIMUTH-A JOURNAL OF FOREIGN POLICY AND PEACE</t>
  </si>
  <si>
    <t>Social media; foreign policy; refugee; Turkey; public opinion</t>
  </si>
  <si>
    <t>SOCIAL MEDIA; POLICY POSITIONS; POLITICAL TEXTS; PERCEPTIONS; SENTIMENT; DIPLOMACY; INTERNET; WORDS; NEWS; SET</t>
  </si>
  <si>
    <t>Social media platforms, thanks to their inherent wain? of quick andfirr-reaching dissemination of information, have gradually supplanted the conventional media and become the new loci of political communication. These platforms not only ease and expedite communication among crowds, but also provide researchers huge and easily accessible information. This huge information pool, if it is processed with a systematic analysis, can be a fruitful data some for researchers. Systematic catalysis of data from social media, however, poses various challenges for political catalysis. Significant advances in automated textual analysis have tried to address such challenges of social media data. This paper introduces one such novel technique to assist researchers doing textual analysis on Twitter Afore specifically, we develop a clustering methodology based on Longest Common Subsequence Similarity Metric, which automatically groups tweets with similar content. To illustrate the usefulness of this technique, we present some of our findings from a project we conducted on Turkish sentiments on Twitter towards Syrian refugees.</t>
  </si>
  <si>
    <t>[Hatipoglu, Emre] Sabanci Univ, Fac Arts &amp; Social Sci, Istanbul, Turkey; [Gokce, Osman Zeki] Istanbul Medipol Univ, Fac Humanities &amp; Social Sci, Istanbul, Turkey; [Arin, Inanc] Sabanci Univ, Dept Comp Sci &amp; Engn, Istanbul, Turkey; [Saygin, Yucel] Sabanci Univ, Fac Engn &amp; Nat Sci, Istanbul, Turkey</t>
  </si>
  <si>
    <t>Sabanci University; Istanbul Medipol University; Sabanci University; Sabanci University</t>
  </si>
  <si>
    <t>Hatipoglu, E (corresponding author), Sabanci Univ, Fac Arts &amp; Social Sci, Istanbul, Turkey.</t>
  </si>
  <si>
    <t>ehatipoglu@sabanciuniv.edu; ogokce@medipol.edu.tr; inanc@sabanciuniv.edu; ysaygin@sabanciuniv.edu</t>
  </si>
  <si>
    <t>Hatipoglu, Emre/AAA-9372-2021; Arin, Inanc/AAY-9449-2020; Hatipoglu, Emre/GZB-2442-2022</t>
  </si>
  <si>
    <t>Hatipoglu, Emre/0000-0002-5927-4423; Hatipoglu, Emre/0000-0002-5927-4423; Arin, Inanc/0000-0003-4668-3014</t>
  </si>
  <si>
    <t>CENTER FOREIGN POLICY &amp; PEACE RESEARCH</t>
  </si>
  <si>
    <t>ANKARA</t>
  </si>
  <si>
    <t>IHSAN DOGRAMACI PEACE FOUNDATION, BILKENT UNIV, G BLDG, RM 157, ANKARA, 06800, TURKEY</t>
  </si>
  <si>
    <t>2146-7757</t>
  </si>
  <si>
    <t>ALL AZIMUTH</t>
  </si>
  <si>
    <t>All Azimuth</t>
  </si>
  <si>
    <t>International Relations</t>
  </si>
  <si>
    <t>IF8LM</t>
  </si>
  <si>
    <t>WOS:000473342000005</t>
  </si>
  <si>
    <t>Minasova, N; Tarkhov, S; Tarkhova, L</t>
  </si>
  <si>
    <t>Yusupova, N; Shakhmametova, G; Mironov, K; Galimova, L</t>
  </si>
  <si>
    <t>Minasova, Natalia; Tarkhov, Sergey; Tarkhova, Liaylia</t>
  </si>
  <si>
    <t>Decision Support in Assessing the Quality of Students' Educational and Scientific Work Based on Automated Text Analysis of the Document</t>
  </si>
  <si>
    <t>PROCEEDINGS OF THE 7TH SCIENTIFIC CONFERENCE ON INFORMATION TECHNOLOGIES FOR INTELLIGENT DECISION MAKING SUPPORT (ITIDS 2019)</t>
  </si>
  <si>
    <t>Advances in Intelligent Systems Research</t>
  </si>
  <si>
    <t>7th Scientific Conference on Information Technologies for Intelligent Decision Making Support (ITIDS)</t>
  </si>
  <si>
    <t>MAY 28-29, 2019</t>
  </si>
  <si>
    <t>Ufa, RUSSIA</t>
  </si>
  <si>
    <t>Ufa State Aviat Tech Univ,N Caucasus Fed Univ,Ugra Res Inst Informat Technologies,Republ Bashkortostan, Minist Educ,Russian Acad Sci Methodol Artificial Intelligence, Sci Council, Bashkir Branch</t>
  </si>
  <si>
    <t>training; assessment; semantic analysis; text mining</t>
  </si>
  <si>
    <t>The article describes the software product Multifunctional Text Analyzer (MTA), designed for informational decision support in assessing the quality of educational and scientific works. The main algorithm is based on the original method for semantic analysis of both the individual structural components of the educational and scientific texts, and the logical relationships at the substantive part of their sections. The main actions which expert performs during the process of automated analysis of the documents' substantive part are described. The software allows: to evaluate the references at the analyzed document, and quality of using references at the text of the document also; to search for information of interest to the expert contained in the document; to evaluate the quality of the document by analyzing the congruence of the texts to its sections.</t>
  </si>
  <si>
    <t>[Minasova, Natalia; Tarkhov, Sergey] Ufa State Aviat Tech Univ, Dept Comp Sci, Ufa, Russia; [Tarkhova, Liaylia] Bashkir State Agr Univ, Mech &amp; Engn Graph, Ufa, Russia</t>
  </si>
  <si>
    <t>Ufa University of Science &amp; Technology; Bashkir State Agrarian University</t>
  </si>
  <si>
    <t>Minasova, N (corresponding author), Ufa State Aviat Tech Univ, Dept Comp Sci, Ufa, Russia.</t>
  </si>
  <si>
    <t>minasova@mail.ru; tarkhov@inbox.ru; tarkhova@inbox.ru</t>
  </si>
  <si>
    <t>ATLANTIS PRESS</t>
  </si>
  <si>
    <t>29 AVENUE LAVMIERE, PARIS, 75019, FRANCE</t>
  </si>
  <si>
    <t>1951-6851</t>
  </si>
  <si>
    <t>978-94-6252-728-7</t>
  </si>
  <si>
    <t>ADV INTEL SYS RES</t>
  </si>
  <si>
    <t>Automation &amp; Control Systems; Computer Science, Artificial Intelligence; Operations Research &amp; Management Science; Mathematics, Applied</t>
  </si>
  <si>
    <t>Automation &amp; Control Systems; Computer Science; Operations Research &amp; Management Science; Mathematics</t>
  </si>
  <si>
    <t>BQ0TP</t>
  </si>
  <si>
    <t>WOS:000573715000015</t>
  </si>
  <si>
    <t>Schoonvelde, M; Schumacher, G; Bakker, BN</t>
  </si>
  <si>
    <t>Schoonvelde, Martijn; Schumacher, Gijs; Bakker, Bert N.</t>
  </si>
  <si>
    <t>Friends With Text as Data Benefits: Assessing and Extending the Use of Automated Text Analysis in Political Science and Political Psychology</t>
  </si>
  <si>
    <t>JOURNAL OF SOCIAL AND POLITICAL PSYCHOLOGY</t>
  </si>
  <si>
    <t>automated text analysis; political psychology; political science; text as data; literature review</t>
  </si>
  <si>
    <t>INDIVIDUAL-DIFFERENCES; PERSONALITY; WORDS; COMPLEXITY; POSITIONS; PITFALLS; LANGUAGE; DISTANCE; MODEL; BUSH</t>
  </si>
  <si>
    <t>Applications of automated text analysis measuring topics, ideology, sentiment or even personality are booming in fields like political science and political psychology. These developments are to be applauded as they bring about novel insights about politics using new sources of (unstructured) data. However, a divide exists between work in both disciplines using text as data. In this paper we argue in favor of more integration across disciplinary boundaries, structuring our case around four key issues in the research process: (i) sampling text; (ii) authorship as meta data; (iii) pre-processing text; (iv) analyzing text. Along the way we demonstrate that an assessment of speaker characteristics may crucially depend on the text sources under study, and that the use of sentiment words correlates with estimates of policy positions, with implications for interpretation of the latter. As such, this paper contributes to a critical discussion about the merits of automated text analysis methods in political psychology and political science, with an eye towards advancing the considerable potential of text as data in the study of politics.</t>
  </si>
  <si>
    <t>[Schoonvelde, Martijn] Univ Coll Dublin, Sch Polit &amp; Int Relat, Newman Bldg Belfield, Dublin 4, Ireland; [Schumacher, Gijs] Univ Amsterdam, Dept Polit Sci, Amsterdam, Netherlands; [Bakker, Bert N.] Univ Amsterdam, Amsterdam Sch Commun Res, Amsterdam, Netherlands</t>
  </si>
  <si>
    <t>University College Dublin; University of Amsterdam; University of Amsterdam</t>
  </si>
  <si>
    <t>Schoonvelde, M (corresponding author), Univ Coll Dublin, Sch Polit &amp; Int Relat, Newman Bldg Belfield, Dublin 4, Ireland.</t>
  </si>
  <si>
    <t>Bakker, Bert/AAJ-2408-2021</t>
  </si>
  <si>
    <t>Bakker, Bert/0000-0002-6491-5045; Schoonvelde, Martijn/0000-0003-4370-2654</t>
  </si>
  <si>
    <t>European Union [649281]</t>
  </si>
  <si>
    <t>For conducting this research, Schoonvelde and Schumacher received funding from the European Union's Horizon2020 research and innovation program under grant agreement No 649281, EUENGAGE.</t>
  </si>
  <si>
    <t>PSYCHOPEN</t>
  </si>
  <si>
    <t>TRIER</t>
  </si>
  <si>
    <t>UNIVERSITAETSRING 15, TRIER, 54296, GERMANY</t>
  </si>
  <si>
    <t>2195-3325</t>
  </si>
  <si>
    <t>J SOC POLIT PSYCHOL</t>
  </si>
  <si>
    <t>J. Soc. Polit. Psychol.</t>
  </si>
  <si>
    <t>10.5964/jspp.v7i1.964</t>
  </si>
  <si>
    <t>KN6FF</t>
  </si>
  <si>
    <t>WOS:000514931000008</t>
  </si>
  <si>
    <t>/0000-0001-8510-8640; /0000-0002-5431-2136</t>
  </si>
  <si>
    <t>Yin, WP; Hay, J; Roth, D</t>
  </si>
  <si>
    <t>Assoc Computat Linguist</t>
  </si>
  <si>
    <t>Yin, Wenpeng; Hay, Jamaal; Roth, Dan</t>
  </si>
  <si>
    <t>Benchmarking Zero-shot Text Classification: Datasets, Evaluation and Entailment Approach</t>
  </si>
  <si>
    <t>2019 CONFERENCE ON EMPIRICAL METHODS IN NATURAL LANGUAGE PROCESSING AND THE 9TH INTERNATIONAL JOINT CONFERENCE ON NATURAL LANGUAGE PROCESSING (EMNLP-IJCNLP 2019): PROCEEDINGS OF THE CONFERENCE</t>
  </si>
  <si>
    <t>Conference on Empirical Methods in Natural Language Processing / 9th International Joint Conference on Natural Language Processing (EMNLP-IJCNLP)</t>
  </si>
  <si>
    <t>NOV 03-07, 2019</t>
  </si>
  <si>
    <t>Hong Kong, HONG KONG</t>
  </si>
  <si>
    <t>Google,Facebook,Apple,ASAPP,Salesforce,Huawei,Baidu,Deepmind,Amazon,PolyAI,Naver,ByteDance,Megagon Labs,Zhuiyi,Verisk,MI</t>
  </si>
  <si>
    <t>Zero-shot text classification (0SHOT-TC) is a challenging NLU problem to which little attention has been paid by the research community. 0SHOT- TC aims to associate an appropriate label with a piece of text, irrespective of the text domain and the aspect (e.g., topic, emotion, event, etc.) described by the label. And there are only a few articles studying 0SHOT-TC, all focusing only on topical categorization which, we argue, is just the tip of the iceberg in 0SHOT-TC. In addition, the chaotic experiments in literature make no uniform comparison, which blurs the progress. This work benchmarks the 0SHOT-TC problem by providing unified datasets, standardized evaluations, and state-of-the-art baselines. Our contributions include: i) The datasets we provide facilitate studying 0SHOT- TC relative to conceptually different and diverse aspects: the topic aspect includes sports and politics as labels; the emotion aspect includes joy and anger; the situation aspect includes medical assistance and water shortage. ii) We extend the existing evaluation setup (labelpartially-unseen) - given a dataset, train on some labels, test on all labels - to include a more challenging yet realistic evaluation label-fully-unseen 0SHOT- TC (Chang et al., 2008), aiming at classifying text snippets without seeing task specific training data at all. iii) We unify the 0SHOT- TC of diverse aspects within a textual entailment formulation and study it this way. (1)</t>
  </si>
  <si>
    <t>[Yin, Wenpeng; Hay, Jamaal; Roth, Dan] Univ Penn, Dept Comp &amp; Informat Sci, Cognit Computat Grp, Philadelphia, PA 19104 USA</t>
  </si>
  <si>
    <t>Yin, WP (corresponding author), Univ Penn, Dept Comp &amp; Informat Sci, Cognit Computat Grp, Philadelphia, PA 19104 USA.</t>
  </si>
  <si>
    <t>wenpeng@seas.upenn.edu; jamaalh@seas.upenn.edu; danroth@seas.upenn.edu</t>
  </si>
  <si>
    <t>US Defense Advanced Research Projects Agency (DARPA) [HR0011-15-C-0113, HR001118-2-0052]</t>
  </si>
  <si>
    <t>US Defense Advanced Research Projects Agency (DARPA)(United States Department of DefenseDefense Advanced Research Projects Agency (DARPA))</t>
  </si>
  <si>
    <t>The authors would like to thank Jennifer Sheffield and the anonymous reviewers for insightful comments and suggestions. This work was supported by Contracts HR0011-15-C-0113 and HR001118-2-0052 with the US Defense Advanced Research Projects Agency (DARPA). Approved for Public Release, Distribution Unlimited. The views expressed are those of the authors and do not reflect the official policy or position of the Department of Defense or the U.S. Government.</t>
  </si>
  <si>
    <t>978-1-950737-90-1</t>
  </si>
  <si>
    <t>BT8OE</t>
  </si>
  <si>
    <t>WOS:000854193304009</t>
  </si>
  <si>
    <t>Klostermann, J; Plumeyer, A; Boger, D; Decker, R</t>
  </si>
  <si>
    <t>Klostermann, Jan; Plumeyer, Anja; Boeger, Daniel; Decker, Reinhold</t>
  </si>
  <si>
    <t>Extracting brand information from social networks: Integrating image, text, and social tagging data</t>
  </si>
  <si>
    <t>Brand associative network; Image classification; Instagram; Sentiment analysis; Social tag; User-generated content</t>
  </si>
  <si>
    <t>USER-GENERATED CONTENT; INSTAGRAM; CHATTER</t>
  </si>
  <si>
    <t>Images are an essential feature of many social networking services, such as Facebook, Instagram, and Twitter. Through brand-related images, consumers communicate about brands with each other and link the brand with rich contextual and consumption experiences. However, previous articles in marketing research have concentrated on deriving brand information from textual user-generated content and have largely not considered brand-related images. The analysis of brand-related images yields at least two challenges. First, the content displayed in images is heterogeneous, and second, images rarely show what users think and feel in or about the situations displayed. To meet these challenges, this article presents a two-step approach that involves collecting, labeling, clustering, aggregating, mapping, and analyzing brand-related user-generated content. The collected data are brand-related images, caption texts, and social tags posted on Instagram. Clustering images labeled via Google Cloud Vision API enabled to identify heterogeneous contents (e.g. products) and contexts (e.g. situations) that consumers create content about. Aggregating and mapping the textual information for the resulting image clusters in the form of associative networks empowers marketers to derive meaningful insights by inferring what consumers think and feel about their brand regarding different contents and contexts. (C) 2018 Elsevier B.V. All rights reserved.</t>
  </si>
  <si>
    <t>[Klostermann, Jan; Plumeyer, Anja; Boeger, Daniel; Decker, Reinhold] Bielefeld Univ, Dept Business Adm &amp; Econ, Univ Str 25, D-33615 Bielefeld, Germany</t>
  </si>
  <si>
    <t>University of Bielefeld</t>
  </si>
  <si>
    <t>Klostermann, J (corresponding author), Bielefeld Univ, Dept Business Adm &amp; Econ, Univ Str 25, D-33615 Bielefeld, Germany.</t>
  </si>
  <si>
    <t>jklostermann@wiwi.uni-bielefeld.de; aplumeyer@wiwi.uni-bielcfeld.de; dboeger@wiwi.uni-bielefeld.de; rdecker@uni-bielefeld.de</t>
  </si>
  <si>
    <t>Boger, Daniel/0000-0002-4655-6341; Klostermann, Jan/0000-0002-4145-3992</t>
  </si>
  <si>
    <t>10.1016/j.ijresmar.2018.08.002</t>
  </si>
  <si>
    <t>HO3XX</t>
  </si>
  <si>
    <t>WOS:000460857400003</t>
  </si>
  <si>
    <t>Liu, J; Toubia, O</t>
  </si>
  <si>
    <t>Liu, Jia; Toubia, Olivier</t>
  </si>
  <si>
    <t>A Semantic Approach for Estimating Consumer Content Preferences from Online Search Queries</t>
  </si>
  <si>
    <t>search engine optimization; search engine marketing; search queries; content preferences; semantic relationships; topic modeling</t>
  </si>
  <si>
    <t>POSITION; MODEL</t>
  </si>
  <si>
    <t>We extend latent Dirichlet allocation by introducing a topic model, hierarchically dual latent Dirichlet allocation (HDLDA), for contexts in which one type of document (e.g., search queries) are semantically related to another type of document (e.g., search results). In the context of online search engines, HDLDA identifies not only topics in short search queries and web pages, but also how the topics in search queries relate to the topics in the corresponding top search results. The output of HDLDA provides a basis for estimating consumers' content preferences on the fly from their search queries given a set of assumptions on how consumers translate their content preferences into search queries. We apply HDLDA and explore its use in the estimation of content preferences in two studies. The first is a lab experiment in which we manipulate participants' content preferences and observe the queries they formulate and their browsing behavior across different product categories. The second is a field study, which allows us to explore whether the content preferences estimated based on HDLDA may be used to explain and predict click-through rates in online search advertising.</t>
  </si>
  <si>
    <t>[Liu, Jia] Hong Kong Univ Sci &amp; Technol, Clear Water Bay, Hong Kong, Peoples R China; [Toubia, Olivier] Columbia Univ, Columbia Business Sch, New York, NY 10025 USA</t>
  </si>
  <si>
    <t>Hong Kong University of Science &amp; Technology; Columbia University</t>
  </si>
  <si>
    <t>Liu, J (corresponding author), Hong Kong Univ Sci &amp; Technol, Clear Water Bay, Hong Kong, Peoples R China.</t>
  </si>
  <si>
    <t>jialiu@ust.hk; ot2107@columbia.edu</t>
  </si>
  <si>
    <t>, Jia/0000-0002-0279-724X</t>
  </si>
  <si>
    <t>10.1287/mksc.2018.1112</t>
  </si>
  <si>
    <t>WOS:000454415700004</t>
  </si>
  <si>
    <t>Balducci, B; Marinova, D</t>
  </si>
  <si>
    <t>Balducci, Bitty; Marinova, Detelina</t>
  </si>
  <si>
    <t>Unstructured data in marketing</t>
  </si>
  <si>
    <t>Unstructured data; Machine learning; Deep learning; Artificial intelligence; Nonverbal; Image; Video; Voice; Text; Linguistics; Acoustic; Big data; Text mining</t>
  </si>
  <si>
    <t>WORD-OF-MOUTH; USER-GENERATED CONTENT; ONLINE CUSTOMER REVIEWS; SOCIAL MEDIA; SPEECH CHARACTERISTICS; BRAND INFORMATION; SHAREHOLDER VALUE; TEXT ANALYSIS; BIG DATA; IMPACT</t>
  </si>
  <si>
    <t>The rise of unstructured data (UD), propelled by novel technologies, is reshaping markets and the management of marketing activities. Yet these increased data remain mostly untapped by many firms, suggesting the potential for further research developments. The integrative framework proposed in this study addresses the nature of UD and pursues theoretical richness and computational advancements by integrating insights from other disciplines. This article makes three main contributions to the literature by (1) offering a unifying definition and conceptualization of UD in marketing; (2) bridging disjoint literature with an organizing framework that synthesizes various subsets of UD relevant for marketing management through an integrative review; and (3) identifying substantive, computational, and theoretical gaps in extant literature and ways to leverage interdisciplinary knowledge to advance marketing research by applying UD analyses to underdeveloped areas.</t>
  </si>
  <si>
    <t>[Balducci, Bitty; Marinova, Detelina] Univ Missouri, Robert J Trulaske Coll Business, 424 Cornell Hall, Columbia, MO 65211 USA</t>
  </si>
  <si>
    <t>University of Missouri System; University of Missouri Columbia</t>
  </si>
  <si>
    <t>Marinova, D (corresponding author), Univ Missouri, Robert J Trulaske Coll Business, 424 Cornell Hall, Columbia, MO 65211 USA.</t>
  </si>
  <si>
    <t>bitty.balducci@mail.missouri.edu; marinovad@missouri.edu</t>
  </si>
  <si>
    <t>Li, Wang/M-1612-2019; Marinova, Detelina/T-5468-2019</t>
  </si>
  <si>
    <t>10.1007/s11747-018-0581-x</t>
  </si>
  <si>
    <t>GK1ZI</t>
  </si>
  <si>
    <t>WOS:000435923000001</t>
  </si>
  <si>
    <t>Bovet, A; Morone, F; Makse, HA</t>
  </si>
  <si>
    <t>Bovet, Alexandre; Morone, Flaviano; Makse, Hernan A.</t>
  </si>
  <si>
    <t>Validation of Twitter opinion trends with national polling aggregates: Hillary Clinton vs Donald Trump</t>
  </si>
  <si>
    <t>SCIENTIFIC REPORTS</t>
  </si>
  <si>
    <t>PREDICTING ELECTIONS; SENTIMENT ANALYSIS; COMMUNICATION</t>
  </si>
  <si>
    <t>Measuring and forecasting opinion trends from real-time social media is a long-standing goal of bigdata analytics. Despite the large amount of work addressing this question, there has been no clear validation of online social media opinion trend with traditional surveys. Here we develop a method to infer the opinion of Twitter users by using a combination of statistical physics of complex networks and machine learning based on hashtags co-occurrence to build an in-domain training set of the order of a million tweets. We validate our method in the context of 2016 US Presidential Election by comparing the Twitter opinion trend with the New York Times National Polling Average, representing an aggregate of hundreds of independent traditional polls. The Twitter opinion trend follows the aggregated NYT polls with remarkable accuracy. We investigate the dynamics of the social network formed by the interactions among millions of Twitter supporters and infer the support of each user to the presidential candidates. Our analytics unleash the power of Twitter to uncover social trends from elections, brands to political movements, and at a fraction of the cost of traditional surveys.</t>
  </si>
  <si>
    <t>[Makse, Hernan A.] CUNY City Coll, Levich Inst, New York, NY 10031 USA; CUNY City Coll, Phys Dept, New York, NY 10031 USA</t>
  </si>
  <si>
    <t>City University of New York (CUNY) System; City College of New York (CUNY); City University of New York (CUNY) System; City College of New York (CUNY)</t>
  </si>
  <si>
    <t>Makse, HA (corresponding author), CUNY City Coll, Levich Inst, New York, NY 10031 USA.</t>
  </si>
  <si>
    <t>hmakse@lev.ccny.cuny.edu</t>
  </si>
  <si>
    <t>Bovet, Alexandre/H-6413-2013</t>
  </si>
  <si>
    <t>Bovet, Alexandre/0000-0003-3937-3704</t>
  </si>
  <si>
    <t>ARL [W911NF-09-2-0053]; Swiss National Science Foundation (SNSF)</t>
  </si>
  <si>
    <t>ARL(United States Department of DefenseUS Army Research Laboratory (ARL)); Swiss National Science Foundation (SNSF)(Swiss National Science Foundation (SNSF))</t>
  </si>
  <si>
    <t>The authors thank George Furbish for helping with the data collection. This work was sponsored by ARL under Cooperative Agreement Number W911NF-09-2-0053 (the ARL Network Science CTA). A. Bovet thanks the Swiss National Science Foundation (SNSF) for the financial support provided.</t>
  </si>
  <si>
    <t>2045-2322</t>
  </si>
  <si>
    <t>SCI REP-UK</t>
  </si>
  <si>
    <t>Sci Rep</t>
  </si>
  <si>
    <t>JUN 6</t>
  </si>
  <si>
    <t>10.1038/s41598-018-26951-y</t>
  </si>
  <si>
    <t>GI3DQ</t>
  </si>
  <si>
    <t>Green Published, Green Submitted, gold</t>
  </si>
  <si>
    <t>WOS:000434252000009</t>
  </si>
  <si>
    <t>Baburajan, V; Silva, JAE; Pereira, FC</t>
  </si>
  <si>
    <t>Baburajan, Vishnu; de Abreu e Silva, Joao; Pereira, Francisco Camara</t>
  </si>
  <si>
    <t>Opening Up the Conversation: Topic Modeling for Automated Text Analysis in Travel Surveys</t>
  </si>
  <si>
    <t>2018 21ST INTERNATIONAL CONFERENCE ON INTELLIGENT TRANSPORTATION SYSTEMS (ITSC)</t>
  </si>
  <si>
    <t>IEEE International Conference on Intelligent Transportation Systems-ITSC</t>
  </si>
  <si>
    <t>21st IEEE International Conference on Intelligent Transportation Systems (ITSC)</t>
  </si>
  <si>
    <t>NOV 04-07, 2018</t>
  </si>
  <si>
    <t>Maui, HI</t>
  </si>
  <si>
    <t>IEEE,IEEE Intelligent Transportat Syst Soc</t>
  </si>
  <si>
    <t>Autonomous Mobility; Theory of Dimmed Behavior; Likert Scales; Open-ended Responses; Topic Modelling; Latent Dirichlet Allocation</t>
  </si>
  <si>
    <t>RELIABILITY; INTENTIONS; NUMBER</t>
  </si>
  <si>
    <t>The difficulties associated with the collection and analysis of open-ended questions in surveys (e.g. Tell us your opinion about...), have encouraged the widespread use of closed-ended responses (e.g. Your opinion according to a scale of 1-5...). These, in some circumstances, are very restrictive, curbing the recognition of nuances in the survey population, hence limiting our models. Latent Dirichlet Allocation (LDA), now opens avenues for extraction of open-ended responses. In this paper, we analyze the potential of LDA in open-ended responses, by comparing with closed-ended counterpart options. A questionnaire designed based on Theory of Planned Behavior (TPB), is used to collect information on the intentions to use shared autonomous mobility. Two versions of the questionnaire were used, that alternately allow for open- and closed-ended versions of the same questions. Factor analysis was used to construct factors from the Likert scale questions and LDA was used to extract information from open-ended questions. Ordered Probit models were estimated to predict the intention to use shared autonomous mobility services. Attitudes, socio-demographics and current travel behavior of individuals were used in the model. The questionnaire instrument played an important decision in an individual's decision to use the proposed service. Comparable results were obtained for the two versions of the questionnaire, which emphasizes the need for further research on use of open-ended questions in measuring attitudes.</t>
  </si>
  <si>
    <t>[Baburajan, Vishnu] Univ Lisbon, Inst Super Tecn, CERIS, MIT Portugal Program, P-1049001 Lisbon, Portugal; [de Abreu e Silva, Joao; Pereira, Francisco Camara] Univ Lisbon, Inst Super Tecn, CERIS, P-1049001 Lisbon, Portugal</t>
  </si>
  <si>
    <t>Universidade de Lisboa; Instituto Superior Tecnico; Universidade de Lisboa; Instituto Superior Tecnico</t>
  </si>
  <si>
    <t>Baburajan, V (corresponding author), Univ Lisbon, Inst Super Tecn, CERIS, MIT Portugal Program, P-1049001 Lisbon, Portugal.</t>
  </si>
  <si>
    <t>vishnu.baburajan@tecnico.ulisboa.pt; jabreu@tecnico.ulisboa.pt; camara@dtu.dk</t>
  </si>
  <si>
    <t>Silva, Joao de Abreu e/HJH-7378-2023; Pereira, Francisco Camara/B-2111-2010; BABURAJAN, VISHNU/F-4384-2019</t>
  </si>
  <si>
    <t>Silva, Joao de Abreu e/0000-0002-7893-2671; Pereira, Francisco Camara/0000-0001-5457-9909; BABURAJAN, VISHNU/0000-0002-4512-9209</t>
  </si>
  <si>
    <t>European Cooperation for Science &amp; Technology, COST [TU1305]</t>
  </si>
  <si>
    <t>European Cooperation for Science &amp; Technology, COST</t>
  </si>
  <si>
    <t>This work was supported by European Cooperation for Science &amp; Technology, COST TU1305.</t>
  </si>
  <si>
    <t>2153-0009</t>
  </si>
  <si>
    <t>978-1-7281-0323-5</t>
  </si>
  <si>
    <t>IEEE INT C INTELL TR</t>
  </si>
  <si>
    <t>Automation &amp; Control Systems; Computer Science, Artificial Intelligence; Engineering, Electrical &amp; Electronic; Transportation Science &amp; Technology</t>
  </si>
  <si>
    <t>Automation &amp; Control Systems; Computer Science; Engineering; Transportation</t>
  </si>
  <si>
    <t>BL9OB</t>
  </si>
  <si>
    <t>WOS:000457881303099</t>
  </si>
  <si>
    <t>Kim, AY; Ha, JG; Choi, H; Moon, H</t>
  </si>
  <si>
    <t>Kim, Augustine Yongwhi; Ha, Jin Gwan; Choi, Hoduk; Moon, Hyeonjoon</t>
  </si>
  <si>
    <t>Automated Text Analysis Based on Skip-Gram Model for Food Evaluation in Predicting Consumer Acceptance</t>
  </si>
  <si>
    <t>COMPUTATIONAL INTELLIGENCE AND NEUROSCIENCE</t>
  </si>
  <si>
    <t>The purpose of this paper is to evaluate food taste, smell, and characteristics from consumers' online reviews. Several studies in food sensory evaluation have been presented for consumer acceptance. However, these studies need taste descriptive word lexicon, and they are not suitable for analyzing large number of evaluators to predict consumer acceptance. In this paper, an automated text analysis method for food evaluation is presented to analyze and compare recently introduced two jjampong ramen types (mixed seafood noodles). To avoid building a sensory word lexicon, consumers' reviews are collected from SNS. Then, by training word embedding model with acquired reviews, words in the large amount of review text are converted into vectors. Based on these words represented as vectors, inference is performed to evaluate taste and smell of two jjampong ramen types. Finally, the reliability and merits of the proposed food evaluation method are confirmed by a comparison with the results from an actual consumer preference taste evaluation.</t>
  </si>
  <si>
    <t>[Kim, Augustine Yongwhi; Choi, Hoduk] Sejong Univ, Dept Food Sci &amp; Biotechnol, Seoul, South Korea; [Ha, Jin Gwan; Moon, Hyeonjoon] Sejong Univ, Dept Comp Sci &amp; Engn, Seoul, South Korea</t>
  </si>
  <si>
    <t>Sejong University; Sejong University</t>
  </si>
  <si>
    <t>Moon, H (corresponding author), Sejong Univ, Dept Comp Sci &amp; Engn, Seoul, South Korea.</t>
  </si>
  <si>
    <t>hmoon@sejong.ac.kr</t>
  </si>
  <si>
    <t>Korean Small and Medium Business Technology Administration [S2340863]; Korea Institute of Planning and Evaluation for Technology in Food, Agriculture, Forestry and Fisheries (IPET) - Ministry of Agriculture, Food and Rural Affairs (MAFRA) [316033-4]</t>
  </si>
  <si>
    <t>Korean Small and Medium Business Technology Administration; Korea Institute of Planning and Evaluation for Technology in Food, Agriculture, Forestry and Fisheries (IPET) - Ministry of Agriculture, Food and Rural Affairs (MAFRA)(Ministry of Agriculture, Food &amp; Rural Affairs (MAFRA), Republic of KoreaInstitute of Planning &amp; Evaluation for Technology in Food, Agriculture, Forestry, &amp; Fisheries (iPET), Republic of Korea)</t>
  </si>
  <si>
    <t>This study was supported by the Word Class 300 Project (S2340863) from Korean Small and Medium Business Technology Administration. This work was also supported by Korea Institute of Planning and Evaluation for Technology in Food, Agriculture, Forestry and Fisheries (IPET) through Agri-Bio Industry Technology Development Program, funded by Ministry of Agriculture, Food and Rural Affairs (MAFRA) (316033-4).</t>
  </si>
  <si>
    <t>HINDAWI LTD</t>
  </si>
  <si>
    <t>ADAM HOUSE, 3RD FLR, 1 FITZROY SQ, LONDON, W1T 5HF, ENGLAND</t>
  </si>
  <si>
    <t>1687-5265</t>
  </si>
  <si>
    <t>1687-5273</t>
  </si>
  <si>
    <t>COMPUT INTEL NEUROSC</t>
  </si>
  <si>
    <t>Comput. Intell. Neurosci.</t>
  </si>
  <si>
    <t>10.1155/2018/9293437</t>
  </si>
  <si>
    <t>Mathematical &amp; Computational Biology; Neurosciences</t>
  </si>
  <si>
    <t>Mathematical &amp; Computational Biology; Neurosciences &amp; Neurology</t>
  </si>
  <si>
    <t>FV2ZY</t>
  </si>
  <si>
    <t>WOS:000424438700001</t>
  </si>
  <si>
    <t>Le, TDB; Bao, LF; Lo, D</t>
  </si>
  <si>
    <t>Leavens, GT; Garcia, A; Pasareanu, CS</t>
  </si>
  <si>
    <t>Le, Tien-Duy B.; Bao, Lingfeng; Lo, David</t>
  </si>
  <si>
    <t>DSM: A Specification Mining Tool using Recurrent Neural Network Based Language Model</t>
  </si>
  <si>
    <t>ESEC/FSE'18: PROCEEDINGS OF THE 2018 26TH ACM JOINT MEETING ON EUROPEAN SOFTWARE ENGINEERING CONFERENCE AND SYMPOSIUM ON THE FOUNDATIONS OF SOFTWARE ENGINEERING</t>
  </si>
  <si>
    <t>26th ACM Joint Meeting on European Software Engineering Conference (ESEC) / Symposium on the Foundations of Software Engineering (FSE)</t>
  </si>
  <si>
    <t>NOV 04-09, 2018</t>
  </si>
  <si>
    <t>Lake Buena Vista, FL</t>
  </si>
  <si>
    <t>Assoc Comp Machinery,Assoc Comp Machinery Special Interest Grp Software Engn</t>
  </si>
  <si>
    <t>Specification Mining; Deep Learning</t>
  </si>
  <si>
    <t>Formal specifications are important but often unavailable. Furthermore, writing these specifications is time-consuming and requires skills from developers. In this work, we present Deep Specification Miner (DSM), an automated tool that applies deep learning to mine finite-state automaton (FSA) based specifications. DSM accepts as input a set of execution traces to train a Recurrent Neural Network Language Model (RNNLM). From the input traces, DSM creates a Prefix Tree Acceptor (PTA) and leverages the inferred RNNLM to extract many features. These features are then forwarded to clustering algorithms for merging similar automata states in the PTA for assembling a number of FSAs. Next, our tool performs a model selection heuristic to approximate F-measure of FSAs, and outputs the one with the highest estimated F-measure. Noticeably, our implementation of DSM provides several options that allows users to optimize quality of resultant FSAs.</t>
  </si>
  <si>
    <t>[Le, Tien-Duy B.; Bao, Lingfeng; Lo, David] Singapore Management Univ, Singapore, Singapore; [Bao, Lingfeng] Zhejiang Univ City Coll, Hangzhou, Zhejiang, Peoples R China</t>
  </si>
  <si>
    <t>Singapore Management University; Zhejiang University City College</t>
  </si>
  <si>
    <t>Le, TDB (corresponding author), Singapore Management Univ, Singapore, Singapore.</t>
  </si>
  <si>
    <t>bao, lingfeng/AEG-8299-2022; LO, David/A-2493-2012</t>
  </si>
  <si>
    <t>LO, David/0000-0002-4367-7201</t>
  </si>
  <si>
    <t>Singapore National Research Foundation's National Cybersecurity Research &amp; Development Programme [NRF2016NCR-NCR001-008]</t>
  </si>
  <si>
    <t>Singapore National Research Foundation's National Cybersecurity Research &amp; Development Programme(National Research Foundation, Singapore)</t>
  </si>
  <si>
    <t>This research was supported by the Singapore National Research Foundation's National Cybersecurity Research &amp; Development Programme (award number: NRF2016NCR-NCR001-008).</t>
  </si>
  <si>
    <t>1601 Broadway, 10th Floor, NEW YORK, NY, UNITED STATES</t>
  </si>
  <si>
    <t>978-1-4503-5573-5</t>
  </si>
  <si>
    <t>10.1145/3236024.3264597</t>
  </si>
  <si>
    <t>Computer Science, Software Engineering</t>
  </si>
  <si>
    <t>BM1PA</t>
  </si>
  <si>
    <t>WOS:000460371900099</t>
  </si>
  <si>
    <t>Rambocas, M; Pacheco, BG</t>
  </si>
  <si>
    <t>Rambocas, Meena; Pacheco, Barney G.</t>
  </si>
  <si>
    <t>Online sentiment analysis in marketing research: a review</t>
  </si>
  <si>
    <t>JOURNAL OF RESEARCH IN INTERACTIVE MARKETING</t>
  </si>
  <si>
    <t>Online marketing; Qualitative research; Quantitative research; Methodology; Text mining; High technology marketing</t>
  </si>
  <si>
    <t>USER-GENERATED CONTENT; SOCIAL MEDIA; SALES; QUALITY; PRODUCT; GENDER; MODEL</t>
  </si>
  <si>
    <t>Purpose The explosion of internet-generated content, coupled with methodologies such as sentiment analysis, present exciting opportunities for marketers to generate market intelligence on consumer attitudes and brand opinions. The purpose of this paper is to review the marketing literature on online sentiment analysis and examines the application of sentiment analysis from three main perspectives: the unit of analysis, sampling design and methods used in sentiment detection and statistical analysis. Design/methodology/approach The paper reviews the prior literature on the application of online sentiment analysis published in marketing journals over the period 2008-2016. Findings The findings highlight the uniqueness of online sentiment analysis in action-oriented marketing research and examine the technical, practical and ethical challenges faced by researchers. Practical implications The paper discusses the application of sentiment analysis in marketing research and offers recommendations to address the challenges researchers confront in using this technique. Originality/value This study provides academics and practitioners with a comprehensive review of the application of online sentiment analysis within the marketing discipline. The paper focuses attention on the limitations surrounding the utilization of this technique and provides suggestions for mitigating these challenges.</t>
  </si>
  <si>
    <t>[Rambocas, Meena; Pacheco, Barney G.] Univ West Indies, Dept Management Studies, St Augustine, Trinidad Tobago</t>
  </si>
  <si>
    <t>University West Indies Mona Jamaica; University West Indies Saint Augustine</t>
  </si>
  <si>
    <t>Rambocas, M (corresponding author), Univ West Indies, Dept Management Studies, St Augustine, Trinidad Tobago.</t>
  </si>
  <si>
    <t>Meena.Rambocas@sta.uwi.edu</t>
  </si>
  <si>
    <t>2040-7122</t>
  </si>
  <si>
    <t>2040-7130</t>
  </si>
  <si>
    <t>J RES INTERACT MARK</t>
  </si>
  <si>
    <t>J. Res. Interact. Mark.</t>
  </si>
  <si>
    <t>10.1108/JRIM-05-2017-0030</t>
  </si>
  <si>
    <t>GH0EV</t>
  </si>
  <si>
    <t>WOS:000433075900001</t>
  </si>
  <si>
    <t>Nam, H; Joshi, YV; Kannan, PK</t>
  </si>
  <si>
    <t>Nam, Hyoryung; Joshi, Yogesh V.; Kannan, P. K.</t>
  </si>
  <si>
    <t>Harvesting Brand Information from Social Tags</t>
  </si>
  <si>
    <t>social tags; user-generated content; brand associative networks; text mining; topic modeling</t>
  </si>
  <si>
    <t>SUBSTITUTION; CUSTOMER; CONTEXT; MAPS</t>
  </si>
  <si>
    <t>Social tags are user-defined keywords associated with online content that reflect consumers' perceptions of various objects, including products and brands. This research presents a new approach for harvesting rich, qualitative information on brands from user-generated social tags. The authors first compare their proposed approach with conventional techniques such as brand concept maps and text mining. They highlight the added value of their approach that results from the unconstrained, open-ended, and synoptic nature of consumer-generated content contained within social tags. The authors then apply existing text-mining and data-reduction methods to analyze disaggregate-level social tagging data for marketing research and demonstrate how marketers can utilize the information in social tags by extracting key representative topics, monitoring common dynamic trends, and understanding heterogeneous perceptions of a brand.</t>
  </si>
  <si>
    <t>[Nam, Hyoryung] Univ Washington Bothell, Business, Bothell, WA 98011 USA; [Joshi, Yogesh V.] Univ Maryland, Robert H Smith Sch Business, Mkt, College Pk, MD USA; [Kannan, P. K.] Univ Maryland, Robert H Smith Sch Business, Mkt Sci, College Pk, MD USA</t>
  </si>
  <si>
    <t>University of Washington; University of Washington Bothell; University System of Maryland; University of Maryland College Park; University System of Maryland; University of Maryland College Park</t>
  </si>
  <si>
    <t>Nam, H (corresponding author), Univ Washington Bothell, Business, Bothell, WA 98011 USA.</t>
  </si>
  <si>
    <t>hnam1@uw.edu; yjoshi@rhsmith.umd.edu; pkannan@rhsmith.umd.edu</t>
  </si>
  <si>
    <t>Kannan, Pallassana K/D-8192-2011; Joshi, Yogesh/GVU-0157-2022; Joshi, Yogesh V./AAT-5949-2020</t>
  </si>
  <si>
    <t>Joshi, Yogesh V./0000-0002-8743-2660; Nam, Hyoryung/0000-0002-0853-1733</t>
  </si>
  <si>
    <t>10.1509/jm.16.0044</t>
  </si>
  <si>
    <t>FC9LA</t>
  </si>
  <si>
    <t>WOS:000407161500005</t>
  </si>
  <si>
    <t>Dempsey, J; Stamets, J; Eggleson, K</t>
  </si>
  <si>
    <t>Dempsey, Joshua; Stamets, Justin; Eggleson, Kathleen</t>
  </si>
  <si>
    <t>Stakeholder Views of Nanosilver Linings: Macroethics Education and Automated Text Analysis Through Participatory Governance Role Play in a Workshop Format</t>
  </si>
  <si>
    <t>SCIENCE AND ENGINEERING ETHICS</t>
  </si>
  <si>
    <t>Automated text analysis; Macroethics; Nanosilver; Role play; Stakeholder</t>
  </si>
  <si>
    <t>LIFE-CYCLE ASSESSMENT; RESPONSIBLE CONDUCT; BUSINESS ETHICS; SILVER; SCIENCE; NANOTECHNOLOGY; NANOTOXICITY; MANAGEMENT; STUDENTS; RELEASE</t>
  </si>
  <si>
    <t>The Nanosilver Linings role play case offers participants first-person experience with interpersonal interaction in the context of the wicked problems of emerging technology macroethics. In the fictional scenario, diverse societal stakeholders convene at a town hall meeting to consider whether a nanotechnology-enabled food packaging industry should be offered incentives to establish an operation in their economically struggling Midwestern city. This original creative work was built with a combination of elements, selected for their established pedagogical efficacy (e.g. active learning, case-based learning) and as topical dimensions of the realistic scenario (e.g. nanosilver in food packaging, occupational safety and health). The product life cycle is used as a framework for integrated consideration of scientific, societal, and ethical issues. The Nanosilver Linings hypothetical case was delivered through the format of the 3-hour workshop Ethics when Biocomplexity meets Human Complexity, providing an immersive, holistic ethics learning experience for STEM graduate students. Through their participation in the Nanosilver Linings case and Ethics when Biocomplexity meets Human Complexity workshop, four cohorts of science and engineering doctoral students reported the achievement of specific learning objectives pertaining to a range of macroethics concepts and professional practices, including stakeholder perspectives, communication, human values, and ethical frameworks. Automated text analysis of workshop transcripts revealed differences in sentiment and in ethical framework (consequentialism/deontology) preference between societal stakeholder roles. These resources have been recognized as ethics education exemplars by the U.S. National Academy of Engineering .</t>
  </si>
  <si>
    <t>[Dempsey, Joshua] Univ Notre Dame, Notre Dame, IN 46556 USA; [Stamets, Justin] Indiana Univ Bloomington, Bloomington, IN USA; [Eggleson, Kathleen] Indiana Univ Sch Med South Bend, 1234 Notre Dame Ave, South Bend, IN 46617 USA</t>
  </si>
  <si>
    <t>University of Notre Dame; Indiana University System; Indiana University Bloomington; Indiana University System; Indiana University South Bend</t>
  </si>
  <si>
    <t>Eggleson, K (corresponding author), Indiana Univ Sch Med South Bend, 1234 Notre Dame Ave, South Bend, IN 46617 USA.</t>
  </si>
  <si>
    <t>jdempsey@nd.edu; jstamets@iu.edu; keggleso@nd.edu</t>
  </si>
  <si>
    <t>NSF [1338682, 1623870]; Center for Nano Science and Technology at the University of Notre Dame; Indiana University School of Medicine-South Bend; Indiana University-Bloomington; Div Of Biological Infrastructure; Direct For Biological Sciences [1623870] Funding Source: National Science Foundation</t>
  </si>
  <si>
    <t>NSF(National Science Foundation (NSF)); Center for Nano Science and Technology at the University of Notre Dame; Indiana University School of Medicine-South Bend; Indiana University-Bloomington; Div Of Biological Infrastructure; Direct For Biological Sciences(National Science Foundation (NSF)NSF - Directorate for Biological Sciences (BIO))</t>
  </si>
  <si>
    <t>The authors gratefully acknowledge the NSF (under Award 1338682 and 1623870) and the Center for Nano Science and Technology at the University of Notre Dame for sponsoring this project. The support of Indiana University School of Medicine-South Bend and Indiana University-Bloomington is greatly appreciated. We thank our collaborators at Northeastern University: Matthew Eckelman, Jacqueline Isaacs, Christopher Bosso, and John Basl. We also thank workshop participants at</t>
  </si>
  <si>
    <t>1353-3452</t>
  </si>
  <si>
    <t>1471-5546</t>
  </si>
  <si>
    <t>SCI ENG ETHICS</t>
  </si>
  <si>
    <t>Sci. Eng. Ethics</t>
  </si>
  <si>
    <t>10.1007/s11948-016-9799-5</t>
  </si>
  <si>
    <t>Ethics; Engineering, Multidisciplinary; History &amp; Philosophy Of Science; Multidisciplinary Sciences; Philosophy</t>
  </si>
  <si>
    <t>Social Sciences - Other Topics; Engineering; History &amp; Philosophy of Science; Science &amp; Technology - Other Topics; Philosophy</t>
  </si>
  <si>
    <t>EX2OL</t>
  </si>
  <si>
    <t>WOS:000403065800014</t>
  </si>
  <si>
    <t>Lee, HY; Tseng, BH; Wen, TH; Tsao, Y</t>
  </si>
  <si>
    <t>Lee, Hung-Yi; Tseng, Bo-Hsiang; Wen, Tsung-Hsien; Tsao, Yu</t>
  </si>
  <si>
    <t>Personalizing Recurrent-Neural-Network-Based Language Model by Social Network</t>
  </si>
  <si>
    <t>IEEE-ACM TRANSACTIONS ON AUDIO SPEECH AND LANGUAGE PROCESSING</t>
  </si>
  <si>
    <t>Personalized language modeling; recurrent neural network; social network</t>
  </si>
  <si>
    <t>ADAPTATION; SYSTEM</t>
  </si>
  <si>
    <t>With the popularity of mobile devices, personalized speech recognizers have become more attainable and are highly attractive. Since each mobile device is used primarily by a single user, it is possible to have a personalized recognizer that well matches the characteristics of the individual user. Although acoustic model personalization has been investigated for decades, much less work has been reported on personalizing language models, presumably because of the difficulties in collecting sufficient personalized corpora. In this paper, we propose a general framework for personalizing recurrent-neural-network-based language models (RNNLMs) using data collected from social networks, including the posts of many individual users and friend relationships among the users. Two major directions for this are model-based and feature-based RNNLM personalization. In model-based RNNLM personalization, the RNNLM parameters are fine-tuned to an individual user's wording patterns by incorporating social texts posted by the target user and his or her friends. For the feature-based approach, the RNNLM model parameters are fixed across users, but the RNNLM input features are instead augmented with personalized information. Both approaches not only drastically reduce the model perplexity, but also moderately reduce word error rates in n-best rescoring tests.</t>
  </si>
  <si>
    <t>[Lee, Hung-Yi] Natl Taiwan Univ, Dept Elect Engn, Taipei 10617, Taiwan; [Tseng, Bo-Hsiang] Natl Taiwan Univ, Taipei 10617, Taiwan; [Wen, Tsung-Hsien] Univ Cambridge, Dialogue Syst Grp, Cambridge CB2 1TN, England; Acad Sinica, Res Ctr Informat Technol Innovat, Taipei 115, Taiwan</t>
  </si>
  <si>
    <t>National Taiwan University; National Taiwan University; University of Cambridge; Academia Sinica - Taiwan</t>
  </si>
  <si>
    <t>Lee, HY (corresponding author), Natl Taiwan Univ, Dept Elect Engn, Taipei 10617, Taiwan.</t>
  </si>
  <si>
    <t>hungyilee@ntu.edu.tw; andy194673@gmail.com; shawnwun@gmail.com; yu.tsao@citi.sinica.edu.tw</t>
  </si>
  <si>
    <t>Tsao, Yu/AAP-4779-2020</t>
  </si>
  <si>
    <t>Tsao, Yu/0000-0001-6956-0418</t>
  </si>
  <si>
    <t>Ministry of Science and Technology (MOST), Taiwan [104-2218-E-002-021-MY2]</t>
  </si>
  <si>
    <t>Ministry of Science and Technology (MOST), Taiwan</t>
  </si>
  <si>
    <t>This work was supported in part by Ministry of Science and Technology (MOST), Taiwan, under Contract 104-2218-E-002-021-MY2. The associate editor coordinating the review of this manuscript and approving it for publication was Dr. Min Zhang.</t>
  </si>
  <si>
    <t>IEEE-INST ELECTRICAL ELECTRONICS ENGINEERS INC</t>
  </si>
  <si>
    <t>PISCATAWAY</t>
  </si>
  <si>
    <t>445 HOES LANE, PISCATAWAY, NJ 08855-4141 USA</t>
  </si>
  <si>
    <t>2329-9290</t>
  </si>
  <si>
    <t>IEEE-ACM T AUDIO SPE</t>
  </si>
  <si>
    <t>IEEE-ACM Trans. Audio Speech Lang.</t>
  </si>
  <si>
    <t>10.1109/TASLP.2016.2635445</t>
  </si>
  <si>
    <t>Acoustics; Engineering, Electrical &amp; Electronic</t>
  </si>
  <si>
    <t>Acoustics; Engineering</t>
  </si>
  <si>
    <t>EM8KW</t>
  </si>
  <si>
    <t>WOS:000395561200006</t>
  </si>
  <si>
    <t>Buschken, Joachim; Allenby, Greg M.</t>
  </si>
  <si>
    <t>Sentence-Based Text Analysis for Customer Reviews (2016) (vol 35, pg 953, 2016)</t>
  </si>
  <si>
    <t>Correction</t>
  </si>
  <si>
    <t>Allenby, Greg/0000-0001-9759-0067</t>
  </si>
  <si>
    <t>WOS:000388701900008</t>
  </si>
  <si>
    <t>Mankad, Shawn/0000-0001-7945-8556; Gavirneni, Srinagesh/0000-0002-4107-8539; Goh, Joel/0000-0002-3473-9191</t>
  </si>
  <si>
    <t>Gunther, E; Quandt, T</t>
  </si>
  <si>
    <t>Guenther, Elisabeth; Quandt, Thorsten</t>
  </si>
  <si>
    <t>WORD COUNTS AND TOPIC MODELS Automated text analysis methods for digital journalism research</t>
  </si>
  <si>
    <t>DIGITAL JOURNALISM</t>
  </si>
  <si>
    <t>automated text analysis; big data; journalism research</t>
  </si>
  <si>
    <t>MEDIA</t>
  </si>
  <si>
    <t>With digital journalism and social media producing huge amounts of digital content every day, journalism scholars are faced with new challenges to describe and analyze the wealth of information. Borrowing sophisticated tools and resources from computer science and computational linguistics, journalism scholars have started to gain insights into the constant information flow and made big data a regular feature of the scientific debate. Both deductive (manual and semi-automated) and inductive (fully automated) text analysis methods are part of this new toolset. In order to make the automated research process more tangible and provide an insight into the options available, we provide a roadmap of common (semi-) automated options for text analysis. We describe the assumptions and workflows of rule-based approaches, dictionaries, supervised machine learning, document clustering, and topic models. We show that automated methods have different strengths that provide different opportunities, enriching-but not replacing-the range of manual content analysis methods.</t>
  </si>
  <si>
    <t>[Guenther, Elisabeth; Quandt, Thorsten] Univ Munster, Dept Commun, Munster, Germany</t>
  </si>
  <si>
    <t>University of Munster</t>
  </si>
  <si>
    <t>Gunther, E (corresponding author), Univ Munster, Dept Commun, Munster, Germany.</t>
  </si>
  <si>
    <t>elisabeth.guenther@uni-muenster.de</t>
  </si>
  <si>
    <t>Quandt, Thorsten/ABE-4668-2021</t>
  </si>
  <si>
    <t>Quandt, Thorsten/0000-0003-1937-0282</t>
  </si>
  <si>
    <t>2167-0811</t>
  </si>
  <si>
    <t>2167-082X</t>
  </si>
  <si>
    <t>DIGIT JOURNAL</t>
  </si>
  <si>
    <t>Digit. Journal.</t>
  </si>
  <si>
    <t>10.1080/21670811.2015.1093270</t>
  </si>
  <si>
    <t>EB2VT</t>
  </si>
  <si>
    <t>WOS:000387221400007</t>
  </si>
  <si>
    <t>Ni, H; Yi, JY; Wen, ZQ; Liu, B; Tao, JH</t>
  </si>
  <si>
    <t>Lee, T; Xie, L; Dang, J; Wang, HM; Wei, J; Feng, H; Hou, Q; Wei, Y</t>
  </si>
  <si>
    <t>Ni, Hao; Yi, Jiangyan; Wen, Zhengqi; Liu, Bin; Tao, Jianhua</t>
  </si>
  <si>
    <t>Improving Accented Mandarin Speech Recognition by Using Recurrent Neural Network based Language Model Adaptation</t>
  </si>
  <si>
    <t>2016 10TH INTERNATIONAL SYMPOSIUM ON CHINESE SPOKEN LANGUAGE PROCESSING (ISCSLP)</t>
  </si>
  <si>
    <t>10th International Symposium on Chinese Spoken Language Processing (ISCSLP)</t>
  </si>
  <si>
    <t>OCT 17-20, 2016</t>
  </si>
  <si>
    <t>Tianjin, PEOPLES R CHINA</t>
  </si>
  <si>
    <t>Int Speech Commun Assoc,ISCA Special Interest Grp Chinese Spoken Language Proc,Tianjin Univ,IEEE Beijing Sect</t>
  </si>
  <si>
    <t>multi-accent; speech recognition; RNN language model; adaptation</t>
  </si>
  <si>
    <t>In this paper, we propose adapt the recurrent neural network (RNN) based language model to improve the performance of multi-accent Mandarin speech recognition. N-gram based language model has already been applied to speech recognition system, but it is hard to describe the long span information in a sentence and arises a serious phenomenon of data sparse. Instead, RNN based language model can overcome these two shortcomings, but it will take a long time to decode directly. Taking these into consideration, this paper combines these two types of language model (LM) together and adapts the RNN based language model to rescore lattices for different accented Mandarin speech. The architecture of the adapted RNN LM is accent-specific top layers and shared hidden layer. The accent-specific top layers are used to adapt different accents and the shared hidden layer stores history information, which can be seen as memory layer. Experiments on the RASC863 corpus show that the proposed method can improve the performance of accented Mandarin speech recognition over the baseline system.</t>
  </si>
  <si>
    <t>[Ni, Hao; Yi, Jiangyan; Wen, Zhengqi; Liu, Bin; Tao, Jianhua] Chinese Acad Sci, Inst Automat, Natl Lab Pattern Recognit, Beijing, Peoples R China; [Tao, Jianhua] Chinese Acad Sci, Inst Automat, Ctr Excellence Brain Sci &amp; Intelligence Technol, Beijing, Peoples R China; [Ni, Hao; Yi, Jiangyan; Tao, Jianhua] Univ Chinese Acad Sci, Sch Comp &amp; Control Engn, Beijing, Peoples R China</t>
  </si>
  <si>
    <t>Chinese Academy of Sciences; Institute of Automation, CAS; Chinese Academy of Sciences; Institute of Automation, CAS; Chinese Academy of Sciences; University of Chinese Academy of Sciences, CAS</t>
  </si>
  <si>
    <t>Ni, H (corresponding author), Chinese Acad Sci, Inst Automat, Natl Lab Pattern Recognit, Beijing, Peoples R China.;Ni, H (corresponding author), Univ Chinese Acad Sci, Sch Comp &amp; Control Engn, Beijing, Peoples R China.</t>
  </si>
  <si>
    <t>hao.ni@nlpr.ia.ac.cn; jiangyan@nlpr.ia.ac.cn; zqwen@nlpr.ia.ac.cn; liubin@nlpr.ia.ac.cn; jhtao@nlpr.ia.ac.cn</t>
  </si>
  <si>
    <t>wen, zheng/HII-3705-2022</t>
  </si>
  <si>
    <t>National Natural Science Foundation of China (NSFC) [61425017, 61403386, 61305003, 61233009, 61273288]</t>
  </si>
  <si>
    <t>National Natural Science Foundation of China (NSFC)(National Natural Science Foundation of China (NSFC))</t>
  </si>
  <si>
    <t>This work is supported by the National Natural Science Foundation of China (NSFC) (No. 61425017, No. 61403386, No. 61305003, No. 61233009, No. 61273288).</t>
  </si>
  <si>
    <t>978-1-5090-4293-7</t>
  </si>
  <si>
    <t>BI1DZ</t>
  </si>
  <si>
    <t>WOS:000405610900002</t>
  </si>
  <si>
    <t>Ni, H; Yi, JY; Wen, ZQ; Tao, JH</t>
  </si>
  <si>
    <t>Tan, T; Li, X; Chen, X; Zhou, J; Yang, J; Cheng, H</t>
  </si>
  <si>
    <t>Ni, Hao; Yi, Jiangyan; Wen, Zhengqi; Tao, Jianhua</t>
  </si>
  <si>
    <t>Recurrent Neural Network Based Language Model Adaptation for Accent Mandarin Speech</t>
  </si>
  <si>
    <t>PATTERN RECOGNITION (CCPR 2016), PT II</t>
  </si>
  <si>
    <t>Communications in Computer and Information Science</t>
  </si>
  <si>
    <t>7th Chinese Conference on Pattern Recognition (CCPR)</t>
  </si>
  <si>
    <t>NOV 05-07, 2016</t>
  </si>
  <si>
    <t>Chengdu, PEOPLES R CHINA</t>
  </si>
  <si>
    <t>Multi-accent; Speech recognition; RNN language model; Adaptation</t>
  </si>
  <si>
    <t>In this paper, we propose to adapt the recurrent neural network (RNN) based language model to improve the performance of multi-accent Mandarin speech recognition. N-gram based language model can be easily applied to speech recognition system, but it is hard to describe the long span information in a sentence and arises a serious phenomenon of data sparsity. Instead, RNN based language model can overcome these two shortcomings, but it will take a long time to decode directly. Taking these into consideration, this paper proposes a method which combines these two types of language model (LM) together and adapts the RNN based language model to rescore lattices for different accents of Mandarin speech. The architecture of the adapted RNN LM is accent-specific top layers and shared hidden layer. The accent-specific top layers are used to adapt different accents and the shared hidden layer stores history information, which can be seen as a memory layer. Experiments on the RASC863 corpus show that the proposed method can improve the performance of accented Mandarin speech recognition over the baseline system.</t>
  </si>
  <si>
    <t>[Ni, Hao; Yi, Jiangyan; Wen, Zhengqi; Tao, Jianhua] Chinese Acad Sci, Inst Automat, Natl Lab Pattern Recognit, Beijing 100190, Peoples R China; [Tao, Jianhua] Chinese Acad Sci, Ctr Excellence Brain Sci &amp; Intelligence Technol, Beijing 100190, Peoples R China</t>
  </si>
  <si>
    <t>Chinese Academy of Sciences; Institute of Automation, CAS; Chinese Academy of Sciences</t>
  </si>
  <si>
    <t>Ni, H (corresponding author), Chinese Acad Sci, Inst Automat, Natl Lab Pattern Recognit, Beijing 100190, Peoples R China.</t>
  </si>
  <si>
    <t>hao.ni@nlpr.ia.ac.cn; jiangyan.yi@nlpr.ia.ac.cn; zqwen@nlpr.ia.ac.cn; jhtao@nlpr.ia.ac.cn</t>
  </si>
  <si>
    <t>SPRINGER-VERLAG SINGAPORE PTE LTD</t>
  </si>
  <si>
    <t>SINGAPORE</t>
  </si>
  <si>
    <t>152 BEACH ROAD, #21-01/04 GATEWAY EAST, SINGAPORE, 189721, SINGAPORE</t>
  </si>
  <si>
    <t>1865-0929</t>
  </si>
  <si>
    <t>1865-0937</t>
  </si>
  <si>
    <t>978-981-10-3005-5; 978-981-10-3004-8</t>
  </si>
  <si>
    <t>COMM COM INF SC</t>
  </si>
  <si>
    <t>10.1007/978-981-10-3005-5_50</t>
  </si>
  <si>
    <t>Computer Science, Artificial Intelligence; Computer Science, Theory &amp; Methods; Engineering, Electrical &amp; Electronic</t>
  </si>
  <si>
    <t>BI1OF</t>
  </si>
  <si>
    <t>WOS:000406539900050</t>
  </si>
  <si>
    <t>Ziemer, KS; Korkmaz, G</t>
  </si>
  <si>
    <t>Ziemer, Kathryn Schaefer; Korkmaz, Gizem</t>
  </si>
  <si>
    <t>Human vs. Automated Text Analysis: Estimating Positive and Negative Affect</t>
  </si>
  <si>
    <t>PROCEEDINGS OF THE 27TH ACM CONFERENCE ON HYPERTEXT AND SOCIAL MEDIA (HT'16)</t>
  </si>
  <si>
    <t>27th ACM Conference on Hypertext and Social Media (HT)</t>
  </si>
  <si>
    <t>JUL 10-13, 2016</t>
  </si>
  <si>
    <t>Halifax, CANADA</t>
  </si>
  <si>
    <t>Assoc Comp Machinery,ACM SIGWEB,ACM SIGCHI</t>
  </si>
  <si>
    <t>automated text analysis; human coding; expressive writing; feature selection; Lasso; LIWC; sentiment analysis</t>
  </si>
  <si>
    <t>COMPUTERIZED CONTENT-ANALYSIS; EMOTIONAL EXPRESSION; SENTIMENT ANALYSIS; AFFECT SCHEDULE; VALIDITY; PANAS; SAMPLE; HEALTH</t>
  </si>
  <si>
    <t>Automated text analysis (ATA) has been a widely used tool for determining the sentiment of writing samples. However, it is unclear how ATA compares to human ratings of text when estimating affect. There are costs and benefits associated with each method, and comparing the two approaches will help determine which one provides the most useful and accurate results. This study uses 279 journal entries from individuals with chronic pain in order to estimate the positive and negative affect scores reported directly by participants. We use Lasso to select the features that are most predictive of affect. Our results indicate that the model combining human coders and ATA accounts for the most variance in self-reported positive affect scores, resulting in adjusted R-2 = 0.36. For negative affect scores, we obtain a lower adjusted R-2 = 0.30 with the combined model, however, ATA results in significantly higher adjusted R-2 = 0.27 compared to the model using only human coders, R-2 = 0.14. This suggests that utilizing human coders may be the most beneficial when the focus is on positive affect, but automated text analysis may be sufficient when studying negative affect.</t>
  </si>
  <si>
    <t>[Ziemer, Kathryn Schaefer; Korkmaz, Gizem] Virginia Tech, Biocomplex Inst, 900 N Glebe Rd, Arlington, VA 22203 USA</t>
  </si>
  <si>
    <t>Virginia Polytechnic Institute &amp; State University</t>
  </si>
  <si>
    <t>Ziemer, KS (corresponding author), Virginia Tech, Biocomplex Inst, 900 N Glebe Rd, Arlington, VA 22203 USA.</t>
  </si>
  <si>
    <t>ziemer@vbi.vt.edu; gkorkmaz@vbi.vt.edu</t>
  </si>
  <si>
    <t>Korkmaz, Gizem/0000-0002-4947-6320</t>
  </si>
  <si>
    <t>978-1-4503-4247-6</t>
  </si>
  <si>
    <t>10.1145/2914586.2914634</t>
  </si>
  <si>
    <t>BF6UX</t>
  </si>
  <si>
    <t>WOS:000383738200041</t>
  </si>
  <si>
    <t>Yang, SH; Santillana, M; Kou, SC</t>
  </si>
  <si>
    <t>Yang, Shihao; Santillana, Mauricio; Kou, S. C.</t>
  </si>
  <si>
    <t>Accurate estimation of influenza epidemics using Google search data via ARGO</t>
  </si>
  <si>
    <t>digital disease detection; seasonal influenza; big data; influenza-like illnesses activity real-time estimation; autoregressive exogenous model</t>
  </si>
  <si>
    <t>QUERY DATA; BIG DATA; FLU; SURVEILLANCE; TRANSMISSION; REGRESSION; SELECTION; ILLNESS</t>
  </si>
  <si>
    <t>Accurate real-time tracking of influenza outbreaks helps public health officials make timely and meaningful decisions that could save lives. We propose an influenza tracking model, ARGO (AutoRegression with GOogle search data), that uses publicly available online search data. In addition to having a rigorous statistical foundation, ARGO outperforms all previously available Google-search-based tracking models, including the latest version of Google Flu Trends, even though it uses only low-quality search data as input from publicly available Google Trends and Google Correlate websites. ARGO not only incorporates the seasonality in influenza epidemics but also captures changes in people's online search behavior over time. ARGO is also flexible, self-correcting, robust, and scalable, making it a potentially powerful tool that can be used for real-time tracking of other social events at multiple temporal and spatial resolutions.</t>
  </si>
  <si>
    <t>[Yang, Shihao; Kou, S. C.] Harvard Univ, Dept Stat, Cambridge, MA 02138 USA; [Santillana, Mauricio] Harvard Univ, Sch Engn &amp; Appl Sci, Cambridge, MA 02138 USA; [Santillana, Mauricio] Boston Childrens Hosp, Computat Hlth Informat Program, Boston, MA 02115 USA</t>
  </si>
  <si>
    <t>Harvard University; Harvard University; Harvard University; Boston Children's Hospital</t>
  </si>
  <si>
    <t>Santillana, M (corresponding author), Harvard Univ, Sch Engn &amp; Appl Sci, Cambridge, MA 02138 USA.</t>
  </si>
  <si>
    <t>msantill@fas.harvard.edu; kou@stat.harvard.edu</t>
  </si>
  <si>
    <t>PAN, ZEQIANG/X-6341-2018</t>
  </si>
  <si>
    <t>National Science Foundation [DMS-1510446]; Division Of Mathematical Sciences; Direct For Mathematical &amp; Physical Scien [1510446] Funding Source: National Science Foundation</t>
  </si>
  <si>
    <t>National Science Foundation(National Science Foundation (NSF)); Division Of Mathematical Sciences; Direct For Mathematical &amp; Physical Scien(National Science Foundation (NSF)NSF - Directorate for Mathematical &amp; Physical Sciences (MPS))</t>
  </si>
  <si>
    <t>S.C.K.'s research is supported in part by National Science Foundation Grant DMS-1510446.</t>
  </si>
  <si>
    <t>NOV 24</t>
  </si>
  <si>
    <t>10.1073/pnas.1515373112</t>
  </si>
  <si>
    <t>CW7IY</t>
  </si>
  <si>
    <t>Green Published, Bronze, Green Submitted</t>
  </si>
  <si>
    <t>WOS:000365173100041</t>
  </si>
  <si>
    <t>Iliev, R; Dehghani, M; Sagi, E</t>
  </si>
  <si>
    <t>Iliev, Rumen; Dehghani, Morteza; Sagi, Eyal</t>
  </si>
  <si>
    <t>Automated text analysis in psychology: methods, applications, and future developments</t>
  </si>
  <si>
    <t>LANGUAGE AND COGNITION</t>
  </si>
  <si>
    <t>automated text analysis; psychological variables; demographics; technology; big data; psycho-informatics</t>
  </si>
  <si>
    <t>LATENT SEMANTIC ANALYSIS; LANGUAGE USE; SEPTEMBER 11; DOCUMENTS; CULTURE; GERMAN; WORDS; BLOGS</t>
  </si>
  <si>
    <t>Recent years have seen rapid developments in automated text analysis methods focused on measuring psychological and demographic properties. While this development has mainly been driven by computer scientists and computational linguists, such methods can be of great value for social scientists in general, and for psychologists in particular. In this paper, we review some of the most popular approaches to automated text analysis from the perspective of social scientists, and give examples of their applications in different theoretical domains. After describing some of the pros and cons of these methods, we speculate about future methodological developments, and how they might change social sciences. We conclude that, despite the fact that current methods have many disadvantages and pitfalls compared to more traditional methods of data collection, the constant increase of computational power and the wide availability of textual data will inevitably make automated text analysis a common tool for psychologists.</t>
  </si>
  <si>
    <t>[Iliev, Rumen] Univ Michigan, Ann Arbor, MI 48109 USA; [Dehghani, Morteza] Univ So Calif, Los Angeles, CA 90089 USA; [Sagi, Eyal] Northwestern Univ, Evanston, IL 60208 USA</t>
  </si>
  <si>
    <t>University of Michigan System; University of Michigan; University of Southern California; Northwestern University</t>
  </si>
  <si>
    <t>Iliev, R (corresponding author), Univ Michigan, Ann Arbor, MI 48109 USA.</t>
  </si>
  <si>
    <t>riliev@umich.edu</t>
  </si>
  <si>
    <t>Ponton, Twyla/X-3944-2019</t>
  </si>
  <si>
    <t>Dehghani, Morteza/0000-0002-9478-4365</t>
  </si>
  <si>
    <t>1866-9808</t>
  </si>
  <si>
    <t>1866-9859</t>
  </si>
  <si>
    <t>LANG COGN</t>
  </si>
  <si>
    <t>Lang. Cogn.</t>
  </si>
  <si>
    <t>10.1017/langcog.2014.30</t>
  </si>
  <si>
    <t>Linguistics; Language &amp; Linguistics; Psychology, Experimental</t>
  </si>
  <si>
    <t>CN4PY</t>
  </si>
  <si>
    <t>WOS:000358413600005</t>
  </si>
  <si>
    <t>Myneni, S; Fujimoto, K; Cobb, N; Cohen, T</t>
  </si>
  <si>
    <t>Myneni, Sahiti; Fujimoto, Kayo; Cobb, Nathan; Cohen, Trevor</t>
  </si>
  <si>
    <t>Content-Driven Analysis of an Online Community for Smoking Cessation: Integration of Qualitative Techniques, Automated Text Analysis, and Affiliation Networks</t>
  </si>
  <si>
    <t>AMERICAN JOURNAL OF PUBLIC HEALTH</t>
  </si>
  <si>
    <t>P-ASTERISK MODELS; BEHAVIOR-CHANGE; PEER INFLUENCE; SOCIAL MEDIA; EXPOSURE; SITES</t>
  </si>
  <si>
    <t>Objectives. We identified content-specific patterns of network diffusion underlying smoking cessation in the context of online platforms, with the aim of generating targeted intervention strategies. Methods. QuitNet is an online social network for smoking cessation. We analyzed 16 492 de-identified peer-to-peer messages from 1423 members, posted between March 1 and April 30, 2007. Our mixed-methods approach comprised qualitative coding, automated text analysis, and affiliation network analysis to identify, visualize, and analyze content-specific communication patterns underlying smoking behavior. Results. Themes we identified in QuitNet messages included relapse, QuitNet-specific traditions, and cravings. QuitNet members who were exposed to other abstinent members by exchanging content related to interpersonal themes (e.g., social support, traditions, progress) tended to abstain. Themes found in other types of content did not show significant correlation with abstinence. Conclusions. Modeling health-related affiliation networks through content-driven methods can enable the identification of specific content related to higher abstinence rates, which facilitates targeted health promotion.</t>
  </si>
  <si>
    <t>[Myneni, Sahiti; Cohen, Trevor] Univ Texas Hlth Sci Ctr Houston, Sch Biomed Informat, Houston, TX 77030 USA; [Fujimoto, Kayo] Univ Texas Houston, Sch Publ Hlth, Div Hlth Promot &amp; Behav Sci, Houston, TX USA; [Cobb, Nathan] Georgetown Univ, Med Ctr, Dept Med, Div Pulm &amp; Crit Care, Washington, DC 20007 USA; [Cobb, Nathan] MeYou Hlth LLC, Boston, MA USA</t>
  </si>
  <si>
    <t>University of Texas System; University of Texas Health Science Center Houston; University of Texas System; University of Texas Health Science Center Houston; University of Texas School Public Health; Georgetown University</t>
  </si>
  <si>
    <t>Myneni, S (corresponding author), 7000 Fannin St,Suite 165G, Houston, TX 77030 USA.</t>
  </si>
  <si>
    <t>Sahiti.Myneni@uth.tmc.edu</t>
  </si>
  <si>
    <t>Cobb, Nathan/0000-0003-4210-226X</t>
  </si>
  <si>
    <t>UTHealth Innovation for Cancer Prevention Research Pre-doctoral Fellowship, University of Texas School of Public Health-Cancer Prevention and Research Institute of Texas [RP101503]</t>
  </si>
  <si>
    <t>UTHealth Innovation for Cancer Prevention Research Pre-doctoral Fellowship, University of Texas School of Public Health-Cancer Prevention and Research Institute of Texas</t>
  </si>
  <si>
    <t>This study is supported in part by UTHealth Innovation for Cancer Prevention Research Pre-doctoral Fellowship, University of Texas School of Public Health-Cancer Prevention and Research Institute of Texas (grant RP101503).</t>
  </si>
  <si>
    <t>AMER PUBLIC HEALTH ASSOC INC</t>
  </si>
  <si>
    <t>800 I STREET, NW, WASHINGTON, DC 20001-3710 USA</t>
  </si>
  <si>
    <t>0090-0036</t>
  </si>
  <si>
    <t>1541-0048</t>
  </si>
  <si>
    <t>AM J PUBLIC HEALTH</t>
  </si>
  <si>
    <t>Am. J. Public Health</t>
  </si>
  <si>
    <t>10.2105/AJPH.2014.302464</t>
  </si>
  <si>
    <t>Public, Environmental &amp; Occupational Health</t>
  </si>
  <si>
    <t>CQ2XW</t>
  </si>
  <si>
    <t>WOS:000360466800038</t>
  </si>
  <si>
    <t>Bubenhofer, N; Scharloth, J</t>
  </si>
  <si>
    <t>Bubenhofer, Noah; Scharloth, Joachim</t>
  </si>
  <si>
    <t>Automated Text Analysis in the Characters of Big Data and Data-driven Turn - Overview and Desiderata</t>
  </si>
  <si>
    <t>ZEITSCHRIFT FUR GERMANISTISCHE LINGUISTIK</t>
  </si>
  <si>
    <t>German</t>
  </si>
  <si>
    <t>VISUALIZATION</t>
  </si>
  <si>
    <t>[Bubenhofer, Noah; Scharloth, Joachim] Tech Univ Dresden, Inst Germanist, D-01062 Dresden, Germany; [Bubenhofer, Noah] Dresden Ctr Digital Linguist, Angew Linguist, D-01062 Dresden, Germany</t>
  </si>
  <si>
    <t>Technische Universitat Dresden</t>
  </si>
  <si>
    <t>Bubenhofer, N (corresponding author), Tech Univ Dresden, Inst Germanist, Helmholtzstr 10, D-01062 Dresden, Germany.</t>
  </si>
  <si>
    <t>noah.bubenhofer@tu-dresden.de; joachim.scharloth@tu-dresden.de</t>
  </si>
  <si>
    <t>WALTER DE GRUYTER GMBH</t>
  </si>
  <si>
    <t>GENTHINER STRASSE 13, D-10785 BERLIN, GERMANY</t>
  </si>
  <si>
    <t>0301-3294</t>
  </si>
  <si>
    <t>1613-0626</t>
  </si>
  <si>
    <t>Z GER LINGUISTIK</t>
  </si>
  <si>
    <t>Z. Ger. Linguist.</t>
  </si>
  <si>
    <t>10.1515/zgl-2015-0001</t>
  </si>
  <si>
    <t>CE8HZ</t>
  </si>
  <si>
    <t>WOS:000352084000001</t>
  </si>
  <si>
    <t>Li, SC; Wu, CP; Li, H; Li, BX; Wang, Y; Qiu, QR</t>
  </si>
  <si>
    <t>Li, Sicheng; Wu, Chunpeng; Li, Hai (Helen); Li, Boxun; Wang, Yu; Qiu, Qinru</t>
  </si>
  <si>
    <t>FPGA Acceleration of Recurrent Neural Network based Language Model</t>
  </si>
  <si>
    <t>2015 IEEE 23RD ANNUAL INTERNATIONAL SYMPOSIUM ON FIELD-PROGRAMMABLE CUSTOM COMPUTING MACHINES (FCCM)</t>
  </si>
  <si>
    <t>Annual IEEE Symposium on Field-Programmable Custom Computing Machines</t>
  </si>
  <si>
    <t>2015 IEEE 23rd Annual International Symposium on Field-Programmable Custom Computing Machines (FCCM)</t>
  </si>
  <si>
    <t>MAY 03-05, 2015</t>
  </si>
  <si>
    <t>Computer Society Techn Committe on Computer Architecture,IEEE,IEEE COMPUTER SOCIETY,XILINX,Microsoft,CMC,HUAWEI,LATTICE,DSP,picocomputing,ALTERA,VectorBlox,CYPRESS,synopsys,TOPIC,VP Academ,irmacs,SFU Faculty of Applied Sciences,Atomic Rules,ALGO-LOGIC</t>
  </si>
  <si>
    <t>recurrent neural network (RNN); language model; FPGA; acceleration</t>
  </si>
  <si>
    <t>Recurrent neural network (RNN) based language model (RNNLM) is a biologically inspired model for natural language processing. It records the historical information through additional recurrent connections and therefore is very effective in capturing semantics of sentences. However, the use of RNNLM has been greatly hindered for the high computation cost in training. This work presents an FPGA implementation framework for RNNLM training acceleration. At architectural level, we improve the parallelism of RNN training scheme and reduce the computing resource requirement for computation efficiency enhancement. The hardware implementation primarily targets at reducing data communication load. A multi-thread based computation engine is utilized which can successfully mask the long memory latency and reuse frequent accessed data. The evaluation based on the Microsoft Research Sentence Completion Challenge shows that the proposed FPGA implementation outperforms traditional class-based modest-size recurrent networks and obtains 46.2% in training accuracy. Moreover, experiments at different network sizes demonstrate a great scalability of the proposed framework.</t>
  </si>
  <si>
    <t>[Li, Sicheng; Wu, Chunpeng; Li, Hai (Helen)] Univ Pittsburgh, Pittsburgh, PA 15260 USA; [Li, Boxun; Wang, Yu] Tsinghua Univ, Beijing, Peoples R China; [Qiu, Qinru] Syracuse Univ, Syracuse, NY USA</t>
  </si>
  <si>
    <t>Pennsylvania Commonwealth System of Higher Education (PCSHE); University of Pittsburgh; Tsinghua University; Syracuse University</t>
  </si>
  <si>
    <t>Li, SC (corresponding author), Univ Pittsburgh, Pittsburgh, PA 15260 USA.</t>
  </si>
  <si>
    <t>sil27@pitt.edu; chw127@pitt.edu; hal66@pitt.edu; yu-wang@tsinghua.edu.cn; qiqiu@syr.edu</t>
  </si>
  <si>
    <t>Wu, Chunpeng/HPC-1428-2023; Li, Hai/L-8558-2017; WANG, Yu/B-7985-2011</t>
  </si>
  <si>
    <t>Li, Hai/0000-0003-3228-6544; WANG, Yu/0000-0001-6108-5157</t>
  </si>
  <si>
    <t>978-1-4799-9969-9</t>
  </si>
  <si>
    <t>ANN IEEE SYM FIELD P</t>
  </si>
  <si>
    <t>10.1109/FCCM.2015.50</t>
  </si>
  <si>
    <t>BF3AZ</t>
  </si>
  <si>
    <t>WOS:000380517700030</t>
  </si>
  <si>
    <t>Morioka, T; Iwata, T; Hori, T; Kobayashi, T</t>
  </si>
  <si>
    <t>ISCA-INT SPEECH COMMUN ASSOC</t>
  </si>
  <si>
    <t>Morioka, Tsuyoshi; Iwata, Tomoharu; Hori, Takaaki; Kobayashi, Tetsunori</t>
  </si>
  <si>
    <t>Multiscale recurrent neural network based language model</t>
  </si>
  <si>
    <t>16TH ANNUAL CONFERENCE OF THE INTERNATIONAL SPEECH COMMUNICATION ASSOCIATION (INTERSPEECH 2015), VOLS 1-5</t>
  </si>
  <si>
    <t>16th Annual Conference of the International-Speech-Communication-Association (INTERSPEECH 2015)</t>
  </si>
  <si>
    <t>SEP 06-10, 2015</t>
  </si>
  <si>
    <t>Dresden, GERMANY</t>
  </si>
  <si>
    <t>NISCAN,TU Berlin,TUBS Sci Mkt,EZ Alibaba Grp,Telekon Innovat Lab,Google,Amazon Echo,Facebook,Microsoft,Citrix,Datamall,NXP Software,E Sigma,ELRA,European Media Lab GmbH,EML,Nuance,Linguwerk,Speech Ocean</t>
  </si>
  <si>
    <t>recurrent neural network based language model (RNNLM); multiscale dynamics; speech recognition</t>
  </si>
  <si>
    <t>We describe a novel recurrent neural network-based language model (RNNLM) dealing with multiple time-scales of contexts. The RNNLM is now a technical standard in language modeling because it remembers some lengths of contexts. However, the RNNLM can only deal with a single time-scale of a context, regardless of the subsequent words and topic of the spoken utterance, even though the optimal time-scale of the context can vary under such conditions. In contrast, our multiscale RNNLM enables incorporating with sufficient flexibility, and it makes use of various time-scales of contexts simultaneously and with proper weights for predicting the next word. Experimental comparisons carried out in large vocabulary spontaneous speech recognition demonstrate that introducing the multiple time-scales of contexts into the RNNLM yielded improvements over existing RNNLMs in terms of the perplexity and word error rate.</t>
  </si>
  <si>
    <t>[Morioka, Tsuyoshi; Kobayashi, Tetsunori] Waseda Univ, Dept Comp Sci, Tokyo, Japan; [Iwata, Tomoharu; Hori, Takaaki] NTT Corp, NTT Commun Sci Labs, Kyoto, Japan</t>
  </si>
  <si>
    <t>Waseda University; Nippon Telegraph &amp; Telephone Corporation</t>
  </si>
  <si>
    <t>Morioka, T (corresponding author), Waseda Univ, Dept Comp Sci, Tokyo, Japan.</t>
  </si>
  <si>
    <t>ISCA-INT SPEECH COMMUNICATION ASSOC</t>
  </si>
  <si>
    <t>BAIXAS</t>
  </si>
  <si>
    <t>C/O EMMANUELLE FOXONET, 4 RUE DES FAUVETTES, LIEU DIT LOUS TOURILS, BAIXAS, F-66390, FRANCE</t>
  </si>
  <si>
    <t>978-1-5108-1790-6</t>
  </si>
  <si>
    <t>Acoustics; Computer Science, Interdisciplinary Applications</t>
  </si>
  <si>
    <t>Acoustics; Computer Science</t>
  </si>
  <si>
    <t>BF3TT</t>
  </si>
  <si>
    <t>WOS:000380581601030</t>
  </si>
  <si>
    <t>Cohen, T; Widdows, D</t>
  </si>
  <si>
    <t>Sarkar, IN</t>
  </si>
  <si>
    <t>Cohen, Trevor; Widdows, Dominic</t>
  </si>
  <si>
    <t>Geometric Representations in Biomedical Informatics: Applications in Automated Text Analysis</t>
  </si>
  <si>
    <t>METHODS IN BIOMEDICAL INFORMATICS: A PRAGMATIC APPROACH</t>
  </si>
  <si>
    <t>SINGULAR-VALUE DECOMPOSITION; FISH-OIL; DISCOVERY; UMLS</t>
  </si>
  <si>
    <t>[Cohen, Trevor] Univ Texas Sch Biomed Informat Houston, Houston, TX 77030 USA; [Widdows, Dominic] Serendipity, Microsoft Bing, Palo Alto, CA USA</t>
  </si>
  <si>
    <t>University of Texas System; University of Texas Health Science Center Houston</t>
  </si>
  <si>
    <t>Cohen, T (corresponding author), Univ Texas Sch Biomed Informat Houston, Houston, TX 77030 USA.</t>
  </si>
  <si>
    <t>Cohen, Trevor/0000-0003-0159-6697</t>
  </si>
  <si>
    <t>ELSEVIER ACADEMIC PRESS INC</t>
  </si>
  <si>
    <t>525 B STREET, SUITE 1900, SAN DIEGO, CA 92101-4495 USA</t>
  </si>
  <si>
    <t>978-0-12-401684-2; 978-0-12-401678-1</t>
  </si>
  <si>
    <t>10.1016/B978-0-12-401678-1.00005-1</t>
  </si>
  <si>
    <t>Medical Informatics</t>
  </si>
  <si>
    <t>BA2XG</t>
  </si>
  <si>
    <t>WOS:000333977700005</t>
  </si>
  <si>
    <t>Velasquez, NF; Fields, DA; Olsen, D; Martin, T; Shepherd, MC; Strommer, A; Kafai, YB</t>
  </si>
  <si>
    <t>Sprague, RH</t>
  </si>
  <si>
    <t>Velasquez, Nicole Forsgren; Fields, Deborah A.; Olsen, David; Martin, Taylor; Shepherd, Mark C.; Strommer, Anna; Kafai, Yasmin B.</t>
  </si>
  <si>
    <t>Novice Programmers Talking about Projects: What Automated Text Analysis Reveals about Online Scratch Users' Comments</t>
  </si>
  <si>
    <t>2014 47TH HAWAII INTERNATIONAL CONFERENCE ON SYSTEM SCIENCES (HICSS)</t>
  </si>
  <si>
    <t>Proceedings of the Annual Hawaii International Conference on System Sciences</t>
  </si>
  <si>
    <t>47th Annual Hawaii International Conference on System Sciences</t>
  </si>
  <si>
    <t>JAN 06-09, 2014</t>
  </si>
  <si>
    <t>Waikoloa, HI</t>
  </si>
  <si>
    <t>Univ Hawaii, Shidler Coll Business,IEEE Comp Soc</t>
  </si>
  <si>
    <t>DECEPTION</t>
  </si>
  <si>
    <t>In this paper we examine the possibilities of applying predictive analysis to users' written communication via comments in an open-ended online social networking forum: Scratch.mitedu. Scratch is primarily used by youth ages 8-16 years to program software like games, animations, and stories; their social interactions take place around commenting, remixing, and sharing computer programs (called projects). This exploratory work contributes to work in educational data mining by broadly describing and comparing comments about projects versus other topics in Scratch. Referencing communication accommodation theory, we found that user comments about projects exhibited different linguistic cues than other comments, and these cues were successfully used to classify comment topic. Further, results also suggest that project comments embody richer language than other comments. This suggests several future avenues for research on youth's online comments about programming and other technical projects that may reveal educational opportunities in creating and sharing projects.</t>
  </si>
  <si>
    <t>[Velasquez, Nicole Forsgren; Fields, Deborah A.; Olsen, David; Martin, Taylor; Shepherd, Mark C.; Strommer, Anna] Utah State Univ, 2830 Old Main Hill, Logan, UT 84322 USA; [Kafai, Yasmin B.] Univ Penn, Philadelphia, PA 19104 USA</t>
  </si>
  <si>
    <t>Utah System of Higher Education; Utah State University; University of Pennsylvania</t>
  </si>
  <si>
    <t>Velasquez, NF (corresponding author), Utah State Univ, 2830 Old Main Hill, Logan, UT 84322 USA.</t>
  </si>
  <si>
    <t>nicolefv@usu.edu; deborah.fields@usu.edu; david.olsen@usu.edu; taylor.martin@usu.edu; mark.shep@aggiemail.usu.edu; anna.strommer@aggiemail.usu.edu; kafai@upenn.edu</t>
  </si>
  <si>
    <t>Fields, Deborah/GXZ-6816-2022</t>
  </si>
  <si>
    <t>Fields, Deborah/0000-0003-1627-9512</t>
  </si>
  <si>
    <t>Div Of Information &amp; Intelligent Systems; Direct For Computer &amp; Info Scie &amp; Enginr [1319938] Funding Source: National Science Foundation</t>
  </si>
  <si>
    <t>Div Of Information &amp; Intelligent Systems; Direct For Computer &amp; Info Scie &amp; Enginr(National Science Foundation (NSF)NSF - Directorate for Computer &amp; Information Science &amp; Engineering (CISE))</t>
  </si>
  <si>
    <t>1060-3425</t>
  </si>
  <si>
    <t>978-1-4799-2504-9</t>
  </si>
  <si>
    <t>P ANN HICSS</t>
  </si>
  <si>
    <t>10.1109/HICSS.2014.209</t>
  </si>
  <si>
    <t>BB5FW</t>
  </si>
  <si>
    <t>WOS:000343806601091</t>
  </si>
  <si>
    <t>Mohr, JW; Wagner-Pacifici, R; Breiger, RL; Bogdanov, P</t>
  </si>
  <si>
    <t>Mohr, John W.; Wagner-Pacifici, Robin; Breiger, Ronald L.; Bogdanov, Petko</t>
  </si>
  <si>
    <t>Graphing the grammar of motives in National Security Strategies: Cultural interpretation, automated text analysis and the drama of global politics</t>
  </si>
  <si>
    <t>Kenneth Burke; Semantic and poetic meaning; Automated text analysis; US National Security Strategy; Dramatism; Rhetorics of states</t>
  </si>
  <si>
    <t>The literary theorist Kenneth Burke (1945) outlined a methodology for identifying the basic grammar of motives that operate within texts. His strategy was to identify the logical form that is used for attributing meaning to human situations. We imagine how a variant of Burke's method might be applied in the era of automated text analysis, and then we explore an implementation of that variant (using a combination of natural language process, semantic parsers and statistical topic models) in analyzing a corpus of eleven U.S. National Security Strategy documents that were produced between 1990 and 2010. This automated process for textual coding and analysis is shown to have much utility for analyzing these types of texts and to hold out the promise for being useful for other types of text corpora, as well-thereby opening up new possibilities for the scientific study of rhetoric. (C) 2013 Elsevier B.V. All rights reserved.</t>
  </si>
  <si>
    <t>[Mohr, John W.] Univ Calif Santa Barbara, Dept Sociol, Santa Barbara, CA 93106 USA; [Wagner-Pacifici, Robin] New Sch Social Res, Dept Sociol, New York, NY 10003 USA; [Breiger, Ronald L.] Univ Arizona, Sch Sociol, Tucson, AZ 85721 USA; [Bogdanov, Petko] Univ Calif Santa Barbara, Dept Comp Sci, Santa Barbara, CA 93106 USA</t>
  </si>
  <si>
    <t>University of California System; University of California Santa Barbara; The New School; University of Arizona; University of California System; University of California Santa Barbara</t>
  </si>
  <si>
    <t>mohr@soc.ucsb.edu; wagnerpr@newschool.edu; Breiger@Arizona.edu; petko@cs.ucsb.edu</t>
  </si>
  <si>
    <t>Breiger, Ronald/Q-1801-2019</t>
  </si>
  <si>
    <t>Breiger, Ronald/0000-0003-0575-9211</t>
  </si>
  <si>
    <t>10.1016/j.poetic.2013.08.003</t>
  </si>
  <si>
    <t>287QV</t>
  </si>
  <si>
    <t>WOS:000329558200006</t>
  </si>
  <si>
    <t>Wen, TH; Heidel, A; Lee, HY; Tsao, Y; Lee, LS</t>
  </si>
  <si>
    <t>Bimbot, F; Cerisara, C; Fougeron, C; Gravier, G; Lamel, L; Pellegrino, F; Perrier, P</t>
  </si>
  <si>
    <t>Wen, Tsung-Hsien; Heidel, Aaron; Lee, Hung-yi; Tsao, Yu; Lee, Lin -Shan</t>
  </si>
  <si>
    <t>Recurrent Neural Network Based Language Model Personalization by Social Network Crowdsourcing</t>
  </si>
  <si>
    <t>14TH ANNUAL CONFERENCE OF THE INTERNATIONAL SPEECH COMMUNICATION ASSOCIATION (INTERSPEECH 2013), VOLS 1-5</t>
  </si>
  <si>
    <t>Interspeech</t>
  </si>
  <si>
    <t>14th Annual Conference of the International-Speech-Communication-Association (INTERSPEECH 2013)</t>
  </si>
  <si>
    <t>AUG 25-29, 2013</t>
  </si>
  <si>
    <t>Lyon, FRANCE</t>
  </si>
  <si>
    <t>Int Speech Commun Assoc,europa org,amazon,Microsoft,Google,TcL SYTRAL,European Language Resources Assoc,ouaero,imaginove,VOCAPIA res,acapela,speech ocean,ALDEBARAN,orange,vecsys,IBM Res,Raytheon BBN Technol,voxygen</t>
  </si>
  <si>
    <t>Recurrent Neural Network; Personalized Language; Modeling; Social Network; LM adaptation</t>
  </si>
  <si>
    <t>Speech recognition has become an important feature in smartphones in recent years. Different from traditional automatic speech recognition, the speech recognition on smart phones can take advantage of personalized language models to model the linguistic patterns and wording habits of a particular smartphone owner better. Owing to the popularity of social networks in recent years, personal texts and messages are no longer inaccessible. However, data sparseness is still an unsolved problem. In this paper, we propose a three-step adaptation approach to personalize recurrent neural network language models (RNNLMs). We believe that its capability to model word histories as distributed representations of arbitrary length can help mitigate the data sparseness problem. Furthermore, we also propose additional user-oriented features to empower the RNNLMs with stronger capabilities for personalization. The experiments on a Facebook dataset showed that the proposed method not only drastically reduced the model perplexity in preliminary experiments, but also moderately reduced the word error rate in n-best rescoring tests.</t>
  </si>
  <si>
    <t>[Wen, Tsung-Hsien; Heidel, Aaron; Lee, Lin -Shan] Natl Taiwan Univ, Taipei, Taiwan; [Lee, Hung-yi; Tsao, Yu] Acad Sinica, Taipei 115, Taiwan</t>
  </si>
  <si>
    <t>National Taiwan University; Academia Sinica - Taiwan</t>
  </si>
  <si>
    <t>Wen, TH (corresponding author), Natl Taiwan Univ, Taipei, Taiwan.</t>
  </si>
  <si>
    <t>r00921033@ntu.edu.tw; lslee@gate.sinica.edu.tw</t>
  </si>
  <si>
    <t>Tsao, Yu/0000-0001-6956-0418; LEE, HUNG-YI/0000-0002-9654-5747</t>
  </si>
  <si>
    <t>2308-457X</t>
  </si>
  <si>
    <t>978-1-62993-443-3</t>
  </si>
  <si>
    <t>INTERSPEECH</t>
  </si>
  <si>
    <t>Computer Science, Artificial Intelligence; Engineering, Electrical &amp; Electronic</t>
  </si>
  <si>
    <t>BH0HX</t>
  </si>
  <si>
    <t>WOS:000395050001083</t>
  </si>
  <si>
    <t>Colley, SK; Neal, A</t>
  </si>
  <si>
    <t>Colley, Sarah K.; Neal, Andrew</t>
  </si>
  <si>
    <t>Automated text analysis to examine qualitative differences in safety schema among upper managers, supervisors and workers</t>
  </si>
  <si>
    <t>SAFETY SCIENCE</t>
  </si>
  <si>
    <t>Occupational safety; Safety climate; Schema; Concept mapping; Qualitative analysis</t>
  </si>
  <si>
    <t>ORGANIZATIONAL-CLIMATE; WORKPLACE SAFETY; CULTURE; MAINTENANCE; PERCEPTIONS; PERFORMANCE; ATTITUDES; BEHAVIOR</t>
  </si>
  <si>
    <t>Differences in people's understanding of the concept of safety within an organization represent a barrier to communication, and may potentially undermine attempts to improve safety. The current study used a qualitative research design to examine whether safety schemas differed between individuals with and without leadership responsibilities. A representative sample of upper managers (N = 6), supervisors (N = 7) and workers (N = 12) were purposively sampled and interviewed. A machine learning algorithm was used to automatically extract concepts and themes from the interview transcripts. Results identified 10 emergent safety climate themes that formed the basis of the safety climate schema. Many of these themes aligned with dimensions of safety climate identified in the academic literature. Results also indicated that safety climate schema of upper managers, supervisors and workers differed. Upper managers were concerned more with themes relating to 'culture' and 'people'; supervisors were concerned more with themes relating to 'corporate values', 'management practices' and 'safety communication'; and workers were concerned more with themes relating to 'procedures' and 'safety training'. Results are discussed in relation to safety climate theory and in terms of how manager; can use this knowledge to improve safety communicate and align safety schemas. (C) 2012 Elsevier Ltd. All rights reserved.</t>
  </si>
  <si>
    <t>[Colley, Sarah K.; Neal, Andrew] Univ Queensland, Sch Psychol, St Lucia, Qld 4072, Australia</t>
  </si>
  <si>
    <t>University of Queensland</t>
  </si>
  <si>
    <t>Neal, A (corresponding author), Univ Queensland, Sch Psychol, St Lucia, Qld 4072, Australia.</t>
  </si>
  <si>
    <t>Andrew@psy.uq.edu.au</t>
  </si>
  <si>
    <t>Neal, Andrew/J-3152-2014</t>
  </si>
  <si>
    <t>Neal, Andrew/0000-0002-5344-9376</t>
  </si>
  <si>
    <t>0925-7535</t>
  </si>
  <si>
    <t>1879-1042</t>
  </si>
  <si>
    <t>SAFETY SCI</t>
  </si>
  <si>
    <t>Saf. Sci.</t>
  </si>
  <si>
    <t>10.1016/j.ssci.2012.04.006</t>
  </si>
  <si>
    <t>Engineering, Industrial; Operations Research &amp; Management Science</t>
  </si>
  <si>
    <t>983TQ</t>
  </si>
  <si>
    <t>WOS:000307142000007</t>
  </si>
  <si>
    <t>Mikolov, T; Karafiat, M; Burget, L; Cernocky, J; Khudanpur, S</t>
  </si>
  <si>
    <t>INST SPEECH COMMUN ASSOC</t>
  </si>
  <si>
    <t>Mikolov, Tomas; Karafiat, Martin; Burget, Lukas; Cernocky, Jan Honza; Khudanpur, Sanjeev</t>
  </si>
  <si>
    <t>Recurrent neural network based language model</t>
  </si>
  <si>
    <t>11TH ANNUAL CONFERENCE OF THE INTERNATIONAL SPEECH COMMUNICATION ASSOCIATION 2010 (INTERSPEECH 2010), VOLS 1-2</t>
  </si>
  <si>
    <t>11th Annual Conference of the International-Speech-Communication-Association 2010</t>
  </si>
  <si>
    <t>SEP 26-30, 2010</t>
  </si>
  <si>
    <t>Makuhari, JAPAN</t>
  </si>
  <si>
    <t>Japan World Exposit, Commemorat Org,Japan Soc Promot Sci,Telecommunicat Advancement Fdn,KDDI Fdn,Murata Sci Fdn,Adv Telecommunicat Technol Res Fdn, Support Ctr,Chiba Convent Bur &amp; Int Ctr,Renesas Elect Corp,Google,Microsoft Corp,Nuance Commun Inc,Appen Pty Ltd,IBM Res,Sony Corp,Hitachi Ltd,Yahoo Japan Corp,Asahi Kasei Corp,KDDI R &amp; D Lab Inc,Yamaha Corp,Toshiba Corp,Fujitsu Ltd,Mitsubishi Elect Corp,RION Co Ltd,NEC Corp</t>
  </si>
  <si>
    <t>language modeling; recurrent neural networks; speech recognition</t>
  </si>
  <si>
    <t>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t>
  </si>
  <si>
    <t>[Mikolov, Tomas; Karafiat, Martin; Burget, Lukas; Cernocky, Jan Honza] Brno Univ Technol, Speech FIT, Brno, Czech Republic</t>
  </si>
  <si>
    <t>Brno University of Technology</t>
  </si>
  <si>
    <t>Mikolov, T (corresponding author), Brno Univ Technol, Speech FIT, Brno, Czech Republic.</t>
  </si>
  <si>
    <t>imikolov@fit.vutbr.cz; karafiat@fit.vutbr.cz; burget@fit.vutbr.cz; cernocky@fit.vutbr.cz; khudanpur@jhu.edu</t>
  </si>
  <si>
    <t>Mikolov, Tomas/AAM-1274-2020; Cernocky, Jan/M-7494-2019</t>
  </si>
  <si>
    <t>Cernocky, Jan/0000-0002-8800-0210; Karafiat, Martin/0000-0001-6474-8366; Burget, Lukas/0000-0002-4951-5908</t>
  </si>
  <si>
    <t>ISCA-INST SPEECH COMMUNICATION ASSOC</t>
  </si>
  <si>
    <t>978-1-61782-123-3</t>
  </si>
  <si>
    <t>BWO17</t>
  </si>
  <si>
    <t>WOS:000294382400258</t>
  </si>
  <si>
    <t>Gorin, JS</t>
  </si>
  <si>
    <t>Gorin, Joanna S.</t>
  </si>
  <si>
    <t>Using automated text analysis tools to develop verbal ability tests</t>
  </si>
  <si>
    <t>INTERNATIONAL JOURNAL OF PSYCHOLOGY</t>
  </si>
  <si>
    <t>[Gorin, Joanna S.] Arizona State Univ, Coll Educ, Tempe, AZ 85287 USA</t>
  </si>
  <si>
    <t>Arizona State University; Arizona State University-Tempe</t>
  </si>
  <si>
    <t>PSYCHOLOGY PRESS</t>
  </si>
  <si>
    <t>HOVE</t>
  </si>
  <si>
    <t>27 CHURCH RD, HOVE BN3 2FA, EAST SUSSEX, ENGLAND</t>
  </si>
  <si>
    <t>0020-7594</t>
  </si>
  <si>
    <t>INT J PSYCHOL</t>
  </si>
  <si>
    <t>Int. J. Psychol.</t>
  </si>
  <si>
    <t>349EO</t>
  </si>
  <si>
    <t>WOS:000259264304687</t>
  </si>
  <si>
    <t>Olsson, B; Gawronska, B; Erlendsson, B; Lindlof, A; Dura, E</t>
  </si>
  <si>
    <t>Kolchanov, N; Hofestadt, R</t>
  </si>
  <si>
    <t>Olsson, B.; Gawronska, B.; Erlendsson, B.; Lindlof, A.; Dura, E.</t>
  </si>
  <si>
    <t>Automated text analysis of biomedical abstracts applied to the extraction of signaling pathways involved in plant cold-adaptation</t>
  </si>
  <si>
    <t>PROCEEDINGS OF THE FIFTH INTERNATIONAL CONFERENCE ON BIOINFORMATICS OF GENOME REGULATION AND STRUCTURE, VOL 3</t>
  </si>
  <si>
    <t>5th International Conference on Bioinformatics of Genome Regulation and Structure</t>
  </si>
  <si>
    <t>JUL 16-22, 2006</t>
  </si>
  <si>
    <t>Novosibirsk, RUSSIA</t>
  </si>
  <si>
    <t>Inst Cytol &amp; Genet, Lab Theoret Genet,Inst Cytol &amp; Genet,Siberian Branch Russian Acad Sci,Vavilov Soc Genet &amp; Breeders,Russian Acad Sci, Sci Council Bioinformat, Siberian Branch,Russian Acad Sci, Siberian Branch,Novosibirsk State Univ, Dept Natl Sci, Chair Informat Biol</t>
  </si>
  <si>
    <t>text analysis; information extraction; pathways; computational linguistics</t>
  </si>
  <si>
    <t>Motivation: Automated text analysis is an important tool for facilitating the extraction of knowledge from biomedical abstracts, thereby enabling researchers to build pathway models that integrate and summarize information from a large number of sources. Advanced methods of in-depth analysis of texts using grammar-based approaches developed within the field of computational linguistics must be adapted to the special requirements and challenges posed by biomedical texts, so that these methods can be made available to the bioinformatics and computational biology communities. Results: Our system for automated text analysis and extraction of pathway information is here applied to a set of PubMed abstracts concerning the CBF signaling pathway, which is a key pathway involved in the cold-adaptation response. of plants subjected to cold non-freezing temperatures. The system successfully and accurately re-discovers the main features of this pathway, while also pointing to interesting and plausible new hypotheses. The evaluation also reveals a number of issues which will be important targets in the continued development of the system, e.g. the need for an extended lexicon of taxonomic terms and an improved procedure for recognition of sentence boundaries.</t>
  </si>
  <si>
    <t>[Olsson, B.; Gawronska, B.; Erlendsson, B.; Lindlof, A.; Dura, E.] Univ Skovde, Sch Humanities &amp; Informat, Skovde, Sweden</t>
  </si>
  <si>
    <t>University of Skovde</t>
  </si>
  <si>
    <t>Olsson, B (corresponding author), Univ Skovde, Sch Humanities &amp; Informat, Skovde, Sweden.</t>
  </si>
  <si>
    <t>bjorn.olsson@his.se</t>
  </si>
  <si>
    <t>RUSSIAN ACAD SCI SIBERIAN BRANCH</t>
  </si>
  <si>
    <t>NOVOSIBIRSK</t>
  </si>
  <si>
    <t>NOVOSKIBRISK 90, MORSKOI, PROSP 2, 630090 NOVOSIBIRSK, RUSSIA</t>
  </si>
  <si>
    <t>978-5-7692-0848-5</t>
  </si>
  <si>
    <t>Biochemical Research Methods; Biochemistry &amp; Molecular Biology; Computer Science, Interdisciplinary Applications</t>
  </si>
  <si>
    <t>Biochemistry &amp; Molecular Biology; Computer Science</t>
  </si>
  <si>
    <t>BFQ58</t>
  </si>
  <si>
    <t>WOS:000243859500067</t>
  </si>
  <si>
    <t>Lafon, P</t>
  </si>
  <si>
    <t>Fattori, M</t>
  </si>
  <si>
    <t>Automated text analysis</t>
  </si>
  <si>
    <t>VOCABULARY OF REPUBLIQUES DES LETTRES: PHILOSOPHICAL TERMINOLOGY AND HISTORY OF PHILOSOPHY - METHODOLOGICAL PROBLEMS</t>
  </si>
  <si>
    <t>LESSICO INTELLETTUALE EUROPEO</t>
  </si>
  <si>
    <t>Italian</t>
  </si>
  <si>
    <t>International Convention on Vocabulary of Republiques des Lettres, in Memory of Paul Dibon</t>
  </si>
  <si>
    <t>MAY 17-18, 1996</t>
  </si>
  <si>
    <t>NAPLES, ITALY</t>
  </si>
  <si>
    <t>LEO S OLSCHKI</t>
  </si>
  <si>
    <t>FLORENCE</t>
  </si>
  <si>
    <t>CASELLA POSTALE 66, 50100 FLORENCE, ITALY</t>
  </si>
  <si>
    <t>88-222-4527-X</t>
  </si>
  <si>
    <t>LESS INTELL</t>
  </si>
  <si>
    <t>Philosophy</t>
  </si>
  <si>
    <t>BK41W</t>
  </si>
  <si>
    <t>WOS:000072089700011</t>
  </si>
  <si>
    <t>DYKSTRA, M</t>
  </si>
  <si>
    <t>FUGMANN, R</t>
  </si>
  <si>
    <t>HANDLING THE STUFF ITSELF - TOWARD AUTOMATED TEXT ANALYSIS AND RETRIEVAL USING A DATABASE OF CONTROLLED ABSTRACTS</t>
  </si>
  <si>
    <t>TOOLS FOR KNOWLEDGE ORGANIZATION AND THE HUMAN INTERFACE, VOL 1</t>
  </si>
  <si>
    <t>ADVANCES IN KNOWLEDGE ORGANIZATION</t>
  </si>
  <si>
    <t>1ST INTERNATIONAL CONF OF THE INTERNATIONAL SOC FOR KNOWLEDGE ORGANIZATION</t>
  </si>
  <si>
    <t>AUG 14-17, 1990</t>
  </si>
  <si>
    <t>DARMSTADT, FED REP GER</t>
  </si>
  <si>
    <t>INT SOC KNOWLEDGE ORG,GERMAN DOCUMENTAT SOC, COMM CLASSIFICAT &amp; THESAURUS RES,FEDERAT INT INFORMAT &amp; DOCUMENTAT, COMM CLASSIFICAT RES,DEUT FORSCHUNGSGEMEINSCH,HESS MINIST WISSENSCH &amp; KUNST,GESELL MATH &amp; DATENARBEITUNG,DEUT STIFTUNG INT ENTWICKLUNG</t>
  </si>
  <si>
    <t>INDEKS-VERLAG</t>
  </si>
  <si>
    <t>FRANKFURT</t>
  </si>
  <si>
    <t>3-88672-020-9</t>
  </si>
  <si>
    <t>ADV KNOW OR</t>
  </si>
  <si>
    <t>BR70Y</t>
  </si>
  <si>
    <t>WOS:A1990BR70Y00016</t>
  </si>
  <si>
    <t>Hartman_2023</t>
  </si>
  <si>
    <t>Pehlivan, Ekin; Sarican, Funda; Berthon, Pierre</t>
  </si>
  <si>
    <t>Peng, Ling; Cui, Geng; Bao, Ziru; Liu, Shuman</t>
  </si>
  <si>
    <t>Berger, Jonah; Packard, Grant; Boghrati, Reihane; Hsu, Ming; Humphreys, Ashlee; Luangrath, Andrea; Moore, Sarah; Nave, Gideon; Olivola, Christopher; Rocklage, Matthew</t>
  </si>
  <si>
    <t>Shankar, Venkatesh; Parsana, Sohil</t>
  </si>
  <si>
    <t>Decker, Reinhold; Trusov, Michael</t>
  </si>
  <si>
    <t>Onishi, Hiroshi; Manchanda, Puneet</t>
  </si>
  <si>
    <t>Kauffmann, Erick; Peral, Jesus; Gil, David; Ferrandez, Antonio; Sellers, Ricardo; Mora, Higinio</t>
  </si>
  <si>
    <t>Srivastava, Vartika; Kalro, Arti D.</t>
  </si>
  <si>
    <t>Mitra, Satanik; Jenamani, Mamata</t>
  </si>
  <si>
    <t>Huang, Guanxiong; Liang, Hai</t>
  </si>
  <si>
    <t>Moon, Sangkil; Song, Reo</t>
  </si>
  <si>
    <t>Mathaisel, Dennis F. X.; Comm, Clare L.</t>
  </si>
  <si>
    <t>Wu, Linwan; Dodoo, Naa Amponsah; Wen, Taylor Jing; Ke, Li</t>
  </si>
  <si>
    <t>Nave, Marta; Rita, Paulo; Guerreiro, Joao</t>
  </si>
  <si>
    <t>Chang, Hannah H.; Mukherjee, Anirban; Chattopadhyay, Amitava</t>
  </si>
  <si>
    <t>Situmeang, Frederik; de Boer, Nelleke; Zhan, Austin</t>
  </si>
  <si>
    <t>Fang, Xing; Wang, Tianfu</t>
  </si>
  <si>
    <t>Natural Language Processing in Marketing</t>
  </si>
  <si>
    <t>Mining messages: Exploring consumer response to consumer- vs. firm-generated ads</t>
  </si>
  <si>
    <t>Internet forums as influential sources of consumer information</t>
  </si>
  <si>
    <t>Exploring customer online reviews for new product development: The case of identifying reinforcers in the cosmetic industry</t>
  </si>
  <si>
    <t>Does Deceptive Marketing Pay? The Evolution of Consumer Sentiment Surrounding a Pseudo-Product-Harm Crisis</t>
  </si>
  <si>
    <t>Speaking the same language: the power of words in crowdfunding success and failure</t>
  </si>
  <si>
    <t>Wisdom from words: marketing insights from text</t>
  </si>
  <si>
    <t>Does Twitter matter? The impact of microblogging word of mouth on consumers’ adoption of new movies</t>
  </si>
  <si>
    <t>An overview and empirical comparison of natural language processing (NLP) models and an introduction to and empirical application of autoencoder models in marketing</t>
  </si>
  <si>
    <t>Estimating aggregate consumer preferences from online product reviews</t>
  </si>
  <si>
    <t>Marketing activity, blogging and sales</t>
  </si>
  <si>
    <t>An empirical comparison of machine learning methods for text-based sentiment analysis of online consumer reviews</t>
  </si>
  <si>
    <t>Big Data Analysis of Volatility Spillovers of Brands across Social Media and Stock Markets</t>
  </si>
  <si>
    <t>A framework for big data analytics in commercial social networks: A case study on sentiment analysis and fake review detection for marketing decision-making</t>
  </si>
  <si>
    <t>Enhancing the Helpfulness of Online Consumer Reviews: The Role of Latent (Content) Factors</t>
  </si>
  <si>
    <t>Examining an asymmetric effect between online customer reviews emphasis and overall satisfaction determinants</t>
  </si>
  <si>
    <t>Examining the impact of luxury brand's social media marketing on customer engagement: Using big data analytics and natural language processing</t>
  </si>
  <si>
    <t>OBIM: A computational model to estimate brand image from online consumer review</t>
  </si>
  <si>
    <t>Customer satisfaction and natural language processing</t>
  </si>
  <si>
    <t>Uncovering the effects of textual features on trustworthiness of online consumer reviews: A computational-experimental approach</t>
  </si>
  <si>
    <t>Are longer reviews always more helpful? Disentangling the interplay between review length and line of argumentation</t>
  </si>
  <si>
    <t>Perceived usefulness of online customer reviews: A review mining approach using machine learning &amp; exploratory data analysis</t>
  </si>
  <si>
    <t>What consumers think about product self-assembly: Insights from big data</t>
  </si>
  <si>
    <t>How safety affects destination image projected through online travel reviews</t>
  </si>
  <si>
    <t>The Roles of Cultural Elements in International Retailing of Cultural Products: An Application to the Motion Picture Industry</t>
  </si>
  <si>
    <t>Unfolding the characteristics of incentivized online reviews</t>
  </si>
  <si>
    <t>Political marketing with data analytics</t>
  </si>
  <si>
    <t>Understanding Twitter conversations about artificial intelligence in advertising based on natural language processing</t>
  </si>
  <si>
    <t>Structural topic modelling segmentation: a segmentation method combining latent content and customer context</t>
  </si>
  <si>
    <t>Exploring values affecting e-Learning adoption from the user-generated-content: A consumption-value-theory perspective</t>
  </si>
  <si>
    <t>How Brand Authenticity and Consumer Brand Engagement Can Be Expressed in Reviews: A Text Mining Approach</t>
  </si>
  <si>
    <t>Identifying salient attributes of peer-to-peer accommodation experience</t>
  </si>
  <si>
    <t>Understanding Satisfied and Dissatisfied Hotel Customers: Text Mining of Online Hotel Reviews</t>
  </si>
  <si>
    <t>Sentiment Classification of Consumer-Generated Online Reviews Using Topic Modeling</t>
  </si>
  <si>
    <t>A decision support system framework to track consumer sentiments in social media</t>
  </si>
  <si>
    <t>A fine-grained sentiment analysis of online guest reviews of economy hotels in China</t>
  </si>
  <si>
    <t>What Happens in Vegas Stays on TripAdvisor? A Theory and Technique to Understand Narrativity in Consumer Reviews</t>
  </si>
  <si>
    <t>New approaches to psychographic consumer segmentation: Exploring fine art collectors using artificial intelligence, automated text analysis and correspondence analysis</t>
  </si>
  <si>
    <t>Assessment of service quality using text mining - evidence from private sector banks in India</t>
  </si>
  <si>
    <t>Mining Arabic Twitter conversations on health care: a new approach to analysing Arabic language on social media</t>
  </si>
  <si>
    <t>Text mining analysis roadmap (TMAR) for service research</t>
  </si>
  <si>
    <t>Red Opal: product-feature scoring from reviews</t>
  </si>
  <si>
    <t>Attribute Embedding: Learning Hierarchical Representations of Product Attributes from Consumer Reviews</t>
  </si>
  <si>
    <t>More Voices Persuade: The Attentional Benefits of Voice Numerosity</t>
  </si>
  <si>
    <t>The Language of Brands in Social Media: Using Topic Modeling on Social Media Conversations to Drive Brand Strategy</t>
  </si>
  <si>
    <t>Behind the ratings: Text mining of restaurant customers' online reviews</t>
  </si>
  <si>
    <t>Looking beyond the stars: A description of text mining technique to extract latent dimensions from online product reviews</t>
  </si>
  <si>
    <t>Using Natural Language Processing to Identify Effective Influencers</t>
  </si>
  <si>
    <t>Using Online Conversations to Study Word-of-Mouth Communication</t>
  </si>
  <si>
    <t>The Squeaky Wheel Gets the Grease—An Empirical Analysis of Customer Voice and Firm Intervention on Twitter</t>
  </si>
  <si>
    <t>Mining Brand Perceptions from Twitter Social Networks</t>
  </si>
  <si>
    <t>Improving Text Analysis Using Sentence Conjunctions and Punctuation</t>
  </si>
  <si>
    <t>Modeling Dynamic User Interests: A Neural Matrix Factorization Approach</t>
  </si>
  <si>
    <t>From Story Line to Box Office: A New Approach for Green-Lighting Movie Scripts</t>
  </si>
  <si>
    <t>Yahoo! for Amazon: Sentiment Extraction from Small Talk on the Web</t>
  </si>
  <si>
    <t>More than Words: The Influence of Affective Content and Linguistic Style Matches in Online Reviews on Conversion Rates</t>
  </si>
  <si>
    <t>Word of Mouth for Movies: Its Dynamics and Impact on Box Office Revenue</t>
  </si>
  <si>
    <t>The Effect of Word of Mouth on Sales: Online Book Reviews</t>
  </si>
  <si>
    <t>Listening in on Social Media: A Joint Model of Sentiment and Venue Format Choice</t>
  </si>
  <si>
    <t>Journal of Marketing Research</t>
  </si>
  <si>
    <t>Artificial Intelligence in Marketing</t>
  </si>
  <si>
    <t>Journal of Consumer Behaviour</t>
  </si>
  <si>
    <t>Journal of Interactive Marketing</t>
  </si>
  <si>
    <t>Managerial &amp; Decision Economics</t>
  </si>
  <si>
    <t>Journal of Business Ethics</t>
  </si>
  <si>
    <t>Marketing Letters</t>
  </si>
  <si>
    <t>Journal of the Academy of Marketing Science</t>
  </si>
  <si>
    <t>Decision Support Systems</t>
  </si>
  <si>
    <t>International Journal of Research in Marketing</t>
  </si>
  <si>
    <t>Industrial Marketing Management</t>
  </si>
  <si>
    <t>Journal of Business Research</t>
  </si>
  <si>
    <t>Journal of Destination Marketing &amp; Management</t>
  </si>
  <si>
    <t>Journal of Retailing</t>
  </si>
  <si>
    <t>Journal of Retailing and Consumer Services</t>
  </si>
  <si>
    <t>Journal of Marketing Analytics</t>
  </si>
  <si>
    <t>International Journal of Advertising</t>
  </si>
  <si>
    <t>Journal of Marketing Management</t>
  </si>
  <si>
    <t>Journal of Strategic Marketing</t>
  </si>
  <si>
    <t>Journal of Promotion Management</t>
  </si>
  <si>
    <t>Journal of Travel &amp; Tourism Marketing</t>
  </si>
  <si>
    <t>Journal of Hospitality Marketing &amp; Management</t>
  </si>
  <si>
    <t>Journal of Consumer Research</t>
  </si>
  <si>
    <t>European Journal of Marketing</t>
  </si>
  <si>
    <t>International Journal of Bank Marketing</t>
  </si>
  <si>
    <t>Journal of Islamic Marketing</t>
  </si>
  <si>
    <t>Journal of Services Marketing</t>
  </si>
  <si>
    <t>Proceedings of the 8th ACM conference on Electronic commerce</t>
  </si>
  <si>
    <t>Journal of Marketing</t>
  </si>
  <si>
    <t>International Journal of Market Research</t>
  </si>
  <si>
    <t>Marketing Science</t>
  </si>
  <si>
    <t>Management Science</t>
  </si>
  <si>
    <t>In this research, the authors study the process by which social media posts are created and shared during live political debates. Using data from over 9.5 million tweets posted during and shortly after four key debates leading up to the 2016 U.S. presidential election, the authors test a series of hypotheses about how tweeting evolves over time during such events. They find that (1) as the debates progressed, the content of the "Twittersphere" became increasingly decoupled from the live event, and (2) the drivers of the success of tweets during the debates differed from the drivers of success observed after the debates. During the debates, users acted akin to narrators, posting shorter tweets that commented on unfolding events, with linguistic emotionality playing a limited role in sharing. However, when the debates were over, users acted more like interpreters, with successful posts being more elaborate and visually and emotionally rich accounts of the event. Evidence for the generalizability of the findings is provided by an analysis of Barack Obama's last State of the Union Address, where similar dynamics are observed.</t>
  </si>
  <si>
    <t>The increasing importance and proliferation of text data provide a unique opportunity and novel lens to study human communication across a myriad of business and marketing applications. For example, consumers compare and review products online, individuals interact with their voice assistants to search, shop, and express their needs, investors seek to extract signals from firms' press releases to improve their investment decisions, and firms analyze sales call transcripts to increase customer satisfaction and conversions. However, extracting meaningful information from unstructured text data is a nontrivial task. In this chapter, we review established natural language processing (NLP) methods for traditional tasks (e.g., LDA for topic modeling and lexicons for sentiment analysis and writing style extraction) and provide an outlook into the future of NLP in marketing, covering recent embedding-based approaches, pretrained language models, and transfer learning for novel tasks such as automated text generation and multi-modal representation learning. These emerging approaches allow the field to improve its ability to perform certain tasks that we have been using for more than a decade (e.g., text classification). But more importantly, they unlock entirely new types of tasks that bring about novel research opportunities (e.g., text summarization, and generative question answering). We conclude with a roadmap and research agenda for promising NLP applications in marketing and provide supplementary code examples to help interested scholars to explore opportunities related to NLP in marketing.</t>
  </si>
  <si>
    <t>Social media provide consumers with a platform for interactivity, and interactivity leads to consumer empowerment by providing the consumer with a platform to make their voice heard. This paper contributes to the marketing literature exploring the voice of the consumer in consumer-generated advertisements (CGAs). The objective of this research is to find ways to measure consumer response to CGAs. We measure whether they differ from firm-generated ads in the responses they elicit and also observe whether they generate different responses by ad type, or if some categories have similar responses. We review CGAs for Apple's MacBook Air lightweight laptop and run a text mining application to understand the common themes and conduct text analysis on the responses to both CGAs and firm-generated ads to answer the question "Is the source of the advertisement important?" Text analytics also enable us to measure consumers' attitude toward products, companies, and ads. We then work toward understanding why and under what circumstances CGAs are effective and how companies may handle or foster different types of CGAs. Copyright (C) 2011 John Wiley &amp; Sons, Ltd.</t>
  </si>
  <si>
    <t>We report the results of an experiment in which consumers were instructed to gather online information about one of five specific product topics by accessing either online discussions (i.e., Internet forums or bulletin boards) or marketer-generated online information (i.e., corporate webpages). At the end of a 12-week period, the consumers who gathered information from online discussions reported greater interest in the product topic than did those consumers who acquired information from the marketer-generated sources. We discuss the study's implications for better understanding word-of-mouth communication and for developing more successful consumer websites.</t>
  </si>
  <si>
    <t>This study analyzes online customer reviews in order to investigate customers' preferences regarding cosmetic products. Based on the marketing firm theory, this research explores the possibility of enhancing the bilateral contingent relationships between the customer and the marketing firm within the cosmetics domain. Hence, this study applies market‐search concepts by extracting customer reviews and employing text analytics to identify reinforcers and factors in cosmetic products, which customers are expecting, and their sentiments towards them. Our results suggest that some reinforcers are shared among all customers, but some vary among the different customer segments based on their age and skin tone.</t>
  </si>
  <si>
    <t>The slandering of a firm's products by competing firms poses significant threats to the victim firm, with the resulting damage often being as harmful as that from product-harm crises. In contrast to a true product-harm crisis, however, this disparagement is based on a false claim or fake news; thus, we call it a pseudo-product-harm crisis. Using a pseudo-product-harm crisis event that involved two competing firms, this research examines how consumer sentiments about the two firms evolved in response to the crisis. Our analyses show that while both firms suffered, the damage to the offending firm (which spread fake news to cause the crisis) was more detrimental, in terms of advertising effectiveness and negative news publicity, than that to the victim firm (which suffered from the false claim). Our study indicates that, even apart from ethical concerns, the false claim about the victim firm was not an effective business strategy to increase the offending firm's performance.</t>
  </si>
  <si>
    <t>As crowdfunding has emerged as a popular source of funding for new ventures, budding entrepreneurs often struggle to deliver a convincing pitch to attract backers. We adopt an n-gram language model to analyze narratives of over 21,000 film projects from Kickstarter and find that the choice of words is critical to crowdfunding success. Using penalized logistic regression, we identify the relative power of phrases to predict funding outcome, resulting in a dramatic reduction in error rate. Consistent with the language expectancy theory, the linguistic analyses show that successful projects usually include words that reflect the credibility of project creators and meaningful social interactions, whereas failed projects exude negativism or uncertainty. While good word choices vary among movie genres, words of lower cognitive complexity dampen the chances of funding. These findings have broad implications for text analysis and natural language generation for persuasive marketing communications.</t>
  </si>
  <si>
    <t>Language is an integral part of marketing. Consumers share word of mouth, salespeople pitch services, and advertisements try to persuade. Further, small differences in wording can have a big impact. But while it is clear that language is both frequent and important, how can we extract insight from this new form of data? This paper provides an introduction to the main approaches to automated textual analysis and how researchers can use them to extract marketing insight. We provide a brief summary of dictionaries, topic modeling, and embeddings, some examples of how each approach can be used, and some advantages and limitations inherent to each method. Further, we outline how these approaches can be used both in empirical analysis of field data as well as experiments. Finally, an appendix provides links to relevant tools and readings to help interested readers learn more. By introducing more researchers to these valuable and accessible tools, we hope to encourage their adoption in a wide variety of areas of research.</t>
  </si>
  <si>
    <t>This research provides an empirical test of the “Twitter effect,” which postulates that microblogging word of mouth (MWOM) shared through Twitter and similar services affects early product adoption behaviors by immediately disseminating consumers’ post-purchase quality evaluations. This is a potentially crucial factor for the success of experiential media products and other products whose distribution strategy relies on a hyped release. Studying the four million MWOM messages sent via Twitter concerning 105 movies on their respective opening weekends, the authors find support for the Twitter effect and report evidence of a negativity bias. In a follow-up incident study of 600 Twitter users who decided not to see a movie based on negative MWOM, the authors shed additional light on the Twitter effect by investigating how consumers use MWOM information in their decision-making processes and describing MWOM’s defining characteristics. They use these insights to position MWOM in the word-of-mouth landscape, to identify future word-of-mouth research opportunities based on this conceptual positioning, and to develop managerial implications.</t>
  </si>
  <si>
    <t>With artificial intelligence permeating conversations and marketing interactions through digital technologies and media, machine learning models, in particular, natural language processing (NLP) models, have surged in popularity for analyzing unstructured data in marketing. Yet, we do not fully understand which NLP models are appropriate for which marketing applications and what insights can be best derived from them. We review different NLP models and their applications in marketing. We layout the advantages and disadvantages of these models and highlight the conditions under which different models are appropriate in the marketing context. We introduce the latest neural autoencoder NLP models, demonstrate these models to analyze new product announcements and news articles, and provide an empirical comparison of the different autoencoder models along with the statistical NLP models. We discuss the insights from the comparison and offer guidelines for researchers. We outline future extensions of NLP models in marketing.</t>
  </si>
  <si>
    <t>Online social blogs have gained popularity recently. They provide an effective channel for word-of-mouth (WoM) marketing to promote products or service. In WoM marketing, an opinion leader, who is normally more interconnected and has a higher social standing, can deliver product information, provide recommendations, give personal comments, and supplement professional knowledge that help companies to promote their products. Many theories have been put forward about social networks, but few address the issue of opinion leader identification. This study proposes a framework to identify opinion leaders using the information retrieved from blog content, authors, readers, and their relationships, which we call BARR for short. We first build ontology for a marketing product and then collect parameters from BARR to identify “hot topics” related to the product. These hot topics are then associated with information disseminators, or opinion leaders. Marketers can use BARR to track blogs written by opinion leaders and identify their opinions to form effective marketing strategies.</t>
  </si>
  <si>
    <t>Today, consumer reviews are available on the Internet for a large number of product categories. The pros and cons expressed in this way uncover individually perceived strengths and weaknesses of the respective products, whereas the usually assigned product ratings represent their overall valuation. The key question at this point is how to turn the available plentitude of individual consumer opinions into aggregate consumer preferences, which can be used, for example, in product development or improvement processes. To solve this problem, an econometric framework is presented that can be applied to the mentioned type of data after having prepared it using natural language processing techniques. The suggested methodology enables the estimation of parameters, which allow inferences on the relative effect of product attributes and brand names on the overall evaluation of the products. Specifically, we discuss options for taking opinion heterogeneity into account. Both the practicability and the benefits of the suggested approach are demonstrated using product review data from the mobile phone market. This paper demonstrates that the review-based results compare very favorably with consumer preferences obtained through conjoint analysis techniques.</t>
  </si>
  <si>
    <t>The recent growth of consumer-generated media (CGM), also known as "new" media, has changed the interaction between consumers and firms from being unidirectional to being bidirectional. However, CGM are almost always accompanied by traditional media (such as TV advertising). This research addresses the critical question of whether new and traditional media reinforce or damage one another's effectiveness. This question is important because traditional media, in which a manufacturer creates and delivers content to consumers, consume a firm's resources. In contrast to these paid media, new media (in which consumers create content and this content is exchanged between other consumers and potentially between manufacturers) are primarily available for free. This question becomes even more salient when new product launches are involved, as firms typically allocate approximately half of their marketing budgets to support new products. One of the most prevalent forms of new media is blogging. Therefore, we assemble a unique data set from Japan that contains market outcomes (sales) for new products, new media (blogs) and traditional media (TV advertising) in the movie category. We specify a simultaneous equation log-linear system for market outcomes and the volume of blogs. Our results suggest that new and traditional media act synergistically, that pre-launch TV advertising spurs blogging activity but becomes less effective during the post-launch period and that market outcomes have an effect on blogging quantity. We find detailed support for some of these results via a unique and novel text-mining analysis and replicate our findings for a second product category, cellular phone service. We also discuss the managerial implications of our findings. (C) 2012 Elsevier B.V. All rights reserved.</t>
  </si>
  <si>
    <t>Product reviews are becoming ubiquitous on the Web, representing a rich source of consumer information on a wide range of product categories (e.g., wines and hotels). Importantly, a product review reflects not only the perception and preference for a product, but also the acuity, bias, and writing style of the reviewer. This reviewer aspect has been overlooked in past studies that have drawn inferences about brands from online product reviews. Our framework combines ontology learning-based text mining and psychometric techniques to translate online product reviews into a product positioning map, while accounting for the idiosyncratic responses and writing styles of individual reviewers or a manageable number of reviewer groups (i.e., meta-reviewers). Our empirical illustrations using wine and hotel reviews demonstrate that a product review reveals information about the reviewer (for the wine example with a small number of expert reviewers) or the meta-reviewer (for the hotel example with an enormous number of reviewers reduced to a manageable number of meta-reviewers), as well as about the product under review. From a managerial perspective, product managers can use our framework focusing on meta-reviewers (e.g., traveler types and hotel reservation websites in our hotel example) as a way to obtain insights into their consumer segmentation strategy.</t>
  </si>
  <si>
    <t>Online social media drive the growth of unstructured text data. Many marketing applications require structuring this data at scales non-accessible to human coding, e.g., to detect communication shifts in sentiment or other researcher-defined content categories. Several methods have been proposed to automatically classify unstructured text. This paper compares the performance of ten such approaches (five lexicon-based, five machine learning algorithms) across 41 social media datasets covering major social media platforms, various sample sizes, and languages. So far, marketing research relies predominantly on support vector machines (SVM) and Linguistic Inquiry and Word Count (LIWC). Across all tasks we study, either random forest (RF) or naive Bayes (NB) performs best in terms of correctly uncovering human intuition. In particular, RF exhibits consistently high performance for three-class sentiment, NB for small samples sizes. SVM never outperform the remaining methods. All lexicon-based approaches, LIWC in particular, perform poorly compared with machine learning. In some applications, accuracies only slightly exceed chance. Since additional considerations of text classification choice are also in favor of NB and RF, our results suggest that marketing research can benefit from considering these alternatives.</t>
  </si>
  <si>
    <t>The amount of digital text-based consumer review data has increased dramatically and there exist many machine learning approaches for automated text-based sentiment analysis. Marketing researchers have employed various methods for analyzing text reviews but lack a comprehensive comparison of their performance to guide method selection in future applications. We focus on the fundamental relationship between a consumer's overall empirical evaluation, and the text-based explanation of their evaluation. We study the empirical tradeoff between predictive and diagnostic abilities, in applying various methods to estimate this fundamental relationship. We incorporate methods previously employed in the marketing literature, and methods that are so far less common in the marketing literature. For generalizability, we analyze 25,241 products in nine product categories, and 260,489 reviews across five review platforms. We find that neural network-based machine learning methods, in particular pre-trained versions, offer the most accurate predictions, while topic models such as Latent Dirichlet Allocation offer deeper diagnostics. However, neural network models are not suited for diagnostic purposes and topic models are ill equipped for making predictions. Consequently, future selection of methods to process text reviews is likely to be based on analysts' goals of prediction versus diagnostics. Published by Elsevier B.V.</t>
  </si>
  <si>
    <t>Volatility is an important metric of financial performance, indicating uncertainty or risk. So, predicting and managing volatility is of interest to both company managers and investors. This study investigates whether volatility in user-generated content (UGC) can spill over to volatility in stock returns and vice versa. Sources for user-generated content include tweets, blog posts, and Google searches. The authors test the presence of these spillover effects by a multivariate GARCH model. Further, the authors use multivariate regressions to reveal which type of company-related events increase volatility in user-generated content. Results for two studies in different markets show significant volatility spillovers between the growth rates of user-generated content and stock returns. Further, specific marketing events drive the volatility in user-generated content. In particular, new product launches significantly increase the volatility in the growth rates of user-generated content, which in turn can spill over to volatility in stock returns. Moreover, the spillover effects differ in sign depending on the valence of the user-generated content in Twitter. The authors discuss the managerial implications.</t>
  </si>
  <si>
    <t>User-generated content about brands is an important source of big data that can be transformed into valuable information. A huge number of items are reviewed and rated by consumers on a daily basis, and managers have a keen interest in real-time monitoring of this information to improve decision-making. The main challenge is to mine reliable textual consumer opinions, and automatically use them to rate the best products or brands. We propose a framework to automatically analyse these reviews, transforming negative and positive user opinions in a quantitative score. Sentiment analysis was employed to analyse online reviews on Amazon. The Fake Review Detection Framework-FRDF- detects and removes fake reviews using Natural Language Processing technology. The FRDF was tested on reviews of products from high-tech industries. Brands were rated according to consumer sentiment. The findings demonstrate that brand managers and consumers would find this tool useful, in combination with the 5-Star score, for more comprehensive decision-making. For instance, the FRDF ranks the best products by price alongside their respective sentiment value and the 5-Star score.</t>
  </si>
  <si>
    <t>Past empirical studies have analysed the influence of manifest online review content factors and the reviewer-related factors on online review helpfulness. However, the influence of latent content factors, which are implied from the text and that result in the differential helpfulness perceptions of review receivers, have been ignored. Hence, using the lens of the Elaboration Likelihood Model (ELM), we develop a comprehensive model to study the influence of content- and reviewer-related factors on review helpfulness. This study not only includes the manifest content-related and reviewer-related factors, but also the latent content factors consisting of argument quality (comprehensiveness, clarity, readability and relevance) and message valence. The study initially employs a manual content analysis to analyse the argument quality of 500 TripAdvisor reviews (Study 1). Subsequently, model testing techniques are used to study the holistic and relative influence of these different factors on review helpfulness. In the validation study (Study 2), Machine Learning and Natural Language Processing techniques are used to extract latent content information and test the above model with 50,000 reviews from Yelp.com. The results show that latent review content variables like argument quality and valence influence the helpfulness of the reviews better and beyond the previously studied, manifest review content- and reviewer-related factors. (C) 2019 Direct Marketing Educational Foundation, Inc. dba Marketing EDGE. All rights reserved.</t>
  </si>
  <si>
    <t>Prior research has focused on analyzing the content and intent of celebrity social media communications. By observing that the linguistic style of such celebrity communications drives consumer word of mouth, the main goal of the current research is to broaden this limited perspective. An automated text analysis of narrative/analytical, internally/externally focused, and negative/positive emotional styles in tweets by celebrity chefs, personal trainers, and fashion bloggers was conducted to this effect. The findings are threefold. First, across celebrity categories externally focused, narrative styles are more effective in terms of word of mouth. Second, emotional styles are not effective. Third, angry outbursts are an exception; they are effective drivers of word of mouth for personal trainers. As such, this research furthers scholarly and practitioner understanding of the state-the-art of celebrity social media communication: the effect of tweets' linguistic styles on consumer word of mouth.</t>
  </si>
  <si>
    <t>Do customer online reviews truly reflect the determinants of customer overall satisfaction with hotels? Using a text mining approach: latent semantic analysis and a text regression approach, this study compared the product and service attributes contributing to customer perception on editor-recommended and -nonrecommended hotels at various star levels. This study found that positive and negative attributes contributing to customer perception differ; even for the same attribute, its importance level for customer perception differs between different types of hotels. This study found an asymmetric effect of the focus of online reviews and determinants of customer satisfaction: not all positive/negative textual factors mined from online customer reviews significantly influence their overall satisfaction, and the emphasis level of a certain attribute in customer reviews differs from the relative importance level of the influence of the attribute on customer overall satisfaction. This shows the different psychological mechanisms of customers writing online reviews and their overall satisfaction generation.</t>
  </si>
  <si>
    <t>This research utilizes big data in investigating the impact of a luxury brand's social media marketing activities on customer engagement. In particular, applying the dual perspective of customer engagement, this research examines the influence of focusing on the entertainment, interaction, trendiness, and customization dimensions of a luxury brand's social media activities on customer engagement with brand-related social media content. Using big data retrieved from a 60-month period on Twitter (July 2012 to June 2017), this paper analyzes 3.78 million tweets from the top 15 luxury brands with the highest number of Twitter followers. The results indicate that focusing on the entertainment, interaction, and trendiness dimensions of a luxury brand's social media marketing efforts significantly increases customer engagement, while focusing on the customization dimension does not. The findings have important implications for the design, delivery, and management of social media marketing for luxury brands to engage customers with social media content.</t>
  </si>
  <si>
    <t>Brand image is comprehended in consumers' mind through favourability, strength, and uniqueness of brand associations. In this paper, a model is proposed to quantify Online Brand IMage (OBIM) from consumer reviews. We consider the product aspects as a brand association. Natural language processing techniques are used to extract those associations. Favourability, strength, and uniqueness of the extracted associations are computed using sentiment and co-word network analysis. Finally, the multiplicative sum of these values considers as the OBIM score. It can be used as a measure of consumer perception, which apprehends the relation between the association and their changes over time. The proposed model is demonstrated using a dataset of five mobile phones crawled from Amazon. Two applications of OBIM score, Association Based SWOT analysis and SentiConcept Mapper technique to discover hidden concepts, are proposed. It shows how these techniques can support the decision-making process of marketers.</t>
  </si>
  <si>
    <t>This study uses natural language processing in order to increase knowledge concerning customer satisfaction. A total of 12,000 customer returns were analyzed, 6,800 of which contained freely expressed qualitative feedback. Eight themes emerge from the analysis and bring to light the factors influencing satisfaction. It is also noted that satisfaction is not vertical or horizontal but can involve a more or less important combination of themes. This study also shows the link between the level of satisfaction and the number of themes addressed, thus challenging traditional approaches that do not seem to distinguish the discursive differences between satisfied and dissatisfied customers. Finally, this investigation lays the foundations for automatic and personalized processing of customer comments.</t>
  </si>
  <si>
    <t>Online consumer reviews are word-of-mouth exchanges on the Internet that can be harnessed for decision support. Combining computational and experimental methods, the current two-part research uncovered the effects of textual features on trustworthiness of consumer reviews on TripAdvisor. Taking a bottom-up approach, Study 1 employed text mining and human rating methods to explore the salient review topics that impact review trustworthiness. Study 2 took a top-down approach by examining the textual features that drive the effects of review topics identified in Study 1 and testing them across two product categories-hotel and restaurant-in an online experiment. The findings indicate that review trustworthiness has a moderating effect on review adoption in that highly trustworthy reviews are more likely to be adopted by consumers to aid in their judgement formation. This research also explicated the role of three textual features-namely, attribute salience, review valence, and content concreteness-in review trustworthiness.</t>
  </si>
  <si>
    <t>An overwhelming majority of previous works find longer product reviews to be more helpful than short reviews. In this paper, we build upon information overload theory and propose that longer reviews should not be assumed to be uniformly more helpful; instead, we argue that the effect depends on the complexity of the line of argumentation. To test this idea, we implement state-of-the-art machine learning methods that allow us to study the line of argumentation in reviews at the sentence-level. Our empirical analysis based on a dataset of Amazon customer reviews suggests that line of argumentation and review length are closely intertwined such that longer reviews with frequent changes between positive and negative arguments are perceived as less helpful. Our work has important implications for marketing professionals and retailer platforms that can utilize our results to optimize their customer feedback systems, enhance reviewer guidelines, and include more useful product reviews.</t>
  </si>
  <si>
    <t>Online customer reviews, considered as electronic word of mouth, have become very useful in the era of e-commerce as they facilitate future purchase decisions. The present study discusses the central and peripheral sources of influence, such as the content of the review, star rating, review length, and the total number of votes on the perceived usefulness of the review. It analyses reviews from Amazon.com on three products, namely, a videogame, digital music, and a grocery item. Using text mining, the study uncovers sentiment polarity, identifies sentiment patterns, and finally, analyses the perceived usefulness of reviews under the moderation effect. The study establishes that the impact of the central route is not significant for search goods. The study concludes that peripheral sources have a significant impact on the search products. Our study provides insights on how mar-keting strategies can be formulated by online retailers based on the product type.</t>
  </si>
  <si>
    <t>As e-commerce expands rapidly from small inexpensive products to major ones, more sellers design and deliver their products as unassembled, compact kits to make logistics more efficient and cost effective. While sensible from an operation's perspective, this practice inadvertently shifts often significant amounts of assembly work to consumers. Drawing on the literatures of product co-creation and consumer satisfaction, this study investigates various effects of this practice on buyers. Results, obtained from the analysis of consumers' online reviews, show that the ease of assembly is a significant determinant of satisfaction with and recommendation of products. Results also indicate that, as an experience product attribute that cannot be assessed pre-purchase, assembly work is a major source of consumer concern and discontent. On the other hand, findings show a positive rela-tionship between the volume (but not the complexity) of consumer assembly work and their sense of value for money from their purchase.</t>
  </si>
  <si>
    <t>Destination image is a key factor for attracting tourists and wealth to destinations. With the spread of Web 2.0 and traveller-generated content, destination management organisations do not control the information regarding destination image formation through its cognitive, affective and conative components. The aim of the study is to analyse, using natural language processing techniques, whether the terrorist attack of August 2017 and the Catalan sovereignty process, which took place during the last quarter of 2017 in Barcelona, harmed the online destination image perceived and transmitted by tourists, through language recognition, frequency analysis and term categorisation of more than 150,000 online travel reviews, written in English, Spanish, French, German or Italian, posted on a shared-lodging platform. The findings show that visitors did not fear for their personal safety despite the seriousness and immense international media coverage of both events. The opinion of tourists, shared through online reviews, can help companies to improve the supply of goods and services.</t>
  </si>
  <si>
    <t>We investigate factors influencing the international retailing of cultural products by concentrating on two cultural elements: (1) consumer-perceived cultural content embedded in the product and (2) the general cultural environment of the foreign market. To test cross-culture predictability in international retailing, we develop a novel text mining procedure to elicit the specific cultural content of the product using consumers’ online product reviews. In addition, to measure the general cultural environment of the market, we apply Hofstede's cultural distance measure. To explain foreign markets’ acceptance of culturally specific elements, we theorize that the relationship between inter-country cultural distance and product sales is U shaped because of both cultural discount and cultural premium. In our empirical analysis using American movies in international retailing, we find that the two specified types of cultural factors determine a movie's success, along with the movie's characteristics and the market's economic environment. From a managerial perspective, international retailers that understand the delicate implications of the match/mismatch of their general national culture and the imported product's specific cultural content can better predict the international success of imported cultural products.</t>
  </si>
  <si>
    <t>The rapid growth of social media in the last decades led e-commerce into a new era of value co-creation between the seller and the consumer. Since there is no contact with the product, people have to rely on the description of the seller, knowing that sometimes it may be biased and not entirely true. Therefore, review systems emerged to provide more trustworthy sources of information, since customer opinions may be less biased. However, the need to control the consumers' opinion increased once sellers realized the importance of reviews and their direct impact on sales. One of the methods often used was to offer customers a specific product in exchange for an honest review. Yet, these incentivized reviews bias results and skew the overall rating of the products. The current study uses a data mining approach to predict whether or not a new review published was incentivized based on several review features such as the overall rating, the helpfulness rate, and the review length, among others. Additionally, the model was enriched with sentiment score features of the reviews computed through the VADER algorithm. The results provide an in-depth understanding of the phenomenon by identifying the most relevant features which enable to differentiate an incentivized from a non-incentivized review, thus providing users and companies with a simple set of rules to identify reviews that are biased without any disclaimer. Such rules include the length of a review, its helpfulness rate, and the overall sentiment polarity score.</t>
  </si>
  <si>
    <t>Social media played a significant role in past Presidential elections, and it is very likely that this form of communication will continue to influence political campaigns. Can analytics uncover the linguistic "plot arcs" and resulting sentiment or emotion in political text? This paper examines how natural language processing (NLP) and data visualization tools and methods in analytics can play a key role in marketing political candidates. Using publicly available text messages, the authors employ NLP techniques to transform the text observations from the past campaigns of Hillary Clinton, Barack Obama, and Donald Trump into a linguistic "corpus" and story arc visualizations. The methodology includes the use of Syuzhet and Latent Dirichlet Allocation (LDA) models. The resulting data visualizations reveal the story arcs associated with the candidate's communications, and they provide a means to analyze the unbiased political sentiment or hidden emotion in the text. In an analysis of the results, the authors found distinctly different story arcs and vocabulary usage among the three Presidential candidates. The contribution to the literature is a methodology for extracting the story and the resulting sentiment from text messages for marketing campaigns. The authors suggest that the techniques used in this paper can assist future research on marketing other products or services that utilize computer-mediated communications.</t>
  </si>
  <si>
    <t>Artificial intelligence (AI) has been widely applied in the advertising industry and attracted increasing attention from advertising scholars. However, the general public's perceptions of AI in advertising have been relatively neglected within the current literature. In this study, we analyzed people's posts on Twitter about AI in advertising using natural language processing. Specifically, we conducted topic modeling and sentiment analysis in the Python environment to identify the most salient topics on this issue and the sentiment of these topics. We discovered that what people posted on Twitter about AI in advertising fell into eight different clusters, with the most positive topic being "AI-powered marketing tools" and the most negative topic being "AI's involvement in social media campaigns." We believe the findings of this study provide meaningful implications for academic research of AI advertising as well as the implementation of AI in advertising practice.</t>
  </si>
  <si>
    <t>This research introduces a method for segmenting customers using Structural Topic Modelling (STM), a text analysis tool capable of capturing topical content and topical prevalence differences across customers while incorporating metadata. This approach is particularly suitable for contexts in which textual data is either a critical component or is the only data available for segmentation. The ability to incorporate metadata by using STM provides better clustering solutions and supports richer segment profiles than can be produced with typical topic modelling approaches. We empirically illustrate the application of this method in two contexts: 1) a context in which related metadata is readily available; and 2) a context in which metadata is virtually non-existent. The second context exemplifies how ad-hoc generated metadata can increase the utility of the method for identifying distinct segments.</t>
  </si>
  <si>
    <t>The aim of this study is to utilise the user-generated content from social media platforms and merchandise websites to explore various values affecting behavioural intention in context of e-Learning services from the consumption-value-theory perspective. This study has utilised a novel mixed-method approach based on natural language processing (NLP) techniques for the both the qualitative and quantitative analysis. This study has used user-generated content of Coursera (an e-Learning service) consisting of online reviews from Coursera-100 k-dataset and tweets about Coursera. Some of the important themes generated from the thematic-based analysis of tweets are 'value addition', 'course content', 'topic cover', 'reliability of course', 'course quality', 'enjoyed course', 'recommend the course', 'value for money', 'facilitator skills', etc. Results of the empirical study reveal that offers and deals, emotional connect, facilitator quality, course reliability, platform innovativeness, and compatibility are important predictors of behavioural intention. This study concludes with the various limitations and future directions.</t>
  </si>
  <si>
    <t>The current study aims to explore brand authenticity (and the related constructs: the need for uniqueness and brand love) and consumer brand engagement in consumers’ sentiments toward restaurants on online reviews. This research uses a text mining technique, applying sentiment analysis to the reviews. The data is retrieved from Yelp.com, and uses a randomly selected sample of 3,877 reviews of restaurants, from seven cities in the USA. This paper proposes a specific aggregated dictionary for brand authenticity, consumer brand engagement and related constructs, based on previously validated scales which contribute to perform a more multi-faceted analysis. The findings contribute to the marketing research by unfolding a high level of consumer-brand engagement and brand authenticity in online reviews, revealing that positive sentimental attachment toward a focal object in reviews is an essential source of information.</t>
  </si>
  <si>
    <t>This study explores key content and themes from online reviews to explain major service attributes of peer-to-peer (P2P) accommodation sought by guests. The results from lexical analyses indicate that attributes frequently mentioned in guest reviews are associated with location (proximity to point of interest and characteristics of neighborhood), host (service and hospitality), and property (facilities and atmosphere). Reviews focusing on location and feeling welcome are consistently linked with higher rating scores, including accuracy, cleanliness, check-in, communication, value, and overall ratings. This confirms that P2P accommodation appeals to consumers who are driven by experiential and social motivations. Marketing implications are provided.</t>
  </si>
  <si>
    <t>This article aims to examine the underpinnings of satisfied and unsatisfied hotel customers. A text-mining approach was followed and online reviews by satisfied and dissatisfied customers were compared. Online reviews of 2,510 hotel guests were collected from TripAdvisor.com for Sarasota, Florida. The research findings revealed some common categories that are used in both positive and negative reviews, including place of business (e.g., hotel, restaurant, and club), room, furnishing, members, and sports. Study results further indicate that satisfied customers who are willing to recommend a hotel to others refer to intangible aspects of their hotel stay, such as staff members, more often than unsatisfied customers. On the other hand, dissatisfied customers mention more frequently the tangible aspects of the hotel stay, such as furnishing and finances. The study offers clear theoretical and managerial implications pertaining to understanding of satisfied and dissatisfied customers through the use of text mining and hotel ratings via review websites, social media, blogs, and other online platforms.</t>
  </si>
  <si>
    <t>The development of the Internet and mobile devices enabled the emergence of travel and hospitality review sites, leading to a large number of customer opinion posts. While such comments may influence future demand of the targeted hotels, they can also be used by hotel managers to improve customer experience. In this article, sentiment classification of an eco-hotel is assessed through a text mining approach using several different sources of customer reviews. The latent Dirichlet allocation modeling algorithm is applied to gather relevant topics that characterize a given hospitality issue by a sentiment. Several findings were unveiled including that hotel food generates ordinary positive sentiments, while hospitality generates both ordinary and strong positive feelings. Such results are valuable for hospitality management, validating the proposed approach.</t>
  </si>
  <si>
    <t>With the evolution of web 2.0 and social networks, customers and companies' online interaction is growing at a fast pace, containing valuable insights about consumers' expectations that should be monitored and explored in a day-to-day basis. However, such information is highly unstructured and difficult to analyze. There is an urgent need to set up transparent methods and processes to integrate such information in the tourism industry technological infrastructure, especially for small firms that are unable to pay for expensive services to monitor their online reputation. The current paper uses a text mining and sentimental analysis technique to structure online reviews and present them on a decision support system with two different dashboards to assist in decision-making. Such system may help managers develop new insights and strategies aligned with consumers' expectations in a much more flexible and sustainable pace.</t>
  </si>
  <si>
    <t>This study aims to investigate the experiences of Chinese economy hotel guests by applying deep learning fine-grained sentiment analysis on 363,723 Chinese-text online reviews. Findings reveal that location is the domain that most of the positive sentiments are associated, followed by facilities, service, price, image, and reservation experience. Prominent features with negative sentiments include sound insulation, air conditioning, beddings, windows, toilets, TV sets, WiFi signals, towels, elevators, hair dryers, slippers, toilet bowls, return cash, invoices. Positive and negative sentiments are compared. This research offers an alternative approach and a more comprehensive understanding of the experiences and sentiments of Chinese economy hotel guests. Theoretical contributions and practical implications regarding economy hotel management are discussed.</t>
  </si>
  <si>
    <t>This research sheds light on consumer motivations for participating in the sharing economy and examines downstream consequences of the uncovered motivations. We use text-mining techniques to extract Airbnb hosts' motivations from their responses to the question "why did you start hosting." We find that hosts are driven not only by the monetary motivation "to earn cash" but also by intrinsic motivations such as "to share beauty" and "to meet people." Using extensive transaction-level data, we find that hosts with intrinsic motivations post more property photos and write longer property descriptions, demonstrating greater engagement with the platform. Consequently, these hosts receive higher guest satisfaction ratings. Compared to hosts who want to earn cash, hosts motivated to meet people are more likely to keep hosting and to stay active on the platform, and hosts motivated to share beauty charge higher prices. As a result, these intrinsically motivated hosts have a higher customer lifetime value compared to those with a monetary motivation. We employ a multimethod approach including text mining, Bayesian latent attrition models, and lab experiments to derive these insights. Our research provides an easy-to-implement approach to uncovering consumer motivations in practice and highlights the consequential role of these motivations for firms.</t>
  </si>
  <si>
    <t>This article examines explanation type in online word of mouth (WOM), focusing on what individuals explain: their actions (“I chose this product because …”) or their reactions (“I love this product because …”). Results show that review writers explain their actions more than their reactions for utilitarian products, but they explain their reactions more than their actions for hedonic products. They do so to be helpful to review readers, who find explained actions more helpful for utilitarian products and explained reactions more helpful for hedonic products. Explained actions and reactions are differentially helpful across product type because they increase readers’ ability to predict their attitude toward the reviewed product: explained actions increase attitude predictability for utilitarian products, whereas explained reactions increase attitude predictability for hedonic products. These increases in attitude predictability and review helpfulness ultimately increase readers’ choice of the product in question. This article contributes to the explaining and the WOM literatures by focusing on what individuals explain, rather than on how they explain, by identifying product type as a novel moderator of what review writers explain (actions or reactions), and by examining when and why review readers prefer different types of explanations.</t>
  </si>
  <si>
    <t>Marketers and researchers alike typically regard products as differentiated by quality (modeled via vertical differentiation) or taste (modeled via horizontal differentiation). This research examines consumer beliefs about product differentiation. For a wide variety of product pairs, different consumers hold divergent beliefs about whether each pair is a matter of quality (such that one product is objectively better) or taste (such that one product is a better match with their own personal preferences). These beliefs have meaningful consequences. When consumers believe their chosen products are objectively better rather than better matches with their preferences: (1) they are willing to pay more for the chosen product over the alternative; (2) they self-reference less when explaining their choices; and (3) they are more likely to make transitive inferences from choices across other consumers. Observing others’ contradictory choices increases the likelihood of believing those products differ by taste rather than quality. Understanding consumer beliefs about product differentiation has implications for understanding consumer decision delegation and decisions that are made in group contexts and for strategic decisions including customer segmentation, product positioning, and pricing policies.</t>
  </si>
  <si>
    <t>Deciphering consumers’ sentiment expressions from big data (e.g., online reviews) has become a managerial priority to monitor product and service evaluations. However, sentiment analysis, the process of automatically distilling sentiment from text, provides little insight regarding the language granularities beyond the use of positive and negative words. Drawing on speech act theory, this study provides a fine-grained analysis of the implicit and explicit language used by consumers to express sentiment in text. An empirical text-mining study using more than 45,000 consumer reviews demonstrates the differential impacts of activation levels (e.g., tentative language), implicit sentiment expressions (e.g., commissive language), and discourse patterns (e.g., incoherence) on overall consumer sentiment (i.e., star ratings). In two follow-up studies, we demonstrate that these speech act features also influence the readers’ behavior and are generalizable to other social media contexts, such as Twitter and Facebook. We contribute to research on consumer sentiment analysis by offering a more nuanced understanding of consumer sentiments and their implications.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</si>
  <si>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</si>
  <si>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Purpose While the motivation for collecting art has received considerable attention in the literature, less is known about the characteristics of the typical art collector. This paper aims to explore these characteristics to develop a typology of art consumers using a mixed method approach over several studies. Design/methodology/approach This is achieved by analyzing qualitative data, gathered via semi-structured interviews of art collectors, and quantitatively by means of natural language processing analysis and automated text analysis and using correspondence analysis to analyze and present the results. Findings The study’s findings reveal four distinct clusters of art collectors based on their “Big Five” personality traits, as well as uncovering insights into how these types talk about their possessions. Research limitations/implications In addition to contributing to the arts marketing literature, the findings provide a more nuanced understanding of consumers that managers can use for market segmentation and target marketing decisions in other markets. The paper also offers a methodological contribution to the literature on correspondence analysis by demonstrating the “doubling” procedure to deal with percentile data. Practical implications In addition to contributing to the arts marketing literature, the findings provide a more nuanced understanding of art collectors that managers can use for market segmentation and target marketing decisions. The paper also offers a methodological contribution to the literature on correspondence analysis by demonstrating a non-traditional application of correspondence analysis using the “doubling” procedure. Buyer behavior in the fine art market is not exhaustively studied. By understanding the personality traits of consumers in the art market, sales forces can better provide assistance and product to consumers. Further, understanding the personalities of consumers is better for art retail spaces to better serve consumers. Originality/value This paper demonstrates a unique mixed methods approach to analyzing unstructured qualitative data. It shows how text data can be used to identify measurable market segments for which targeted strategies can be developed.</t>
  </si>
  <si>
    <t>Purpose - As the retail banking institutions are becoming more customer centric, their focus on service quality is increasing. Established service quality frameworks such as SERVQUAL and SERVPERF have been applied in the banking sector. While these models are widely accepted, they are expensive because of the need for replication across bank branches. The purpose of this paper is to propose a novel, user friendly and cost effective approach by amalgamating the traditional concept of service quality in banks (marketing base) and sentiment analysis literature (information systems base). Design/methodology/approach - In this study, the main objective is to analyze user reviews to better understand the correlation between RATER dimension sentiment scores as independent variables and user overall rating (customer satisfaction) grouping in "good" and "bad" as dependent variable through development of authors' own logistic regression model using lexicon-based sentiment analysis. The model has been developed for three largest private banks in India pertaining to three banking product categories of loans, savings and current accounts and credit cards. Findings - The results show that the responsiveness and tangibles dimensions significantly impact the user evaluation rating. Even though the three largest private banks in India are concentrating on the tangibles dimension, not all of them are sufficiently focused on the responsiveness dimension. Additionally, customers looking for loan products are more susceptible to negative perceptions on service quality. Originality/value - This study has highlighted two types of scores whereby user provided overall evaluation scores help provide validation to the sentiment scores. The developed model can be used to assess performance of a bank in comparison to its peers and to generate in depth insights on point of parity (POP) and point of difference (POD) fronts.</t>
  </si>
  <si>
    <t>Purpose This paper aims to equip professionals and researchers in the fields of advertising, branding, public relations, marketing communications, social media analytics and marketing with a simple, effective and dynamic means of evaluating consumer behavioural sentiments and engagement through Arabic language and script, in vivo. Design/methodology/approach Using quantitative and qualitative situational linguistic analyses of Classical Arabic, found in Quranic and religious texts scripts; Modern Standard Arabic, which is commonly used in formal Arabic channels; and dialectical Arabic, which varies hugely from one Arabic country to another: this study analyses rich marketing and consumer messages (tweets) - as a basis for developing an Arabic language social media methodological tool. Findings Despite the popularity of Arabic language communication on social media platforms across geographies, currently, comprehensive language processing toolkits for analysing Arabic social media conversations have limitations and require further development. Furthermore, due to its unique morphology, developing text understanding capabilities specific to the Arabic language poses challenges. Practical implications This study demonstrates the application and effectiveness of the proposed methodology on a random sample of Twitter data from Arabic-speaking regions. Furthermore, as Arabic is the language of Islam, the study is of particular importance to Islamic and Muslim geographies, markets and marketing. Social implications The findings suggest that the proposed methodology has a wider potential beyond the data set and health-care sector analysed, and therefore, can be applied to further markets, social media platforms and consumer segments. Originality/value To remedy these gaps, this study presents a new methodology and analytical approach to investigating Arabic language social media conversations, which brings together a multidisciplinary knowledge of technology, data science and marketing communications.</t>
  </si>
  <si>
    <t>Purpose The purpose of this paper is to offer a step-by-step text mining analysis roadmap (TMAR) for service researchers. The paper provides guidance on how to choose between alternative tools, using illustrative examples from a range of business contexts. Design/methodology/approach The authors provide a six-stage TMAR on how to use text mining methods in practice. At each stage, the authors provide a guiding question, articulate the aim, identify a range of methods and demonstrate how machine learning and linguistic techniques can be used in practice with illustrative examples drawn from business, from an array of data types, services and contexts. Findings At each of the six stages, this paper demonstrates useful insights that result from the text mining techniques to provide an in-depth understanding of the phenomenon and actionable insights for research and practice. Originality/value There is little research to guide scholars and practitioners on how to gain insights from the extensive "big data" that arises from the different data sources. In a first, this paper addresses this important gap highlighting the advantages of using text mining to gain useful insights for theory testing and practice in different service contexts.</t>
  </si>
  <si>
    <t>Online shoppers are generally highly task-driven: they have a certain goal in mind, and they are looking for a product with features that are consistent with that goal. Unfortunately, finding a product with specific features is extremely time-consuming using the search functionality provided by existing web sites.In this paper, we present a new search system called Red Opal that enables users to locate products rapidly based on features. Our fully automatic system examines prior customer reviews, identifies product features, and scores each product on each feature. Red Opal uses these scores to determine which products to show when a user specifies a desired product feature. We evaluate our system on four dimensions: precision of feature extraction, efficiency of feature extraction, precision of product scores, and estimated time savings to customers. On each dimension, Red Opal performs better than a comparison system.</t>
  </si>
  <si>
    <t>Online firestorms pose severe threats to online brand communities. Any negative electronic word of mouth (eWOM) has the potential to become an online firestorm, yet not every post does, so finding ways to detect and respond to negative eWOM constitutes a critical managerial priority. The authors develop a comprehensive framework that integrates different drivers of negative eWOM and the response approaches that firms use to engage in and disengage from online conversations with complaining customers. A text-mining study of negative eWOM demonstrates distinct impacts of high- and low-arousal emotions, structural tie strength, and linguistic style match (between sender and brand community) on firestorm potential. The firm’s response must be tailored to the intensity of arousal in the negative eWOM to limit the virality of potential online firestorms. The impact of initiated firestorms can be mitigated by distinct firm responses over time, and the effectiveness of different disengagement approaches also varies with their timing. For managers, these insights provide guidance on how to detect and reduce the virality of online firestorms.</t>
  </si>
  <si>
    <t>The authors test five theoretically derived hypotheses about what drives video ad sharing across multiple social media platforms. Two independent field studies test these hypotheses using 11 emotions and over 60 ad characteristics. The results are consistent with theory and robust across studies. Information-focused content has a significantly negative effect on sharing, except in risky contexts. Positive emotions of amusement, excitement, inspiration, and warmth positively affect sharing. Various drama elements such as surprise, plot, and characters, including babies, animals, and celebrities arouse emotions. Prominent (early vs. late, long vs. short duration, persistent vs. pulsing) placement of brand names hurts sharing. Emotional ads are shared more on general platforms (Facebook, Google+, Twitter) than on LinkedIn, and the reverse holds for informational ads. Sharing is also greatest when ad length is moderate (1.2 to 1.7 minutes). Contrary to these findings, ads use information more than emotions, celebrities more than babies or animals, prominent brand placement, little surprise, and very short or very long ads. A third study shows that the identified drivers predict sharing accurately in an entirely independent sample.</t>
  </si>
  <si>
    <t>Sales, product design, and engineering teams benefit immensely from better understanding customer perspectives. How do customers combine a product's technical specifications (i.e., engineered attributes) to form abstract product benefits (i.e., meta-attributes)? To address this question, the authors use machine learning and natural language processing to develop a methodological framework that extracts a hierarchy of product attributes based on contextual information of how attributes are expressed in consumer reviews. The attribute hierarchy reveals linkages between engineered attributes and meta-attributes within a product category, enabling flexible sentiment analysis that can identify how consumers receive meta-attributes, and which engineered attributes are main drivers. The framework can guide managers to monitor only portions of review content that are relevant to specific attributes of interest. Moreover, managers can compare products within and between brands, where different names and attribute combinations are often associated with similar benefits. The authors apply the framework to the tablet computer category to generate dashboards and perceptual maps and provide validations of the attribute hierarchy using both primary and secondary data. Resultant insights allow the exploration of substantive questions, such as how Apple improved successive generations of iPads and why Hewlett-Packard and Toshiba discontinued their tablet product lines.</t>
  </si>
  <si>
    <t>User-generated content has become ubiquitous and very influential in the marketplace. Increasingly, this content is generated on smartphones rather than personal computers (PCs). This article argues that because of its physically constrained nature, smartphone (vs. PC) use leads consumers to generate briefer content, which encourages them to focus on the overall gist of their experiences. This focus on gist, in turn, tends to manifest as reviews that emphasize the emotional aspects of an experience in lieu of more specific details. Across five studies—two field studies and three controlled experiments—the authors use natural language processing tools and human assessments to analyze the linguistic characteristics of user-generated content. The findings support the thesis that smartphone use results in the creation of content that is less specific and privileges affect—especially positive affect—relative to PC-generated content. The findings also show that differences in emotional content are driven by the tendency to generate briefer content on smartphones rather than user self-selection, differences in topical content, or timing of writing. Implications for research and practice are discussed.</t>
  </si>
  <si>
    <t>The authors present empirical evidence that borrowers, consciously or not, leave traces of their intentions, circumstances, and personality traits in the text they write when applying for a loan. This textual information has a substantial and significant ability to predict whether borrowers will pay back the loan above and beyond the financial and demographic variables commonly used in models predicting default. The authors use text-mining and machine learning tools to automatically process and analyze the raw text in over 120,000 loan requests from Prosper, an online crowdfunding platform. Including in the predictive model the textual information in the loan significantly helps predict loan default and can have substantial financial implications. The authors find that loan requests written by defaulting borrowers are more likely to include words related to their family, mentions of God, the borrower’s financial and general hardship, pleading lenders for help, and short-term-focused words. The authors further observe that defaulting loan requests are written in a manner consistent with the writing styles of extroverts and liars.</t>
  </si>
  <si>
    <t>A series of controlled experiments examine how the strategy of incentivizing reviews influences consumers' expressions of positivity. Incentivized (vs. unincentivized) reviews contained a greater proportion of positive relative to negative emotion across a variety of product and service experiences (e.g., videos, service providers, consumer packaged goods companies). This effect occurred for both financial and nonfinancial incentives and when assessing review content across multiple natural language processing tools and human judgments. Incentives influence review content by modifying the experience of writing reviews. That is, when incentives are associated with review writing, they cause the positive affect that results from receiving an incentive to transfer to the review-writing experience, making review writing more enjoyable. In line with this process, the effect of an incentive on review positivity attenuates when incentives are weakly (vs. strongly) associated with review writing (i.e., incentive for "participating in an experiment" vs. "writing a review") and when the incentive does not transfer positive affect (i.e., when an incentive is provided by a disliked company). By examining when incentives do (vs. do not) adjust the relative positivity of written reviews, this research offers theoretical insight into the literature on incentives, motivation, and word of mouth, with practical implications for managers.</t>
  </si>
  <si>
    <t>The authors posit that in an initial exposure to a broadcast video, hearing different voices narrate (in succession) a persuasive message encourages consumers' attention and processing of the message, thereby facilitating persuasion; this is referred to as the voice numerosity effect. Across four studies (plus validation and replication studies)-including two large-scale, real-world data sets (with more than 11,000 crowdfunding videos and over 3.6 million customer transactions, and more than 1,600 video ads) and two controlled experiments (with over 1,800 participants)-the results provide support for the hypothesized effect. The effect (1) has consequential, economic implications in a real-world marketplace, (2) is more pronounced when the message is easier to comprehend, (3) is more pronounced when consumers have the capacity to process the ad message, and (4) is mediated by the favorability of consumers' cognitive responses. The authors demonstrate the use of machine learning, text mining, and natural language processing to process and analyze unstructured (multimedia) data. Theoretical and marketing implications are discussed.</t>
  </si>
  <si>
    <t>This article highlights how social media data and language analysis can help managers understand brand positioning and brand competitive spaces to enable them to make various strategic and tactical decisions about brands. The authors use the output of topic models at the brand level to evaluate similarities between brands and to identify potential cobrand partners. In addition to using average topic probabilities to assess brands' relationships to each other, they incorporate a differential language analysis framework, which implements scientific inference with multi-test-corrected hypothesis testing, to evaluate positive and negative topic correlates of brand names. The authors highlight the various applications of these approaches in decision making for brand management, including the assessment of brand positioning and future cobranding partnerships, design of marketing communication, identification of new product introductions, and identification of potential negative brand associations that can pose a threat to a brand's image. Moreover, they introduce a new metric, "temporal topic variability," that can serve as an early warning of future changes in consumer preference. The authors evaluate social media analytic contributions against offline survey data. They demonstrate their approach with a sample of 193 brands, representing a broad set of categories, and discuss its implications.</t>
  </si>
  <si>
    <t>Establishing the relation between online ratings and reviews provides a potentially inexpensive and effective way for restaurants to capture quality improvement hints from customers. To this end, this study proposes an integrated approach that leverages text mining and empirical modeling to quantitatively correlate ratings with reviews. From (a Chinese crowd-sourced online review community), 49,080 pairs of restaurant rating and review were examined, with high-frequency words, major topics, and subtopics identified. Multilinear regression was employed to screen out the most impactful factors that influence taste, environment, and service ratings. Managerially, the idea of triggering the synergistic benefit from customer ratings and reviews is referential for market practitioners both within and beyond the catering industry.</t>
  </si>
  <si>
    <t>The purpose of this study is to contribute to the marketing literature and practice by describing a research methodology to identify latent dimensions of customer satisfaction in product reviews, and examining the relationship between these attributes and customer satisfaction. Previous research in product reviews has largely relied only on quantitative ratings, either stars or review score. Advanced techniques for text mining provide the opportunity to extract meaning from customer online reviews. By analyzing 51,110 online reviews for 1,610 restaurants via latent Dirichlet allocation, this study uncovers 30 latent dimensions that are determinants of customer satisfaction. Furthermore, this study developed measurements of sentiment and innovativeness as moderators of the effect of these latent attributes to satisfaction.</t>
  </si>
  <si>
    <t>Identifying the right influencers for brands is often the starting point for a successful influencer campaign. However, influencer identification is understudied, and most previous studies have only discussed visible characteristics of influencers and their social networks, overlooking content-based metrics. Combining interdisciplinary theories and techniques from marketing, linguistics, and computer science, we propose a data-driven automated text analysis framework to identify characteristics of effective influencers using influencer posts. Specifically, we propose a model that incorporates influencer personality traits captured by natural language processing, accounting for traditional covariates, such as network structure and follower engagement. In addition, we use a dataset that attributes influencer social media activities to customer purchases to address fake engagement and showcase our automated textual analysis. The proposed framework can help marketers develop influencer profiles and predict optimal influencers for their campaigns.</t>
  </si>
  <si>
    <t>Managers are very interested in word-of-mouth communication because they believe that a product's success is related to the word of mouth that it generates. However, there are at least three significant challenges associated with measuring word of mouth. First, how does one gather the data? Because the information is exchanged in private conversations, direct observation traditionally has been difficult. Second, what aspect of these conversations should one measure? The third challenge comes from the fact that word of mouth is not exogenous. While the mapping from word of mouth to future sales is of great interest to the firm, we must also recognize that word of mouth is an outcome of past sales. Our primary objective is to address these challenges. As a context for our study, we have chosen new television (TV) shows during the 1999–2000 seasons. Our source of word-of-mouth conversations is Usenet, a collection of thousands of newsgroups with diverse topics. We find that online conversations may offer an easy and cost-effective opportunity to measure word of mouth. We show that a measure of the dispersion of conversations across communities has explanatory power in a dynamic model of TV ratings.</t>
  </si>
  <si>
    <t>Whereas recent research has demonstrated the impact of online product ratings and reviews on product sales, we still have a limited understanding of the individual's decision to contribute these opinions. In this research, we empirically model the individual's decision to provide a product rating and investigate factors that influence this decision. Specifically, we consider how previously posted ratings may affect an individual's posting behavior in terms of whether to contribute (incidence) and what to contribute (evaluation), and we identify selection effects that influence the incidence decision and adjustment effects that influence the evaluation decision. Across individuals, our results show that positive ratings environments increase posting incidence, whereas negative ratings environments discourage posting. Our results also indicate important differences across individuals in how they respond to previously posted ratings, with less frequent posters exhibiting bandwagon behavior and more active customers revealing differentiation behavior. These dynamics affect the evolution of online product opinions. Through simulations, we illustrate how the evolution of posted product opinions is shaped by the underlying customer base and show that customer bases with the same median opinion may evolve in substantially different ways because of the presence of a core group of “activists” posting increasingly negative opinions.</t>
  </si>
  <si>
    <t>This study examines whether user-generated content (UGC) is related to stock market performance, which metric of UGC has the strongest relationship, and what the dynamics of the relationship are. We aggregate UGC from multiple websites over a four-year period across 6 markets and 15 firms. We derive multiple metrics of UGC and use multivariate time-series models to assess the relationship between UGC and stock market performance. Volume of chatter significantly leads abnormal returns by a few days (supported by Granger causality tests). Of all the metrics of UGC, volume of chatter has the strongest positive effect on abnormal returns and trading volume. The effect of negative and positive metrics of UGC on abnormal returns is asymmetric. Whereas negative UGC has a significant negative effect on abnormal returns with a short “wear-in” and long “wear-out,” positive UGC has no significant effect on these metrics. The volume of chatter and negative chatter have a significant positive effect on trading volume. Idiosyncratic risk increases significantly with negative information in UGC. Positive information does not have much influence on the risk of the firm. An increase in off-line advertising significantly increases the volume of chatter and decreases negative chatter. These results have important implications for managers and investors.</t>
  </si>
  <si>
    <t>User-generated content on social media platforms and product search engines is changing the way consumers shop for goods online. However, current product search engines fail to effectively leverage information created across diverse social media platforms. Moreover, current ranking algorithms in these product search engines tend to induce consumers to focus on one single product characteristic dimension (e.g., price, star rating). This approach largely ignores consumers' multidimensional preferences for products. In this paper, we propose to generate a ranking system that recommends products that provide, on average, the best value for the consumer's money. The key idea is that products that provide a higher surplus should be ranked higher on the screen in response to consumer queries. We use a unique data set of U.S. hotel reservations made over a three-month period through Travelocity, which we supplement with data from various social media sources using techniques from text mining, image classification, social geotagging, human annotations, and geomapping. We propose a random coefficient hybrid structural model, taking into consideration the two sources of consumer heterogeneity the different travel occasions and different hotel characteristics introduce. Based on the estimates from the model, we infer the economic impact of various location and service characteristics of hotels. We then propose a new hotel ranking system based on the average utility gain a consumer receives from staying in a particular hotel. By doing so, we can provide customers with the “best-value” hotels early on. Our user studies, using ranking comparisons from several thousand users, validate the superiority of our ranking system relative to existing systems on several travel search engines. On a broader note, this paper illustrates how social media can be mined and incorporated into a demand estimation model in order to generate a new ranking system in product search engines. We thus highlight the tight linkages between user behavior on social media and search engines. Our interdisciplinary approach provides several insights for using machine learning techniques in economics and marketing research.</t>
  </si>
  <si>
    <t>Firms are increasingly engaging with customers on social media. Despite this heightened interest, guidance for effective engagement is lacking. In this study, we investigate customers’ compliments and complaints and firms’ service interventions on social media. We develop a dynamic choice model that explicitly accounts for the evolutions of both customers’ voicing decisions and their relationships with the firm. Voices are driven by both the customers’ underlying relationships and other factors such as redress seeking. We estimate the model using a unique data set of customer voices and service interventions on Twitter. We find that redress seeking is a major driver of customer complaints, and although service intervention improves relationships, it also encourages more complaints later. Because of this dual effect, firms are likely to underestimate the returns on service intervention if measured using only voices. Furthermore, we find an “error-correction” effect in certain situations, where customers compliment or complain when others voice the opposite opinions. Finally, we characterize the distinct voicing tendencies in different relationship states, and show that uncovering the underlying relationship states enables effective targeting. We are among the first to analyze individual customer level voice dynamics and to evaluate the effects of service intervention on social media.</t>
  </si>
  <si>
    <t>Consumer perceptions are important components of brand equity and therefore marketing strategy. Segmenting these perceptions into attributes such as eco-friendliness, nutrition, and luxury enable a fine-grained understanding of the brand’s strengths and weaknesses. Traditional approaches towards monitoring such perceptions (e.g., surveys) are costly and time consuming, and their results may quickly become outdated. Extant data mining methods are unsuitable for this goal, and generally require extensive hand-annotated data or context customization, which leads to many of the same limitations as direct elicitation. Here, we investigate a novel, general, and fully automated method for inferring attribute-specific brand perception ratings by mining the brand’s social connections on Twitter. Using a set of over 200 brands and three perceptual attributes, we compare the method’s automatic ratings estimates with directly-elicited survey data, finding a consistently strong correlation. The approach provides a reliable, flexible, and scalable method for monitoring brand perceptions, and offers a foundation for future advances in understanding brand-consumer social media relationships. Data, as supplemental material, are available at http://dx.doi.org/10.1287/mksc.2015.0968.</t>
  </si>
  <si>
    <t>Accurate forecasting of sales/consumption is particularly important for marketing because this information can be used to adjust marketing budget allocations and overall marketing strategies. Recently, online social platforms have produced an unparalleled amount of data on consumer behavior. However, two challenges have limited the use of these data in obtaining meaningful business marketing insights. First,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volume of or sentiments in Tweets, the information content of Tweets and their timeliness significantly improve forecasting accuracy. Our method endogenously summarizes the information in Tweets. The advantage of our method is that the classification of the Tweets is based on what is in the Tweets rather than preconceived topics that may not be relevant. We also find that, by contrast to Twitter, other online data (e.g., Google Trends, Wikipedia views, IMDB reviews, and Huffington Post news) are very weak predictors of TV show demand because users tweet about TV shows before, during, and after a TV show, whereas Google searches, Wikipedia views, IMDB reviews, and news posts typically lag behind the show. Data, as supplemental material, are available at http://dx.doi.org/10.1287/mksc.2015.0972.</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</si>
  <si>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 Data, as supplemental material, are available at https://doi.org/10.1287/mksc.2016.0993.</t>
  </si>
  <si>
    <t>Political advertising is controversial, as there is widespread concern about money from political action committees (PACs and super PACs) distorting the democratic process. Studying advertising effectiveness is, however, a challenging topic for several reasons, including the endogenous nature of fundraising and ad spending rates. However, the extensive use of targeting based on designated marketing areas (DMAs) creates a setting in which neighboring counties with comparable demographics receive different levels of advertising exposure. In this paper, we leverage these advertising discontinuities along DMA borders to study the relative effectiveness of political advertising on vote shares and turnout rates in 2010 and 2012 senatorial elections. We find that negative advertising sponsored by PACs is significantly less effective than that sponsored by candidates in affecting two-party vote shares and voter turnout. A 1% increase in negative advertising by the candidate produces a significant 0.015% lift in the candidate’s unconditional vote shares. By contrast, negative advertising from PACs is ineffective in increasing its supported candidate’s unconditional vote share. Further analysis reveals that the competitiveness of races moderates the effectiveness of political advertising, providing implications for those managing candidates’ campaigns, PACs, and super PACs. Data and the online appendix are available at https://doi.org/10.1287/mksc.2017.1079.</t>
  </si>
  <si>
    <t>We extend latent Dirichlet allocation by introducing a topic model, hierarchically dual latent Dirichlet allocation (HDLDA), for contexts in which one type of document (e.g., search queries) are semantically related to another type of document (e.g., search results). In the context of online search engines, HDLDA identifies not only topics in short search queries and web pages, but also how the topics in search queries relate to the topics in the corresponding top search results. The output of HDLDA provides a basis for estimating consumers’ content preferences on the fly from their search queries given a set of assumptions on how consumers translate their content preferences into search queries. We apply HDLDA and explore its use in the estimation of content preferences in two studies. The first is a lab experiment in which we manipulate participants’ content preferences and observe the queries they formulate and their browsing behavior across different product categories. The second is a field study, which allows us to explore whether the content preferences estimated based on HDLDA may be used to explain and predict click-through rates in online search advertising.</t>
  </si>
  <si>
    <t>Internet recommender systems are popular in contexts that include heterogeneous consumers and numerous products. In such contexts, product features that adequately describe all the products are often not readily available. Content-based systems therefore rely on user-generated content such as product reviews or textual product tags to make recommendations. In this paper, we develop a novel covariate-guided, heterogeneous supervised topic model that uses product covariates, user ratings, and product tags to succinctly characterize products in terms of latent topics and specifies consumer preferences via these topics. Recommendation contexts also generate big-data problems stemming from data volume, variety, and veracity, as in our setting, which includes massive textual and numerical data. We therefore develop a novel stochastic variational Bayesian framework to achieve fast, scalable, and accurate estimation in such big-data settings and apply it to a MovieLens data set of movie ratings and semantic tags. We show that our model yields interesting insights about movie preferences and makes much better predictions than a benchmark model that uses only product covariates. We show how our model can be used to target recommendations to particular users and illustrate its use in generating personalized search rankings of relevant products. Data are available at https://doi.org/10.1287/mksc.2018.1113.</t>
  </si>
  <si>
    <t>Firms traditionally rely on interviews and focus groups to identify customer needs for marketing strategy and product development. User-generated content (UGC) is a promising alternative source for identifying customer needs. However, established methods are neither efficient nor effective for large UGC corpora because much content is noninformative or repetitive. We propose a machine-learning approach to facilitate qualitative analysis by selecting content for efficient review. We use a convolutional neural network to filter out noninformative content and cluster dense sentence embeddings to avoid sampling repetitive content. We further address two key questions: Are UGC-based customer needs comparable to interview-based customer needs? Do the machine-learning methods improve customer-need identification? These comparisons are enabled by a custom data set of customer needs for oral care products identified by professional analysts using industry-standard experiential interviews. The analysts also coded 12,000 UGC sentences to identify which previously identified customer needs and/or new customer needs were articulated in each sentence. We show that (1) UGC is at least as valuable as a source of customer needs for product development, likely more valuable, compared with conventional methods, and (2) machine-learning methods improve efficiency of identifying customer needs from UGC (unique customer needs per unit of professional services cost). Data are available at https://doi.org/10.1287/mksc.2018.1123.</t>
  </si>
  <si>
    <t>User-generated content in the form of customer reviews, blogs, and tweets is an emerging and rich source of data for marketers. Topic models have been successfully applied to such data, demonstrating that empirical text analysis benefits greatly from a latent variable approach that summarizes high-level interactions among words. We propose a new topic model that allows for serial dependency of topics in text. That is, topics may carry over from word to word in a document, violating the bag-of-words assumption in traditional topic models. In the proposed model, topic carryover is informed by sentence conjunctions and punctuation. Typically, such observed information is eliminated prior to analyzing text data (i.e., preprocessing) because words such as “and” and “but” do not differentiate topics. We find that these elements of grammar contain information relevant to topic changes. We examine the performance of our models using multiple data sets and establish boundary conditions for when our model leads to improved inference about customer evaluations. Implications and opportunities for future research are discussed.</t>
  </si>
  <si>
    <t>In recent years, there has been significant interest in understanding users’ online content consumption patterns. But the unstructured, high-dimensional, and dynamic nature of such data makes extracting valuable insights challenging. Here we propose a model that combines the simplicity of matrix factorization with the flexibility of neural networks to efficiently extract nonlinear patterns from massive text data collections relevant to consumers’ online consumption patterns. Our model decomposes a user’s content consumption journey into nonlinear user and content factors that are used to model their dynamic interests. This natural decomposition allows us to summarize each user’s content consumption journey with a dynamic probabilistic weighting over a set of underlying content attributes. The model is fast to estimate, easy to interpret, and can harness external data sources as an empirical prior. These advantages make our method well suited to the challenges posed by modern data sets used by digital marketers. We use our model to understand the dynamic news consumption interests of Boston Globe readers over five years. Thorough qualitative studies, including a crowdsourced evaluation, highlight our model’s ability to accurately identify nuanced and coherent consumption patterns. These results are supported by our model’s superior and robust predictive performance over several competitive baseline methods.</t>
  </si>
  <si>
    <t>We scrutinize the direct and moderated impact of brands’ support for Black Lives Matter (BLM) on consumer responses. Our empirical strategy exploits Blackout Tuesday as a natural experiment in which BLM support occurred on Instagram (treated platform) but not on Twitter (control platform) to perform a within-brand crossplatform difference-in-differences (DID) analysis. We also combine econometric models with machine learning techniques to analyze the unstructured data of the social media content. Based on a unique multiindustry, multiyear, and multiplatform data set of 435 major brands and 396,988 social media posts, we find a negative impact of BLM support on consumer responses, such as followers and likes. Furthermore, our analyses uncover a multifaceted set of heterogeneous DID effects across brands. (1) Although lone-wolf BLM support leads to negligible effects, large-scale BLM support from many brands can lead to strong negative effects (i.e., the bandwagon effect). (2) Posting self-promotional content exacerbates the negative effects of BLM support. (3) Historical prosocial posting on social media attenuates the negative effects. (4) Brands with socially oriented missions suffer less from the negative effects. (5) Customers’ political affiliation also matters; the negative effects of BLM support are amplified/attenuated for brands with mostly Republican/Democratic customers. Additionally, (6) slacktivism (showing BLM support in words but without financial donations) can mitigate the negative effects for brands with mostly Republican consumers but amplify the negative effects for brands with mostly Democratic consumers. History: This paper was accepted through the Marketing Science: Frontiers review process. K. Sudhir served as the senior editor and Juanjuan Zhang served as associate editor for this article. Supplemental Material: The data files and online appendix are available at https://doi.org/10.1287/mksc.2022.1372.</t>
  </si>
  <si>
    <t>Movie studios often have to choose among thousands of scripts to decide which ones to turn into movies. Despite the huge amount of money at stake, this process—known as green-lighting in the movie industry—is largely a guesswork based on experts’ experience and intuitions. In this paper, we propose a new approach to help studios evaluate scripts that will then lead to more profitable green-lighting decisions. Our approach combines screenwriting domain knowledge, natural-language processing techniques, and statistical learning methods to forecast a movie’s return on investment (ROI) based only on textual information available in movie scripts. We test our model in a holdout decision task to show that our model is able to significantly improve a studio’s gross ROI.</t>
  </si>
  <si>
    <t>Extracting sentiment from text is a hard semantic problem. We develop a methodology for extracting small investor sentiment from stock message boards. The algorithm comprises different classifier algorithms coupled together by a voting scheme. Accuracy levels are similar to widely used Bayes classifiers, but false positives are lower and sentiment accuracy higher. Time series and cross-sectional aggregation of message information improves the quality of the resultant sentiment index, particularly in the presence of slang and ambiguity. Empirical applications evidence a relationship with stock values—tech-sector postings are related to stock index levels, and to volumes and volatility. The algorithms may be used to assess the impact on investor opinion of management announcements, press releases, third-party news, and regulatory changes.</t>
  </si>
  <si>
    <t>We describe the effect of social media advertising content on customer engagement using data from Facebook. We content-code 106,316 Facebook messages across 782 companies, using a combination of Amazon Mechanical Turk and natural language processing algorithms. We use this data set to study the association of various kinds of social media marketing content with user engagement—defined as Likes, comments, shares, and click-throughs—with the messages. We find that inclusion of widely used content related to brand personality—like humor and emotion—is associated with higher levels of consumer engagement (Likes, comments, shares) with a message. We find that directly informative content—like mentions of price and deals—is associated with lower levels of engagement when included in messages in isolation, but higher engagement levels when provided in combination with brand personality–related attributes. Also, certain directly informative content, such as deals and promotions, drive consumers’ path to conversion (click-throughs). These results persist after incorporating corrections for the nonrandom targeting of Facebook’s EdgeRank (News Feed) algorithm and so reflect more closely user reaction to content than Facebook’s behavioral targeting. Our results suggest that there are benefits to content engineering that combines informative characteristics that help in obtaining immediate leads (via improved click-throughs) with brand personality–related content that helps in maintaining future reach and branding on the social media site (via improved engagement). These results inform content design strategies. Separately, the methodology we apply to content-code text is useful for future studies utilizing unstructured data such as advertising content or product reviews. The online appendix is available at https://doi.org/10.1287/mnsc.2017.2902. This paper was accepted by Chris Forman, information systems.</t>
  </si>
  <si>
    <t>Social media sites have created a reverberating “echoverse” for brand communication, forming complex feedback loops (“echoes”) between the “universe” of corporate communications, news media, and user-generated social media. To understand these feedback loops, the authors process longitudinal, unstructured data using computational linguistics techniques and analyze them using econometric methods. By assembling one of the most comprehensive data sets in the brand communications literature with corporate communications, news stories, social media, and business outcomes, the authors document the echoverse (i.e., feedback loops between all of these sources). Furthermore, the echoverse has changed as online word of mouth has become prevalent. Over time, online word of mouth has fallen into a negativity spiral, with negative messages leading to greater volume, and firms are adjusting their communications strategies in response. The nature of brand communications has been transformed by online technology as corporate communications move increasingly from one to many (e.g., advertising) to one to one (e.g., Twitter) while consumer word of mouth moves from one to one (e.g., conversations) to one to many (e.g., social media). The results indicate that companies benefit from using social media (e.g., Twitter) for personalized customer responses, although there is still a role for traditional brand communications (e.g., press releases, advertising). The evolving echoverse requires managers to rethink brand communication strategies, with online communications becoming increasingly central.</t>
  </si>
  <si>
    <t>This article uses actual word-of-mouth (WOM) information to examine the dynamic patterns of WOM and how it helps explain box office revenue. The WOM data were collected from the Yahoo Movies Web site. The results show that WOM activities are the most active during a movie's prerelease and opening week and that movie audiences tend to hold relatively high expectations before release but become more critical in the opening week. More important, WOM information offers significant explanatory power for both aggregate and weekly box office revenue, especially in the early weeks after a movie opens. However, most of this explanatory power comes from the volume of WOM and not from its valence, as measured by the percentages of positive and negative messages.</t>
  </si>
  <si>
    <t>Market structure analysis is a basic pillar of marketing research. Classic challenges in marketing such as pricing, campaign management, brand positioning, and new product development are rooted in an analysis of product substitutes and complements inferred from market structure. In this article, the authors present a method to support the analysis and visualization of market structure by automatically eliciting product attributes and brand's relative positions from online customer reviews. First, the method uncovers attributes and attribute dimensions using the "voice of the consumer," as reflected in customer reviews, rather than that of manufacturers. Second, the approach runs automatically. Third, the process supports rather than supplants managerial judgment by reinforcing or augmenting attributes and dimensions found through traditional surveys and focus groups. The authors test the approach on six years of customer reviews for digital cameras during a period of rapid market evolution. They analyze and visualize results in several ways, including comparisons with expert buying guides, a laboratory survey, and correspondence analysis of automatically discovered product attributes. The authors evaluate managerial insights drawn from the analysis with respect to proprietary market research reports from the same period analyzing digital imaging products.</t>
  </si>
  <si>
    <t>Prior research shows that positive online reviews are less valued than negative reviews. The authors argue that this is due to differences in causal attributions for positive versus negative information such that positive reviews tend to be relatively more attributed to the reviewer (vs. product experience) than negative reviews. The presence of temporal contiguity cues, which indicate that review writing closely follows consumption, reduces the relative extent to which positive reviews are attributed to the reviewer and mitigates the negativity bias. An examination of 65,531 Yelp.com restaurant reviews shows that review value is negatively related to review valence but that this negative relationship is absent for reviews that contain temporal contiguity cues. A series of lab studies replicates these findings and suggests that temporal contiguity cues enhance the value of a positive review and increase the likelihood of choosing a product with a positive review by changing reader beliefs about the cause of the review.</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</si>
  <si>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t>
  </si>
  <si>
    <t>In this research, the authors jointly model the sentiment expressed in social media posts and the venue format to which it was posted as two interrelated processes in an effort to provide a measure of underlying brand sentiment. Using social media data from firms in two distinct industries, they allow the content of the post and the underlying sentiment toward the brand to affect both processes. The results show that the inferences marketing researchers obtain from monitoring social media are dependent on where they “listen” and that common approaches that either focus on a single social media venue or ignore differences across venues in aggregated data can lead to misleading brand sentiment metrics. The authors validate the approach by comparing their model-based measure of brand sentiment with performance measures obtained from external data sets (stock prices for both brands and an offline brand-tracking study for one brand). They find that their measure of sentiment serves as a leading indicator of the changes observed in these external data sources and outperforms other social media metrics currently used.</t>
  </si>
  <si>
    <t>The increasing amount of electronic word of mouth (eWOM) has significantly affected the way consumers make purchase decisions. Empirical studies have established an effect of eWOM on sales but disagree on which online platforms, products, and eWOM metrics moderate this effect. The authors conduct a meta-analysis of 1,532 effect sizes across 96 studies covering 40 platforms and 26 product categories. On average, eWOM is positively correlated with sales (.091), but its effectiveness differs across platform, product, and metric factors. For example, the effectiveness of eWOM on social media platforms is stronger when eWOM receivers can assess their own similarity to eWOM senders, whereas these homophily details do not influence the effectiveness of eWOM for e-commerce platforms. In addition, whereas eWOM has a stronger effect on sales for tangible goods new to the market, the product life cycle does not moderate the eWOM effectiveness for services. With respect to the eWOM metrics, eWOM volume has a stronger impact on sales than eWOM valence. In addition, negative eWOM does not always jeopardize sales, but high variability does.</t>
  </si>
  <si>
    <t>Word of mouth affects consumer behavior, but how does the language used in word of mouth shape that impact? Might certain types of consumers be more likely to use certain types of language, affecting whose words have more influence? Five studies, including textual analysis of more than 1,000 online reviews, demonstrate that compared to more implicit endorsements (e.g., “I liked it,” “I enjoyed it”), explicit endorsements (e.g., “I recommend it”) are more persuasive and increase purchase intent. This occurs because explicit endorsers are perceived to like the product more and have more expertise. Looking at the endorsement language consumers actually use, however, shows that while consumer knowledge does affect endorsement style, its effect actually works in the opposite direction. Because novices are less aware that others have heterogeneous product preferences, they are more likely to use explicit endorsements. Consequently, the endorsement styles novices and experts tend to use may lead to greater persuasion by novices. These findings highlight the important role that language, and endorsement styles in particular, plays in shaping the effects of word of mouth.</t>
  </si>
  <si>
    <t>Comments on an article by Mitja D. Back et al. (see record 2010-25035-010). The authors used Linguistic Inquiry and Word Count (LIWC) to analyze pager messages sent to more than 85,000 American pagers on September 11, 2001. They found that anger, as indexed by the words contained in those messages, rose steadily throughout the day. The data contained many technical codes; thus, Back et al. counted only words recognized by LIWC. However, this procedure did not exclude automatically generated messages. Consequently, LIWC words in such messages were counted, even if the words lacked emotional meaning in context. Furthermore, computers can send messages with superhuman frequency, turning an otherwise minor measurement error into a serious confound. This confound can be detected by treating individual text messages as primary units, reading samples of each key word in context, and looking for repeating false positives. Thus, it appears that much of the dramatic rise in anger reported by Back et al. was due to a repeated and emotionally neutral technical message associated with a single pager. Because today’s e-mail, social media, and text messages can include automatically generated messages, future researchers of linguistic archives should consider ways to prevent similar confounds.</t>
  </si>
  <si>
    <t>The smallest words in our vocabulary often reveal the most about us, says James W. Pennebaker, including our levels of honesty and thinking style</t>
  </si>
  <si>
    <t>Developing effective privacy protection technologies is a critical challenge for security and privacy research as the amount and variety of data collected about individuals increase exponentially.</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</si>
  <si>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</si>
  <si>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Because meaningful sentences are composed of meaningful words, any system that hopes to process natural languages as people do must have information about words and their meanings. This information is traditionally provided through dictionaries, and machine-readable dictionaries are now widely available. But dictionary entries evolved for the convenience of human readers, not for machines. WordNet1 provides a more effective combination of traditional lexicographic information and modern computing. WordNet is an online lexical database designed for use under program control. English nouns, verbs, adjectives, and adverbs are organized into sets of synonyms, each representing a lexicalized concept. Semantic relations link the synonym sets.</t>
  </si>
  <si>
    <t>A review of estimation approaches for intercoder reliability reported in articles in leading marketing journals reveals that most marketing researchers are using inadequate measures. The authors recommend that marketing researchers report dependability indices based on generalizability theory for quantitative coding systems.</t>
  </si>
  <si>
    <t>Published in marketing</t>
  </si>
  <si>
    <t>yes</t>
  </si>
  <si>
    <t>Cooper, HB; Ewing, MT; Mishra, S</t>
  </si>
  <si>
    <t>Cooper, Holly B.; Ewing, Michael T.; Mishra, Sagarika</t>
  </si>
  <si>
    <t>Text-mining 10-K (annual) reports: A guide for B2B marketing research</t>
  </si>
  <si>
    <t>INDUSTRIAL MARKETING MANAGEMENT</t>
  </si>
  <si>
    <t>Marketing method; Marketing research; Text mining; 10-k reports; Secondary data analysis</t>
  </si>
  <si>
    <t>INFORMATION-CONTENT; SOCIAL-MEDIA; THEORETICAL DEVELOPMENTS; INVESTOR RESPONSE; STOCK RETURNS; SENTIMENT; ANALYSTS; IMPACT; FUTURE; DISCLOSURE</t>
  </si>
  <si>
    <t>Advances in the availability and sophistication of software to facilitate the analysis of secondary data have contributed toward the growth of textual analysis. 10-K reports are a particularly salient source of insight into an array of issues in accounting and finance research yet remain underutilized in marketing. Therefore, the purpose of this article is to offer a rationale for such analysis and a method that can be applied in B2B marketing. We draw on a strong tradition of textual analysis in finance to outline a method of text mining 10-K reports. We then discuss the downloading of raw texts, parsing raw text files and linking 10-Ks to various dependent measures. We provide links for downloading parsed 10-K files and suggest software for textual analysis. The framework offers B2B marketers a rich alternative to primary data and proprietary datasets. Ongoing advances in AI-enabled NLP text analysis further increase the future value of the approach for B2B marketers.</t>
  </si>
  <si>
    <t>[Cooper, Holly B.; Ewing, Michael T.] Deakin Univ, Fac Business &amp; Law, Burwood, Vic 3125, Australia; [Mishra, Sagarika] Deakin Univ, Dept Finance, Burwood, Vic 3125, Australia; [Ewing, Michael T.] Univ Johannesburg, Coll Business &amp; Econ, Dept Mkt Management, Johannesburg, South Africa</t>
  </si>
  <si>
    <t>Deakin University; Deakin University; University of Johannesburg</t>
  </si>
  <si>
    <t>Cooper, HB (corresponding author), Deakin Univ, Fac Business &amp; Law, Burwood, Vic 3125, Australia.</t>
  </si>
  <si>
    <t>h.cooper@deakin.edu.au; michael.ewing@deakin.edu.au; sagarika.mishra@deakin.edu.au</t>
  </si>
  <si>
    <t>0019-8501</t>
  </si>
  <si>
    <t>1873-2062</t>
  </si>
  <si>
    <t>IND MARKET MANAG</t>
  </si>
  <si>
    <t>Ind. Mark. Manage.</t>
  </si>
  <si>
    <t>10.1016/j.indmarman.2022.10.001</t>
  </si>
  <si>
    <t>8Z7ZS</t>
  </si>
  <si>
    <t>2023-03-28</t>
  </si>
  <si>
    <t>WOS:000933592800006</t>
  </si>
  <si>
    <t>wos</t>
  </si>
  <si>
    <t>Huber, J; Kamakura, W; Mela, CF</t>
  </si>
  <si>
    <t>Huber, Joel; Kamakura, Wagner; Mela, Carl F.</t>
  </si>
  <si>
    <t>A Topical History of JMR</t>
  </si>
  <si>
    <t>Using subject indexes and text mining of author abstracts, the authors track the evolution of content in Journal of Marketing Research since its inception 50 years ago. These data reveal that the journal has expanded beyond its initial emphasis on marketing research methods and advertising to increase its coverage of other substantive topics and consumer behavior. Moreover, a joint space of topics and editors reveals that editorial orientations appear largely evolutionary rather than revolutionary and that a major shift in journal coverage occurs at the time Marketing Science began publication. The authors conclude their analysis with several policy recommendations.</t>
  </si>
  <si>
    <t>[Huber, Joel; Mela, Carl F.] Duke Univ, Fuqua Sch Business, Durham, NC 27706 USA; [Kamakura, Wagner] Rice Univ, Jones Grad Sch Business, Houston, TX 77251 USA</t>
  </si>
  <si>
    <t>Duke University; Rice University</t>
  </si>
  <si>
    <t>Huber, J (corresponding author), Duke Univ, Fuqua Sch Business, Durham, NC 27706 USA.</t>
  </si>
  <si>
    <t>Joel.Huber@duke.edu; kamakura@rice.edu; mela@duke.edu</t>
  </si>
  <si>
    <t>10.1509/jmr.51.1.02</t>
  </si>
  <si>
    <t>AN8OK</t>
  </si>
  <si>
    <t>WOS:000340863300008</t>
  </si>
  <si>
    <t>Ranfagni, S; Guercini, S; Camiciottoli, BC</t>
  </si>
  <si>
    <t>Ranfagni, Silvia; Guercini, Simone; Camiciottoli, Belinda Crawford</t>
  </si>
  <si>
    <t>An interdisciplinary method for brand association research</t>
  </si>
  <si>
    <t>MANAGEMENT DECISION</t>
  </si>
  <si>
    <t>Text mining; Online communities; Brand associations; Digital ethnography; Qualitative-quantitative approach</t>
  </si>
  <si>
    <t>MARKETING-RESEARCH; NETNOGRAPHY; COMMUNITIES; CUSTOMER; EQUITY</t>
  </si>
  <si>
    <t>Purpose - The purpose of this paper is to discuss the current role of qualitative research in the analysis of the relations between brands and consumers in new market spaces, with particular reference to how it can be enhanced with quantitative techniques to study interactions in online communities. Design/methodology/approach - The paper reviews key scientific contributions in the area of qualitative marketing research. Drawing from this theoretical background, the authors then propose the integration of digital ethnography (a qualitative approach) with quantitative text mining as an innovative approach to gain insights into perceptions of brand associations among online consumers. Findings - The paper contributes to a greater awareness of both limitations and new perspectives in relation to qualitative market research, while suggesting innovative paths for future research. Practical implications - The new methodological approach described can be used to better understand brand knowledge based on consumer brand associations. These insights can then be applied towards developing and implementing effective branding strategies. Originality/value - The authors propose an interdisciplinary methodology to study consumer behaviour in online communities which incorporates digital ethnography and computer-assisted textual analysis. Particularly the latter technique (borrowed from the field of linguistics) has not yet been exploited extensively in marketing research, but is capable of offering new types of knowledge with important implications for strategic brand management.</t>
  </si>
  <si>
    <t>[Ranfagni, Silvia; Guercini, Simone] Univ Florence, Dept Econ &amp; Management, Florence, Italy; [Camiciottoli, Belinda Crawford] Univ Pisa, Dept English Studies, Pisa, Italy</t>
  </si>
  <si>
    <t>University of Florence; University of Pisa</t>
  </si>
  <si>
    <t>Ranfagni, S (corresponding author), Univ Florence, Dept Econ &amp; Management, Florence, Italy.</t>
  </si>
  <si>
    <t>silvia.ranfagni@unifi.it</t>
  </si>
  <si>
    <t>Guercini, Simone/AAC-8938-2020; Ranfagni, Silvia/AAV-7114-2021</t>
  </si>
  <si>
    <t>Crawford Camiciottoli, Belinda/0000-0001-8616-1785; Guercini, Simone/0000-0002-7542-6984</t>
  </si>
  <si>
    <t>0025-1747</t>
  </si>
  <si>
    <t>1758-6070</t>
  </si>
  <si>
    <t>MANAGE DECIS</t>
  </si>
  <si>
    <t>Manag. Decis.</t>
  </si>
  <si>
    <t>10.1108/MD-04-2012-0284</t>
  </si>
  <si>
    <t>AN7FS</t>
  </si>
  <si>
    <t>WOS:000340765000005</t>
  </si>
  <si>
    <t>Chang, HH; Mukherjee, A; Chattopadhyay, A</t>
  </si>
  <si>
    <t>voice; voice numerosity; videos; persuasion; marketing communications; sensory marketing; crowdfunding; advertising</t>
  </si>
  <si>
    <t>TALKER VARIABILITY; SELECTIVE ATTENTION; SPEAKERS VOICE; SPEECH; INFORMATION; RECOGNITION; PERSONALITY; JUDGMENTS; NOVELTY; CONTEXT</t>
  </si>
  <si>
    <t>[Chang, Hannah H.] Singapore Management Univ, Lee Kong Chian Sch Business, Mkt, Singapore, Singapore; [Mukherjee, Anirban] Cornell Univ, SC Johnson Grad Sch Management, Ithaca, NY USA; [Chattopadhyay, Amitava] NSEAD, Corp Innovat, Fontainebleau, France; [Chattopadhyay, Amitava] INSEAD, Marketing, Fontainebleau, France</t>
  </si>
  <si>
    <t>Singapore Management University; Cornell University; INSEAD Business School</t>
  </si>
  <si>
    <t>Chang, HH (corresponding author), Singapore Management Univ, Lee Kong Chian Sch Business, Mkt, Singapore, Singapore.</t>
  </si>
  <si>
    <t>hannahchang@smu.edu.sg; am253@cornell.edu; amitava.chattopadhyay@insead.edu</t>
  </si>
  <si>
    <t>Singapore Ministry of Education (MOE) Academic Research Fund (AcRF) Tier 2 Grant [MOE2018-T2-1-181]</t>
  </si>
  <si>
    <t>Singapore Ministry of Education (MOE) Academic Research Fund (AcRF) Tier 2 Grant(Ministry of Education, Singapore)</t>
  </si>
  <si>
    <t>The author(s) disclosed receipt of the following financial support for the research, authorship, and/or publication of this article: The research was supported by the Singapore Ministry of Education (MOE) Academic Research Fund (AcRF) Tier 2 Grant, MOE2018-T2-1-181, to the first author.</t>
  </si>
  <si>
    <t>10.1177/00222437221134115</t>
  </si>
  <si>
    <t>FEB 2023</t>
  </si>
  <si>
    <t>9A6OY</t>
  </si>
  <si>
    <t>WOS:000934176500001</t>
  </si>
  <si>
    <t>Tang, CY; Guo, L</t>
  </si>
  <si>
    <t>Tang, Chuanyi; Guo, Lin</t>
  </si>
  <si>
    <t>Digging for gold with a simple tool: Validating text mining in studying electronic word-of-mouth (eWOM) communication</t>
  </si>
  <si>
    <t>MARKETING LETTERS</t>
  </si>
  <si>
    <t>Electronic word-of-mouth; Text mining; Linguistic indicator; Attitude</t>
  </si>
  <si>
    <t>EMOTIONAL EXPRESSION; VALIDITY; PREDICTORS</t>
  </si>
  <si>
    <t>Text-based electronic word-of-mouth (eWOM) communication has increasingly become an important channel for consumers to exchange information about products and services. How to effectively utilize the enormous amount of text information poses a great challenge to marketing researchers and practitioners. This study takes an initial step to investigate the validities and usefulness of text mining, a promising approach in generating valuable information from eWOM communication. Bilateral data were collected from both eWOM senders and readers via two web-based surveys. Results provide initial evidence for the validity and utility of text mining and demonstrate that the linguistic indicators generated by text analysis are predictive of eWOM communicators' attitudes toward a product or service. Text analysis indicators (e.g., Negations and Money) can explain additional variance in eWOM communicators' attitudes above and beyond the star ratings and may become a promising supplement to the widely used star ratings as indicators of eWOM valence.</t>
  </si>
  <si>
    <t>[Tang, Chuanyi] Old Dominion Univ, Coll Business &amp; Publ Adm, Dept Mkt, Norfolk, VA 23529 USA; [Guo, Lin] Univ New Hampshire, Peter T Paul Coll Business &amp; Econ, Dept Mkt, Durham, NH 03824 USA</t>
  </si>
  <si>
    <t>Old Dominion University; University System Of New Hampshire; University of New Hampshire</t>
  </si>
  <si>
    <t>Tang, CY (corresponding author), Old Dominion Univ, Coll Business &amp; Publ Adm, Dept Mkt, Norfolk, VA 23529 USA.</t>
  </si>
  <si>
    <t>ctang@odu.edu; Lin.Guo@unh.edu</t>
  </si>
  <si>
    <t>0923-0645</t>
  </si>
  <si>
    <t>1573-059X</t>
  </si>
  <si>
    <t>MARKET LETT</t>
  </si>
  <si>
    <t>Mark. Lett.</t>
  </si>
  <si>
    <t>10.1007/s11002-013-9268-8</t>
  </si>
  <si>
    <t>CB1RS</t>
  </si>
  <si>
    <t>WOS:000349406300006</t>
  </si>
  <si>
    <t>Fang, X; Wang, TF</t>
  </si>
  <si>
    <t>influencer marketing; social media; online retailing; natural language processing; personality</t>
  </si>
  <si>
    <t>SOCIAL MEDIA; PERSONALITY; IDENTIFICATION; NETWORKS; IMPACT</t>
  </si>
  <si>
    <t>[Fang, Xing] Tongji Univ, Mkt, Shanghai, Peoples R China; [Wang, Tianfu] Peking Univ, Sch Journalism &amp; Commun, 5 Yiheyuan Rd, Beijing 100871, Peoples R China</t>
  </si>
  <si>
    <t>Tongji University; Peking University</t>
  </si>
  <si>
    <t>Wang, TF (corresponding author), Peking Univ, Sch Journalism &amp; Commun, 5 Yiheyuan Rd, Beijing 100871, Peoples R China.</t>
  </si>
  <si>
    <t>tianfuwang@pku.edu.cn</t>
  </si>
  <si>
    <t>Wang, Tianfu/0000-0002-0271-4889</t>
  </si>
  <si>
    <t>10.1177/14707853221101565</t>
  </si>
  <si>
    <t>MAY 2022</t>
  </si>
  <si>
    <t>3Q3UK</t>
  </si>
  <si>
    <t>WOS:000798240400001</t>
  </si>
  <si>
    <t>Oh, YK; Yi, J</t>
  </si>
  <si>
    <t>Oh, Yun Kyung; Yi, Jisu</t>
  </si>
  <si>
    <t>Asymmetric effect of feature level sentiment on product rating: an application of bigram natural language processing (NLP) analysis</t>
  </si>
  <si>
    <t>INTERNET RESEARCH</t>
  </si>
  <si>
    <t>Online consumer review; Bigram NLP analysis; Feature level sentiment analysis; Big data analytics</t>
  </si>
  <si>
    <t>CUSTOMER SATISFACTION; PERFORMANCE; REVIEWS; QUALITY; SALES</t>
  </si>
  <si>
    <t>Purpose The evaluation of perceived attribute performance reflected in online consumer reviews (OCRs) is critical in gaining timely marketing insights. This study proposed a text mining approach to measure consumer sentiments at the feature level and their asymmetric impacts on overall product ratings. Design/methodology/approach This study employed 49,130 OCRs generated for 14 wireless earbud products on Amazon.com. Word combinations of the major quality dimensions and related sentiment words were identified using bigram natural language processing (NLP) analysis. This study combined sentiment dictionaries and feature-related bigrams and measured feature level sentiment scores in a review. Furthermore, the authors examined the effect of feature level sentiment on product ratings. Findings The results indicate that customer sentiment for product features measured from text reviews significantly and asymmetrically affects the overall rating. Building upon the three-factor theory of customer satisfaction, the key quality dimensions of wireless earbuds are categorized into basic, excitement and performance factors. Originality/value This study provides a novel approach to assess customer feature level evaluation of a product and its impact on customer satisfaction based on big data analytics. By applying the suggested methodology, marketing managers can gain in-depth insights into consumer needs and reflect this knowledge in their future product or service improvement.</t>
  </si>
  <si>
    <t>[Oh, Yun Kyung] Dongduk Womens Univ, Dept Business Adm, Seoul, South Korea; [Yi, Jisu] Gachon Univ, Coll Business, Seongnam, South Korea</t>
  </si>
  <si>
    <t>Dongduk Women's University; Gachon University</t>
  </si>
  <si>
    <t>Yi, J (corresponding author), Gachon Univ, Coll Business, Seongnam, South Korea.</t>
  </si>
  <si>
    <t>yunk.oh13@gmail.com; yijisu@outlook.com</t>
  </si>
  <si>
    <t>Oh, Yun Kyung/ABD-2530-2021</t>
  </si>
  <si>
    <t>Oh, Yun Kyung/0000-0003-4759-2026</t>
  </si>
  <si>
    <t>1066-2243</t>
  </si>
  <si>
    <t>INTERNET RES</t>
  </si>
  <si>
    <t>Internet Res.</t>
  </si>
  <si>
    <t>MAY 9</t>
  </si>
  <si>
    <t>10.1108/INTR-11-2020-0649</t>
  </si>
  <si>
    <t>JUL 2021</t>
  </si>
  <si>
    <t>Business; Computer Science, Information Systems; Telecommunications</t>
  </si>
  <si>
    <t>Business &amp; Economics; Computer Science; Telecommunications</t>
  </si>
  <si>
    <t>0Z5VN</t>
  </si>
  <si>
    <t>WOS:000679421500001</t>
  </si>
  <si>
    <t>Shen, Z</t>
  </si>
  <si>
    <t>Shen, Zheng</t>
  </si>
  <si>
    <t>Mining sustainable fashion e-commerce: social media texts and consumer behaviors</t>
  </si>
  <si>
    <t>ELECTRONIC COMMERCE RESEARCH</t>
  </si>
  <si>
    <t>Fashion e-commerce; Sustainable fashion marketing; Social media texts; Consumer behaviors; Text mining; ANOVA</t>
  </si>
  <si>
    <t>BRAND NAMES; ENGAGEMENT; INDUSTRY</t>
  </si>
  <si>
    <t>Sustainability in fashion e-commerce has attracted the attention of researchers because of its negative impact on the environment. After the advent of social media, sustainable fashion e-commerce is further challenged by the success of marketing practices and their impact on consumer behaviors. As a result, this study aims to positively affect consumer behaviors using social media texts in sustainable fashion marketing. It took a sustainable fashion brand named OnTheList as a case study, and examined its Facebook posts based on the mixed analysis of text mining and ANOVA. The results show that sustainability-related texts have a positive impact on consumers' liking and commenting behaviors, and price-related texts positively affect consumers' sharing and commenting behaviors. However, consumer behaviors are not significantly affected by social media texts related to brands and products. As such, the study contributes to the theoretical and managerial implications of current sustainable fashion e-commerce, especially in developing countries.</t>
  </si>
  <si>
    <t>[Shen, Zheng] Zhejiang Univ, Coll Media &amp; Int Culture, 866 Yuhangtang Rd, Hangzhou 310058, Zhejiang, Peoples R China</t>
  </si>
  <si>
    <t>Zhejiang University</t>
  </si>
  <si>
    <t>Shen, Z (corresponding author), Zhejiang Univ, Coll Media &amp; Int Culture, 866 Yuhangtang Rd, Hangzhou 310058, Zhejiang, Peoples R China.</t>
  </si>
  <si>
    <t>janeshen0916@126.com</t>
  </si>
  <si>
    <t>shen, zheng/0000-0003-2348-5189</t>
  </si>
  <si>
    <t>1389-5753</t>
  </si>
  <si>
    <t>1572-9362</t>
  </si>
  <si>
    <t>ELECTRON COMMER RES</t>
  </si>
  <si>
    <t>Electron. Commer. Res.</t>
  </si>
  <si>
    <t>10.1007/s10660-021-09498-5</t>
  </si>
  <si>
    <t>JUN 2021</t>
  </si>
  <si>
    <t>TA9QT</t>
  </si>
  <si>
    <t>WOS:000667580400001</t>
  </si>
  <si>
    <t>Pehlivan, E; Sarican, F; Berthon, P</t>
  </si>
  <si>
    <t>JOURNAL OF CONSUMER BEHAVIOUR</t>
  </si>
  <si>
    <t>Social media provide consumers with a platform for interactivity, and interactivity leads to consumer empowerment by providing the consumer with a platform to make their voice heard. This paper contributes to the marketing literature exploring the voice of the consumer in consumer-generated advertisements (CGAs). The objective of this research is to find ways to measure consumer response to CGAs. We measure whether they differ from firm-generated ads in the responses they elicit and also observe whether they generate different responses by ad type, or if some categories have similar responses. We review CGAs for Apple's MacBook Air lightweight laptop and run a text mining application to understand the common themes and conduct text analysis on the responses to both CGAs and firm-generated ads to answer the question Is the source of the advertisement important? Text analytics also enable us to measure consumers' attitude toward products, companies, and ads. We then work toward understanding why and under what circumstances CGAs are effective and how companies may handle or foster different types of CGAs. Copyright (C) 2011 John Wiley &amp; Sons, Ltd.</t>
  </si>
  <si>
    <t>[Pehlivan, Ekin; Sarican, Funda; Berthon, Pierre] Bentley Univ, Waltham, MA 02452 USA</t>
  </si>
  <si>
    <t>Bentley University</t>
  </si>
  <si>
    <t>Pehlivan, E (corresponding author), Bentley Univ, 175 Forest St, Waltham, MA 02452 USA.</t>
  </si>
  <si>
    <t>Pehliva_ekin@bentley.edu</t>
  </si>
  <si>
    <t>1472-0817</t>
  </si>
  <si>
    <t>1479-1838</t>
  </si>
  <si>
    <t>J CONSUM BEHAV</t>
  </si>
  <si>
    <t>J. Consum. Behav.</t>
  </si>
  <si>
    <t>10.1002/cb.379</t>
  </si>
  <si>
    <t>971RJ</t>
  </si>
  <si>
    <t>WOS:000306221200002</t>
  </si>
  <si>
    <t>Vadalkar, S; Chavan, G; Chaudhuri, R; Vrontis, D</t>
  </si>
  <si>
    <t>Vadalkar, Suniti; Chavan, Gitesh; Chaudhuri, Ranjan; Vrontis, Demetris</t>
  </si>
  <si>
    <t>A critical review of international print advertisements: evolutionary analysis, assessment and elucidations, from 1965 to 2020</t>
  </si>
  <si>
    <t>INTERNATIONAL MARKETING REVIEW</t>
  </si>
  <si>
    <t>Print advertisements; Research; Literature review; Evolution; VantagePoint; VOSviewer; Spatial-temporal study; Mapping</t>
  </si>
  <si>
    <t>BIBLIOMETRIC ANALYSIS; VISUAL-ATTENTION; RETROSPECTIVE EVALUATION; RESEARCH PRODUCTIVITY; GRAPHIC-DESIGN; NORTH-AMERICA; EYE FIXATIONS; IMPACT; MAGAZINE; ECONOMICS</t>
  </si>
  <si>
    <t>Purpose Amidst the plethora of mass communication methods that technology bestowed business with, print advertisements still remain an effective and widely utilized advertising tool, and retain a diachronically venerable position in international marketing practice. Bar and transcending mere academic fascination or curiosity, this research provides insights into the past, an understanding of the present and an outlook into the future. In this vein, through a methodical and comprehensive critical review of extant literature on print advertisements since 1965, this research aims to identify gaps in extant knowledge, to map its trends and divergences, to trace its paradigm shifts and to ultimately develop agendas for truly significant future research. Design/methodology/approach This spatial-temporal study reviews 256 methodically selected articles, using VantagePoint software, and adopts a novel methodology through natural language processing (NLP), text mining, auto-correlation maps, and bubble maps to conduct and present a robust analysis and explicit findings. Findings Using also the VOSviewer for density and network visualization, the results identify the predominant literature themes and, conversely, the relatively under-researched areas, and provide a more insightful collective interpretation of extant works, while laying the foundation for future research of greater value and significance to academia and industry. Originality/value This study transcends the partial and/or limited analyses and perspectives of extant literature to present scholars with the first comprehensive and long term meta-analysis or systematic study of print advertising, with explicit findings of both scholarly and executive worth.</t>
  </si>
  <si>
    <t>[Vadalkar, Suniti] FLAME Univ, Fine &amp; Performing Arts, Pune, Maharashtra, India; [Chavan, Gitesh] FLAME Univ, Fac Business, Mkt, Pune, Maharashtra, India; [Chaudhuri, Ranjan] Natl Inst Ind Engn, Mumbai, Maharashtra, India; [Vrontis, Demetris] Univ Nicosia, Sch Business, Nicosia, Cyprus</t>
  </si>
  <si>
    <t>National Institute of Industrial Engineering (NITIE); University of Nicosia</t>
  </si>
  <si>
    <t>Chavan, G (corresponding author), FLAME Univ, Fac Business, Mkt, Pune, Maharashtra, India.</t>
  </si>
  <si>
    <t>gitesh.chavan@flame.edu.in</t>
  </si>
  <si>
    <t>0265-1335</t>
  </si>
  <si>
    <t>1758-6763</t>
  </si>
  <si>
    <t>INT MARKET REV</t>
  </si>
  <si>
    <t>Int. Market. Rev.</t>
  </si>
  <si>
    <t>SEP 7</t>
  </si>
  <si>
    <t>10.1108/IMR-11-2020-0257</t>
  </si>
  <si>
    <t>UW8MO</t>
  </si>
  <si>
    <t>WOS:000669609900001</t>
  </si>
  <si>
    <t>Camiciottoli, BC; Ranfagni, S; Guercini, S</t>
  </si>
  <si>
    <t>Camiciottoli, Belinda Crawford; Ranfagni, Silvia; Guercini, Simone</t>
  </si>
  <si>
    <t>Exploring brand associations: an innovative methodological approach</t>
  </si>
  <si>
    <t>Fashion industry; Online communities; Brand associations; Qualitative-quantitative approach; Text mining; Textual analysis</t>
  </si>
  <si>
    <t>MARKETING-RESEARCH; NETNOGRAPHY; CONSUMERS; IDENTITY; EQUITY; MAPS</t>
  </si>
  <si>
    <t>Purpose - The purpose of this exploratory study is to propose a new methodological approach to investigate brand associations. More specifically, the study aims to show how brand associations can be identified and analysed in an online community of international consumers of fashion to determine the degree of matching with company-defined brand associations. Design/methodology/approach - The methodology is two-pronged, integrating qualitative market research techniques with quantitative text mining. It was applied to determine types and perceptions of brand associations among fashion bloggers with reference to three leading Italian fashion houses. These were then compared to brand associations found in company-generated texts to measure the degree of matching. Findings - The results showed consistent brand associations across the three brands, as well as substantial matching with company-defined brand associations. In addition, the analysis revealed the presence of distinctive brand association themes that shed further light on how brand attributes were perceived by blog participants. Practical implications - The methods described can be used by managers to identify and reinforce favourable brand associations among consumers. This knowledge can then be applied towards developing and implementing effective brand strategies. Originality/value - The authors propose an interdisciplinary approach to investigate brand associations in online communities. It incorporates text mining and computer-assisted textual analysis as techniques borrowed from the field of linguistics which have thus far seen little application in marketing studies, but can nonetheless provide important insights for strategic brand management.</t>
  </si>
  <si>
    <t>[Camiciottoli, Belinda Crawford] Univ Pisa, Dept English Studies, Pisa, Italy; [Ranfagni, Silvia; Guercini, Simone] Univ Florence, Dept Econ &amp; Management, Florence, Italy</t>
  </si>
  <si>
    <t>University of Pisa; University of Florence</t>
  </si>
  <si>
    <t>Camiciottoli, BC (corresponding author), Univ Pisa, Dept English Studies, Pisa, Italy.</t>
  </si>
  <si>
    <t>bcrawford@tin.it</t>
  </si>
  <si>
    <t>Guercini, Simone/AAC-8938-2020; Ranfagni, Silvia/AAV-7114-2021; Barretta, Paul G./G-4383-2016</t>
  </si>
  <si>
    <t>Barretta, Paul G./0000-0002-6940-587X; Crawford Camiciottoli, Belinda/0000-0001-8616-1785; Guercini, Simone/0000-0002-7542-6984</t>
  </si>
  <si>
    <t>5-6</t>
  </si>
  <si>
    <t>10.1108/EJM-12-2011-0770</t>
  </si>
  <si>
    <t>AM1ST</t>
  </si>
  <si>
    <t>WOS:000339629300014</t>
  </si>
  <si>
    <t>Onishi, H; Manchanda, P</t>
  </si>
  <si>
    <t>Consumer generated media; Blogs; Social media; TV advertising; Response models; Text mining; Japan; Movies; Cellular phone service</t>
  </si>
  <si>
    <t>WORD-OF-MOUTH; USER-GENERATED CONTENT; ONLINE; IMPACT; REVIEWS; MATTER; DYNAMICS; CHATTER; MEDIA</t>
  </si>
  <si>
    <t>The recent growth of consumer-generated media (CGM), also known as new media, has changed the interaction between consumers and firms from being unidirectional to being bidirectional. However, CGM are almost always accompanied by traditional media (such as TV advertising). This research addresses the critical question of whether new and traditional media reinforce or damage one another's effectiveness. This question is important because traditional media, in which a manufacturer creates and delivers content to consumers, consume a firm's resources. In contrast to these paid media, new media (in which consumers create content and this content is exchanged between other consumers and potentially between manufacturers) are primarily available for free. This question becomes even more salient when new product launches are involved, as firms typically allocate approximately half of their marketing budgets to support new products. One of the most prevalent forms of new media is blogging. Therefore, we assemble a unique data set from Japan that contains market outcomes (sales) for new products, new media (blogs) and traditional media (TV advertising) in the movie category. We specify a simultaneous equation log-linear system for market outcomes and the volume of blogs. Our results suggest that new and traditional media act synergistically, that pre-launch TV advertising spurs blogging activity but becomes less effective during the post-launch period and that market outcomes have an effect on blogging quantity. We find detailed support for some of these results via a unique and novel text-mining analysis and replicate our findings for a second product category, cellular phone service. We also discuss the managerial implications of our findings. (C) 2012 Elsevier B.V. All rights reserved.</t>
  </si>
  <si>
    <t>[Manchanda, Puneet] Univ Michigan, Ross Sch Business, Ann Arbor, MI 48109 USA</t>
  </si>
  <si>
    <t>Manchanda, P (corresponding author), Univ Michigan, Ross Sch Business, 701 Tappan St, Ann Arbor, MI 48109 USA.</t>
  </si>
  <si>
    <t>hohnishi@umich.edu; pmanchan@umich.edu</t>
  </si>
  <si>
    <t>10.1016/j.ijresmar.2011.11.003</t>
  </si>
  <si>
    <t>005RV</t>
  </si>
  <si>
    <t>WOS:000308768500001</t>
  </si>
  <si>
    <t>Alzate, M; Arce-Urriza, M; Cebollada, J</t>
  </si>
  <si>
    <t>Alzate, Miriam; Arce-Urriza, Marta; Cebollada, Javier</t>
  </si>
  <si>
    <t>Mining the text of online consumer reviews to analyze brand image and brand positioning</t>
  </si>
  <si>
    <t>JOURNAL OF RETAILING AND CONSUMER SERVICES</t>
  </si>
  <si>
    <t>eWOM; Online reviews; Text mining; Brand positioning</t>
  </si>
  <si>
    <t>WORD-OF-MOUTH; PURCHASE INTENTION; CONCEPT MAPS; EQUITY; INFORMATION; PRODUCTS; SATISFACTION; METHODOLOGY; PERSPECTIVE; ATTRIBUTES</t>
  </si>
  <si>
    <t>The growth of the Internet has led to massive availability of online consumer reviews. So far, papers studying online reviews have mainly analysed how non-textual features, such as ratings and volume, influence different types of consumer behavior, such as information adoption decisions or product choices. However, little attention has been paid to examining the textual aspects of online reviews in order to study brand image and brand positioning. The text analysis of online reviews inevitably raises the concept of text mining; that is, the process of extracting useful and meaningful information from unstructured text. This research proposes an unified, structured and easy-to-implement procedure for the text analysis of online reviews with the ultimate goal of studying brand image and brand positioning. The text mining analysis is based on a lexicon-based approach, the Linguistic Inquiry and Word Count (Pennebaker et al., 2007), which provides the researcher with insights into emotional and psychological brand associations.</t>
  </si>
  <si>
    <t>[Alzate, Miriam; Arce-Urriza, Marta; Cebollada, Javier] Univ Publ Navarra, Pamplona, Spain</t>
  </si>
  <si>
    <t>Universidad Publica de Navarra</t>
  </si>
  <si>
    <t>Alzate, M (corresponding author), Campus Arrosadia S-N, Pamplona 31006, Navarra, Spain.</t>
  </si>
  <si>
    <t>miriam.alzate@unavarra.es; marta.arce@unavarra.es; cebollada@unavarra.es</t>
  </si>
  <si>
    <t>Cebollada, Javier/C-9436-2009</t>
  </si>
  <si>
    <t>Cebollada, Javier/0000-0001-8645-0456; Arce Urriza, Marta/0000-0002-5095-3788; Alzate, Miriam/0000-0003-4414-3030</t>
  </si>
  <si>
    <t>Spanish Ministry of Economy, Industry and Competitivity [ECO2015-65393-R]; Government of Spain Ministry of Science, Innovation and Universities [ID2019-108554RB-I00]</t>
  </si>
  <si>
    <t>Spanish Ministry of Economy, Industry and Competitivity(Spanish Government); Government of Spain Ministry of Science, Innovation and Universities</t>
  </si>
  <si>
    <t>This work was supported by the Spanish Ministry of Economy, Industry and Competitivity [grant number: ECO2015-65393-R] and by the Government of Spain Ministry of Science, Innovation and Universities Grant numbers: ID2019-108554RB-I00.</t>
  </si>
  <si>
    <t>0969-6989</t>
  </si>
  <si>
    <t>1873-1384</t>
  </si>
  <si>
    <t>J RETAIL CONSUM SERV</t>
  </si>
  <si>
    <t>J. Retail. Consum. Serv.</t>
  </si>
  <si>
    <t>10.1016/j.jretconser.2022.102989</t>
  </si>
  <si>
    <t>1D2WJ</t>
  </si>
  <si>
    <t>WOS:000793665600001</t>
  </si>
  <si>
    <t>SCOTT, LM</t>
  </si>
  <si>
    <t>THE BRIDGE FROM TEXT TO MIND - ADAPTING READER-RESPONSE THEORY TO CONSUMER RESEARCH</t>
  </si>
  <si>
    <t>LITERARY-CRITICISM; MODERATING ROLE; INFORMATION; INVOLVEMENT; ADVERTISEMENTS; DRAMA; ADS; MISCOMPREHENSION; COMMUNICATION; STRATEGIES</t>
  </si>
  <si>
    <t>Consumer research on advertising response has gradually separated the act of reading an ad from the acquisition of brand information. Because the advertising text is the pathway through which brand information is accessed, current models truncate the process that leads to response in a way that distorts our view of both advertising and the mind that reads it. This author proposes that reader-response theory would help researchers study the process of reading as an essential link between advertising text and consumer response. Reader-response theory is a movement within literary criticism that emphasizes the study of reading over formal textual analysis.</t>
  </si>
  <si>
    <t>SCOTT, LM (corresponding author), UNIV ILLINOIS,COLL COMMUN,119 GREGORY HALL,URBANA,IL 61801, USA.</t>
  </si>
  <si>
    <t>10.1086/209411</t>
  </si>
  <si>
    <t>PZ081</t>
  </si>
  <si>
    <t>WOS:A1994PZ08100006</t>
  </si>
  <si>
    <t>Chatterjee, S; Mukherjee, S; Datta, B</t>
  </si>
  <si>
    <t>Chatterjee, Swagato; Mukherjee, Srabanti; Datta, Biplab</t>
  </si>
  <si>
    <t>Influence of prior reviews about a firm and its alliance partners on reviewers' feedback: evidence from the airline industry</t>
  </si>
  <si>
    <t>JOURNAL OF SERVICE THEORY AND PRACTICE</t>
  </si>
  <si>
    <t>Customer satisfaction; Recommendation; Prior reviews; Alliance; Text mining</t>
  </si>
  <si>
    <t>Purpose The purpose of this study is to explore the impact of other customer's opinion on a service firm and its alliance on the evaluation of the airline by the focal customer by integrating qualitative and quantitative user-generated content. The study also explores the relative importance of core and peripheral attributes in consumer evaluations. Design/methodology/approach A text mining and natural language processing-based approach was followed to extract insights from the qualitative part of 18,457 consumer reviews, which were later analyzed along with the quantitative information obtained from the reviews using linear regression and logistic regression methods. Findings The authors found that customer satisfaction and recommendation behavior is formed by own and others' opinion about the airline and alliance. The relative importance of the core and peripheral attributes depends on the psychological distance from the evaluation of the attribute. Research limitations/implications The theoretical contribution and managerial implications have been discussed in detail. Practical implications It helps in review management strategy, service design strategy and the alliance and partnership strategies of the airlines. Originality/value This is the first paper that explores the impact attribute-level evaluations found in prior reviews on the future reviews of customers. It also explores the effect of prior reviews in the context of a service business and its alliances.</t>
  </si>
  <si>
    <t>[Chatterjee, Swagato; Mukherjee, Srabanti; Datta, Biplab] Indian Inst Technol Kharagpur, Vinod Gupta Sch Management, Kharagpur, W Bengal, India</t>
  </si>
  <si>
    <t>Indian Institute of Technology System (IIT System); Indian Institute of Technology (IIT) - Kharagpur</t>
  </si>
  <si>
    <t>Chatterjee, S (corresponding author), Indian Inst Technol Kharagpur, Vinod Gupta Sch Management, Kharagpur, W Bengal, India.</t>
  </si>
  <si>
    <t>swagato1987@gmail.com; srabanti@vgsom.iitkgp.ac.in; bd@vgsom.iitkgp.ac.in</t>
  </si>
  <si>
    <t>Freienberg, Selina/AAV-8829-2021</t>
  </si>
  <si>
    <t>Chatterjee, Swagato/0000-0002-3907-3528</t>
  </si>
  <si>
    <t>2055-6225</t>
  </si>
  <si>
    <t>J SERV THEOR PRACT</t>
  </si>
  <si>
    <t>J. Serv. Theory Pract.</t>
  </si>
  <si>
    <t>APR 20</t>
  </si>
  <si>
    <t>10.1108/JSTP-06-2020-0139</t>
  </si>
  <si>
    <t>FEB 2021</t>
  </si>
  <si>
    <t>RZ5BY</t>
  </si>
  <si>
    <t>WOS:000621920900001</t>
  </si>
  <si>
    <t>Wu, LW; Dodoo, NA; Wen, TJ; Ke, L</t>
  </si>
  <si>
    <t>INTERNATIONAL JOURNAL OF ADVERTISING</t>
  </si>
  <si>
    <t>Artificial intelligence (AI); Twitter; topic modeling; sentiment analysis; big data</t>
  </si>
  <si>
    <t>PSYCHOLOGY; PROXY</t>
  </si>
  <si>
    <t>Artificial intelligence (AI) has been widely applied in the advertising industry and attracted increasing attention from advertising scholars. However, the general public's perceptions of AI in advertising have been relatively neglected within the current literature. In this study, we analyzed people's posts on Twitter about AI in advertising using natural language processing. Specifically, we conducted topic modeling and sentiment analysis in the Python environment to identify the most salient topics on this issue and the sentiment of these topics. We discovered that what people posted on Twitter about AI in advertising fell into eight different clusters, with the most positive topic being AI-powered marketing tools and the most negative topic being AI's involvement in social media campaigns. We believe the findings of this study provide meaningful implications for academic research of AI advertising as well as the implementation of AI in advertising practice.</t>
  </si>
  <si>
    <t>[Wu, Linwan; Wen, Taylor Jing] Univ South Carolina, Sch Journalism &amp; Mass Commun, Coll Informat &amp; Commun, 800 Sumter St,Room 328, Columbia, SC 29208 USA; [Dodoo, Naa Amponsah] Emerson Coll, Mkt Commun Dept, Boston, MA 02116 USA</t>
  </si>
  <si>
    <t>University of South Carolina System; University of South Carolina Columbia</t>
  </si>
  <si>
    <t>Wu, LW (corresponding author), Univ South Carolina, Sch Journalism &amp; Mass Commun, Coll Informat &amp; Commun, 800 Sumter St,Room 328, Columbia, SC 29208 USA.</t>
  </si>
  <si>
    <t>linwanwu@mailbox.sc.edu</t>
  </si>
  <si>
    <t>Wu, Linwan/0000-0002-5294-3559</t>
  </si>
  <si>
    <t>0265-0487</t>
  </si>
  <si>
    <t>1759-3948</t>
  </si>
  <si>
    <t>INT J ADVERT</t>
  </si>
  <si>
    <t>Int. J. Advert.</t>
  </si>
  <si>
    <t>MAY 19</t>
  </si>
  <si>
    <t>10.1080/02650487.2021.1920218</t>
  </si>
  <si>
    <t>1N5EP</t>
  </si>
  <si>
    <t>WOS:000648460300001</t>
  </si>
  <si>
    <t>Li, J; McCrary, R</t>
  </si>
  <si>
    <t>Li, Jia; McCrary, Rachel</t>
  </si>
  <si>
    <t>Consumer communications and current events: a cross-cultural study of the change in consumer response to company social media posts due to the COVID-19 pandemic</t>
  </si>
  <si>
    <t>JOURNAL OF MARKETING ANALYTICS</t>
  </si>
  <si>
    <t>COVID-19; Consumer communications; Social media marketing; Cross-cultural study; Machine learning; Sentiment analysis; Regression discontinuity analysis</t>
  </si>
  <si>
    <t>REACTANCE</t>
  </si>
  <si>
    <t>The COVID-19 pandemic has changed the lives of consumers in virtually every nation. Based upon the theory of psychological reactance and psychoevolutionary theory of emotion, we hypothesize how such lifestyle changes affect consumers perceiving and responding to companies' communications messages. The theories also suggest that consumers in different cultures may respond to COVID-19 differently. To test our hypotheses, we implemented a Python scraper to collect companies' Instagram posts pre- and during the COVID-19 lockdown. A machine learning algorithm was applied on the collected post photos to automatically identify certain photo characteristics, such as indoor versus outdoor, and with a single person versus many people; a text mining and sentiment analysis was implemented on the collected post captions to identify the salient emotion each caption exhibited, such as joy and anticipation. After that, we conducted a regression discontinuity analysis of photo characteristics or caption emotion on number of likes or comments to identify consumers' response change due to the COVID-19 pandemic. The estimation results supported our hypotheses and suggested tactics that could improve consumer communications effectiveness in this changed time. Viewing COVID-19 as an example of a current event in the ever-changing world, this paper suggests that such events could impact consumer response and behavior, and that companies' marketing and advertising strategies should be responsive to such events.</t>
  </si>
  <si>
    <t>[Li, Jia] Wake Forest Univ, Sch Business, 1834 Wake Forest Rd, Winston Salem, NC 27106 USA; [McCrary, Rachel] Capco Consulting, 128 S Tryon St, Charlotte, NC 28202 USA</t>
  </si>
  <si>
    <t>Wake Forest University</t>
  </si>
  <si>
    <t>Li, J (corresponding author), Wake Forest Univ, Sch Business, 1834 Wake Forest Rd, Winston Salem, NC 27106 USA.</t>
  </si>
  <si>
    <t>lijia@wfu.edu; rachellynn.mccrary@gmail.com</t>
  </si>
  <si>
    <t>PALGRAVE MACMILLAN LTD</t>
  </si>
  <si>
    <t>BASINGSTOKE</t>
  </si>
  <si>
    <t>BRUNEL RD BLDG, HOUNDMILLS, BASINGSTOKE RG21 6XS, HANTS, ENGLAND</t>
  </si>
  <si>
    <t>2050-3318</t>
  </si>
  <si>
    <t>2050-3326</t>
  </si>
  <si>
    <t>J MARK ANAL</t>
  </si>
  <si>
    <t>J. Market. Anal.</t>
  </si>
  <si>
    <t>10.1057/s41270-021-00138-3</t>
  </si>
  <si>
    <t>NOV 2021</t>
  </si>
  <si>
    <t>1L4FV</t>
  </si>
  <si>
    <t>WOS:000716233500001</t>
  </si>
  <si>
    <t>Sohrabi, B; Vanani, IR; Nasiri, N; Rudd, AG</t>
  </si>
  <si>
    <t>Sohrabi, Babak; Vanani, Iman Raeesi; Nasiri, Narges; Rudd, Armin Ghassemi</t>
  </si>
  <si>
    <t>A predictive model of tourist destinations based on tourists' comments and interests using text analytics</t>
  </si>
  <si>
    <t>TOURISM MANAGEMENT PERSPECTIVES</t>
  </si>
  <si>
    <t>Tourism; Data mining; Text mining; Predictive analysis; Iran</t>
  </si>
  <si>
    <t>SMART</t>
  </si>
  <si>
    <t>Data provided by tourists always benefit tourism managers and help them offer customized services, products and destinations to future travelers. This research investigates the effect of interests on Iranian outbound tourists, especially their selection of a destination and then, using text and data mining algorithms, it introduces a model to predict tourists' destinations based on their interests and travel backgrounds. In the current study, a dataset of 244,980 travels, consisting of 6661 people, was extracted from social media to discover the relationship between tourists' interests and travel destinations. Hence, it represents a model that is created using data and text mining from travel agencies to design their marketing plans by offering and advertising destinations to travelers with specific interest categories. The model has also shown promising accuracy and interesting results for the future tourist destination data and text analysis.</t>
  </si>
  <si>
    <t>[Sohrabi, Babak; Nasiri, Narges; Rudd, Armin Ghassemi] Univ Tehran, Dept Informat Technol Management, Jalal Al Ahmad St,POB 14155-6311, Tehran, Iran; [Vanani, Iman Raeesi] Allameh Tabatabai Univ, Fac Management &amp; Accounting, Tehran, Iran</t>
  </si>
  <si>
    <t>University of Tehran; Allameh Tabataba'i University</t>
  </si>
  <si>
    <t>Sohrabi, B (corresponding author), Univ Tehran, Dept Informat Technol Management, Jalal Al Ahmad St,POB 14155-6311, Tehran, Iran.</t>
  </si>
  <si>
    <t>bsohrabi@ut.ac.ir</t>
  </si>
  <si>
    <t>Raeesi Vanani, Iman/ABE-7788-2021; Raeesi Vanani, Iman/GQP-7444-2022</t>
  </si>
  <si>
    <t>Raeesi Vanani, Iman/0000-0001-8324-9896; Ghassemi Rudd, Armin/0000-0002-9679-6618</t>
  </si>
  <si>
    <t>2211-9736</t>
  </si>
  <si>
    <t>2211-9744</t>
  </si>
  <si>
    <t>TOUR MANAG PERSPECT</t>
  </si>
  <si>
    <t>Tour. Manag. Perspect.</t>
  </si>
  <si>
    <t>10.1016/j.tmp.2020.100710</t>
  </si>
  <si>
    <t>Hospitality, Leisure, Sport &amp; Tourism; Management</t>
  </si>
  <si>
    <t>Social Sciences - Other Topics; Business &amp; Economics</t>
  </si>
  <si>
    <t>MT4DA</t>
  </si>
  <si>
    <t>WOS:000554917500011</t>
  </si>
  <si>
    <t>Mangio, F; Pedeliento, G; Andreini, D</t>
  </si>
  <si>
    <t>Mangio, Federico; Pedeliento, Giuseppe; Andreini, Daniela</t>
  </si>
  <si>
    <t>Branding Rhetoric in Times of a Global Pandemic: A Text-Mining Analysis</t>
  </si>
  <si>
    <t>JOURNAL OF ADVERTISING</t>
  </si>
  <si>
    <t>INSTITUTIONAL LOGICS; CONSUMER ENGAGEMENT; SOCIAL-MEDIA; ORGANIZATIONS; STRATEGIES; EDUCATION; TWITTER; POWER; WORD</t>
  </si>
  <si>
    <t>As the Covid-19 pandemic unfolded, academics and practitioners alike wondered how and to what extent brands should adapt their advertising and communication efforts to remain resonant and to engage their audiences. Gathering and processing a unique data set composed of about 12,000 tweets of 76 leading brands associated with seven Italian industries, this research examines how rhetorical appeals that brands adopted evolved on Twitter during the pandemic. Theoretically, the research is grounded on an institutional logic perspective and resorts to the Aristotelian categories of logos, ethos, and pathos to make sense of the rhetorical appeals brands adopted. Methodologically, we relied on the most recent text-mining protocols in marketing studies. Our analyses outline that during the lockdown brands resorted to emotive appeals characterized by intense ethical and social overtones. Regarding consumers' response in their social media engagement, we find they appreciated this strategy the brands followed.</t>
  </si>
  <si>
    <t>[Mangio, Federico; Pedeliento, Giuseppe; Andreini, Daniela] Univ Bergamo, Bergamo, Italy</t>
  </si>
  <si>
    <t>University of Bergamo</t>
  </si>
  <si>
    <t>Pedeliento, G (corresponding author), Univ Bergamo, Dept Management, Via Caniana 2, I-24127 Bergamo, Italy.</t>
  </si>
  <si>
    <t>giuseppe.pedeliento@unibg.it</t>
  </si>
  <si>
    <t>Mangio, Federico/0000-0003-3997-4956</t>
  </si>
  <si>
    <t>0091-3367</t>
  </si>
  <si>
    <t>1557-7805</t>
  </si>
  <si>
    <t>J ADVERTISING</t>
  </si>
  <si>
    <t>J. Advert.</t>
  </si>
  <si>
    <t>JUL 21</t>
  </si>
  <si>
    <t>10.1080/00913367.2021.1927912</t>
  </si>
  <si>
    <t>MAY 2021</t>
  </si>
  <si>
    <t>TP3DC</t>
  </si>
  <si>
    <t>WOS:000657949500001</t>
  </si>
  <si>
    <t>Mahmoud, AB; Hack-Polay, D; Grigoriou, N; Mohr, I; Fuxman, L</t>
  </si>
  <si>
    <t>Mahmoud, Ali B.; Hack-Polay, Dieu; Grigoriou, Nicholas; Mohr, Iris; Fuxman, Leonora</t>
  </si>
  <si>
    <t>A generational investigation and sentiment and emotion analyses of female fashion brand users on Instagram in Sub-Saharan Africa</t>
  </si>
  <si>
    <t>JOURNAL OF BRAND MANAGEMENT</t>
  </si>
  <si>
    <t>Social media marketing analytics; Instagram; Fashion; Attitudes; Consumer behaviour; Emotion analysis; Sentiment analysis; Female consumers; Sub-Saharan Africa</t>
  </si>
  <si>
    <t>SOCIAL MEDIA; PERCEIVED USEFULNESS; OPINION LEADERS; PARTICIPATION; INTENTION; ADOPTION; SATISFACTION; ANTECEDENTS; ACCEPTANCE; FOLLOWERS</t>
  </si>
  <si>
    <t>Renewed interest in gender-sensitive studies focussing on fashion brands marketing communications across diverse cultures and generational cohorts of consumers has heightened the need for uniqueness when developing marketing strategies for fashion brands in both domestic and international markets. Following that, we surveyed 1,329 Sub-Saharan African female Instagram users to investigate the mediating role of consumer satisfaction concerning the relationships between perceived usefulness, enjoyment and intentions to follow and recommend brands' Instagram accounts and their invariance across three generations. We tested hypotheses using the Partial-Least-Squares Structural Equation Modelling and conducted emotion and sentiment analyses. We found that satisfaction fully translates the positivity of usefulness and enjoyments into higher intention to follow and recommend amongst the female Instagram users surveyed. Usefulness effects on satisfaction are more intense amongst Generation X. However, Generation Z developed a stronger intention to follow. Generations Y and Z are more likely to recommend than Generation X based on a positive experience. Satisfaction is a stronger transmitter of usefulness indirect effects onto following intentions amongst Generation X than its descendants who express intention to recommend due to indirect enjoyment effects conveyed via satisfaction. Finally, sentiment and emotion analyses of the users' comments were reported using a natural language-processing method. [GRAPHICS] .</t>
  </si>
  <si>
    <t>[Mahmoud, Ali B.; Mohr, Iris; Fuxman, Leonora] St Johns Univ, New York, NY 11439 USA; [Mahmoud, Ali B.] Univ Wales Trinity St David, London, England; [Hack-Polay, Dieu] Crandall Univ, Crandall, NB, Canada; [Hack-Polay, Dieu] Univ Lincoln, Lincoln, England; [Grigoriou, Nicholas] Monash Univ, Clayton, Vic, Australia</t>
  </si>
  <si>
    <t>Saint John's University; University of Lincoln; Monash University</t>
  </si>
  <si>
    <t>Mahmoud, AB (corresponding author), St Johns Univ, New York, NY 11439 USA.;Mahmoud, AB (corresponding author), Univ Wales Trinity St David, London, England.</t>
  </si>
  <si>
    <t>elguitarrista@live.com</t>
  </si>
  <si>
    <t>Mahmoud, Ali B./B-9178-2012; MAHMOUD, ALI/HNO-9565-2023</t>
  </si>
  <si>
    <t xml:space="preserve">Mahmoud, Ali B./0000-0002-3790-1107; </t>
  </si>
  <si>
    <t>1350-231X</t>
  </si>
  <si>
    <t>1479-1803</t>
  </si>
  <si>
    <t>J BRAND MANAG</t>
  </si>
  <si>
    <t>J. Brand Manag.</t>
  </si>
  <si>
    <t>10.1057/s41262-021-00244-8</t>
  </si>
  <si>
    <t>TS1QC</t>
  </si>
  <si>
    <t>WOS:000663498200002</t>
  </si>
  <si>
    <t>Joshi, Yogesh/GVU-0157-2022; Kannan, Pallassana K/D-8192-2011; Joshi, Yogesh V./AAT-5949-2020</t>
  </si>
  <si>
    <t>Garner, B; Thornton, C; Pawluk, AL; Cortez, RM; Johnston, W; Ayala, C</t>
  </si>
  <si>
    <t>Garner, Benjamin; Thornton, Corliss; Pawluk, Anita Luo; Cortez, Roberto Mora; Johnston, Wesley; Ayala, Cesar</t>
  </si>
  <si>
    <t>Utilizing text-mining to explore consumer happiness within tourism destinations</t>
  </si>
  <si>
    <t>Happiness; Travel; Text mining; Consumer behavior; Well-being; Sentiment analysis</t>
  </si>
  <si>
    <t>ONLINE REVIEWS; IF MONEY; EXPERIENCES; HAPPY; CONSUMPTION; PURSUIT; SOCIETY</t>
  </si>
  <si>
    <t>Under growing pressure to demonstrate its societal value, marketing research has the opportunity to focus more on increasing our understanding of consumer happiness. The present research uses topic modeling to interpret and categorize comments from Yelp.com reviews about travel dimensions. In addition, sentiment analysis was used to capture the number of positive and negative words in each review. The data analysis is used to extract and explore the dominant consumer emotions surrounding travel. This research contributes to the practice of marketing and society more broadly by providing an understanding of how memorable experiences are shaped in the travel context and also by demonstrating how machine learning (text mining) can help better understand concepts relating to consumer happiness and well-being.</t>
  </si>
  <si>
    <t>[Garner, Benjamin] Univ Cent Arkansas, Conway, AR USA; [Thornton, Corliss; Johnston, Wesley] Georgia State Univ, Atlanta, GA USA; [Cortez, Roberto Mora] Univ Southern Denmark, Odense, Denmark; [Ayala, Cesar] Univ North Georgia, Dahlonega, GA USA</t>
  </si>
  <si>
    <t>University of Central Arkansas; University System of Georgia; Georgia State University; University of Southern Denmark; University of North Georgia</t>
  </si>
  <si>
    <t>Garner, B (corresponding author), Univ Cent Arkansas, Conway, AR USA.</t>
  </si>
  <si>
    <t>bgarner3@uca.edu</t>
  </si>
  <si>
    <t>Mora Cortez, Roberto/0000-0002-2962-2159</t>
  </si>
  <si>
    <t>10.1016/j.jbusres.2021.08.025</t>
  </si>
  <si>
    <t>0J6EX</t>
  </si>
  <si>
    <t>WOS:000780197800002</t>
  </si>
  <si>
    <t>Kim, M; Xiong, GY; Kim, KH</t>
  </si>
  <si>
    <t>Kim, MinChung; Xiong, Guiyang; Kim, Kwang-Ho</t>
  </si>
  <si>
    <t>Where does pride lead? Corporate managerial hubris and strategic emphasis</t>
  </si>
  <si>
    <t>Corporate managerial hubris; Advertising; R&amp;d; Strategic emphasis</t>
  </si>
  <si>
    <t>RESEARCH-AND-DEVELOPMENT; TOP-MANAGEMENT-TEAM; MODERATING ROLE; VALUE CREATION; STOCK-MARKET; RISK-TAKING; FINANCIAL PERFORMANCE; PRODUCT PERFORMANCE; SPENDING DECISIONS; CEO OVERCONFIDENCE</t>
  </si>
  <si>
    <t>A firm's strategic emphasis on value creation versus appropriation, which is typically reflected in its resource allocation between R&amp;D and advertising, is a central corporate decision that significantly influences financial performance. However, the drivers of such decisions remain underexplored. This study identifies a significant predictor of strategic emphasis, namely, corporate managerial hubris, and reveals some of its boundary conditions. Leveraging a unique dataset based on text mining of press releases issued by over 400 firms across 13 years, the authors demonstrate that high corporate managerial hubris predicts low strategic emphasis on advertising relative to R&amp;D. However, this effect is mitigated significantly by firm maturity, corporate governance, and industry-level strategic emphasis. The results provide novel insights into the effects of hubris on firm spending, the situations wherein marketing decisions tend to be subject to managers' psychological bias, the means of preventing over- or under-investment in marketing strategy, and the recruitment and training of managers.</t>
  </si>
  <si>
    <t>[Kim, MinChung] Ulsan Natl Univ Sci &amp; Technol UNIST, Sch Business Adm, 50 UNIST Gil, Ulsan 44919, South Korea; [Xiong, Guiyang] Syracuse Univ, Whitman Sch Management, 721 Univ Ave, Syracuse, NY 13244 USA; [Kim, Kwang-Ho] Hankuk Univ Foreign Studies, Coll Business, 107 Imun Ro, Seoul 02450, South Korea</t>
  </si>
  <si>
    <t>Ulsan National Institute of Science &amp; Technology (UNIST); Syracuse University; Hankuk University Foreign Studies</t>
  </si>
  <si>
    <t>Kim, M (corresponding author), Ulsan Natl Univ Sci &amp; Technol UNIST, Sch Business Adm, 50 UNIST Gil, Ulsan 44919, South Korea.</t>
  </si>
  <si>
    <t>mckim@unist.ac.kr; gy.xiong@gmail.com; khkim19@hufs.ac.kr</t>
  </si>
  <si>
    <t>UNIST (Ulsan National Institute of Science and Technology) [1.170022.01]; Hankuk University of Foreign Studies Research Fund; University of Massachusetts Boston</t>
  </si>
  <si>
    <t>UNIST (Ulsan National Institute of Science and Technology); Hankuk University of Foreign Studies Research Fund; University of Massachusetts Boston</t>
  </si>
  <si>
    <t>This work was supported by the 2017 Research Fund (1.170022.01) of UNIST (Ulsan National Institute of Science and Technology) and Hankuk University of Foreign Studies Research Fund of 2016. Xiong would like to acknowledge research support from the University of Massachusetts Boston.</t>
  </si>
  <si>
    <t>10.1007/s11747-017-0547-4</t>
  </si>
  <si>
    <t>GD7FX</t>
  </si>
  <si>
    <t>WOS:000430677000010</t>
  </si>
  <si>
    <t>Moro, S; Pires, G; Rita, P; Cortez, P</t>
  </si>
  <si>
    <t>Moro, Sergio; Pires, Guilherme; Rita, Paulo; Cortez, Paulo</t>
  </si>
  <si>
    <t>A cross-cultural case study of consumers' communications about a new technological product</t>
  </si>
  <si>
    <t>Standardisation and adaptation; New technological product; Social media; Cosmopolitanism; Text mining; Topic modelling</t>
  </si>
  <si>
    <t>SOCIAL MEDIA; BRAND; INTERNET; SAMSUNG; IMPACT</t>
  </si>
  <si>
    <t>Using a case-study based approach, this research contributes to the standardisation versus adaptation debate in global marketing. It analyses the influence of the local culture dimension reflected in consumers' comments in the Facebook platform regarding a new global technological product, the Samsung Galaxy S8/S8+, launched worldwide in 2017. Consumers' comments about this new smartphone were gathered and analysed for three cultural distinct English-speaking countries: Australia, India, and South Africa. The analysis' procedure consisted of a text mining and topic modelling approach, including sentiment classification analysis, to discern and understand consumers' responses to global brand communications. The findings indicate that cultural aspects still play a key role in consumers' reactions to the product in each country, justifying the continued need for marketing strategies that conflate pursuing economies of scale with accounting for the cultural sensitivities of demand at country level. Evidence of consumers attitudes' and behaviours' homogenisation across countries is still limited.</t>
  </si>
  <si>
    <t>[Moro, Sergio] Inst Univ Lisboa ISCTE IUL, ISTAR IUL, Lisbon, Portugal; [Pires, Guilherme] Univ Newcastle, Newcastle Business Sch, Fac Business &amp; Law, Callaghan, NSW, Australia; [Rita, Paulo] Inst Univ Lisboa ISCTE IUL, CIS IUL, Lisbon, Portugal; [Rita, Paulo] Univ Nova Lisboa, NOVA Informat Management Sch NOVA IMS, Campus Campolide, P-1070312 Lisbon, Portugal; [Cortez, Paulo] Univ Minho, ALGORITMI Res Ctr, Braga, Portugal</t>
  </si>
  <si>
    <t>Instituto Universitario de Lisboa; University of Newcastle; Instituto Universitario de Lisboa; Universidade Nova de Lisboa; Universidade do Minho</t>
  </si>
  <si>
    <t>Moro, S (corresponding author), Av Forcas Armadas, P-1649026 Lisbon, Portugal.</t>
  </si>
  <si>
    <t>scmoro@gmail.com</t>
  </si>
  <si>
    <t>Cortez, Paulo/A-2674-2008; Moro, Sergio/N-9124-2015; Rita, Paulo/T-2950-2017</t>
  </si>
  <si>
    <t>Cortez, Paulo/0000-0002-7991-2090; Moro, Sergio/0000-0002-4861-6686; Rita, Paulo/0000-0001-6050-9958</t>
  </si>
  <si>
    <t>10.1016/j.jbusres.2018.08.009</t>
  </si>
  <si>
    <t>OU4NP</t>
  </si>
  <si>
    <t>WOS:000591506300011</t>
  </si>
  <si>
    <t>Huang, LJ; Mou, J; See-To, EWK; Kim, J</t>
  </si>
  <si>
    <t>Huang, Lijuan; Mou, Jian; See-To, Eric W. K.; Kim, Jongki</t>
  </si>
  <si>
    <t>Consumer perceived value preferences for mobile marketing in China: A mixed method approach</t>
  </si>
  <si>
    <t>Consumer perceived value; Mobile marketing; Value dimensions; WeChat official account; Mixed method</t>
  </si>
  <si>
    <t>PURCHASE INTENTION; CUSTOMER VALUE; HEDONIC VALUE; WORST; INFORMATION; CONSUMPTION; UTILITARIAN; LOYALTY; PERCEPTIONS; QUALITY</t>
  </si>
  <si>
    <t>This study aimed to identify a new framework for consumer perceived value (CPV) and evaluate the dynamics of relative importance of different dimensions of CPV in the context of mobile marketing. Laddering interviews were conducted to capture the essence of CPVs, and then text-mining techniques were applied to extract key consumer values from the interviews. Six dimensions of CPV, namely, design, emotional, functional, monetary, guarantee, and social, were identified. The construct validity of these six dimensions was demonstrated through a rigorous sorting process. A best-worst scaling (BWS) survey was then implemented based on these six value dimensions to investigate consumers' preference for each dimension in three critical decision-making phases of mobile marketing campaigns. Statistical analysis of the BWS data showed that significant dynamic differences exist among these six value dimensions in each phase. Gender difference and consumer heterogeneity were also presented. Theoretical and managerial implications were discussed.</t>
  </si>
  <si>
    <t>[Huang, Lijuan; Mou, Jian] Xidian Univ, Sch Econ &amp; Management, 266 Xingiong Sect Xifeng Rd, Xian 710126, Shaanxi, Peoples R China; [See-To, Eric W. K.] Lingnan Univ, Dept Comp &amp; Decis Sci, Tuen Mun, 8 Castle Peak Rd, Hong Kong, Peoples R China; [Kim, Jongki] Pusan Natl Univ, Coll Business Adm, 40 Jang Jeon Dong, Busan 46241, South Korea</t>
  </si>
  <si>
    <t>Xidian University; Lingnan University; Pusan National University</t>
  </si>
  <si>
    <t>Mou, J (corresponding author), Xidian Univ, Sch Econ &amp; Management, 266 Xingiong Sect Xifeng Rd, Xian 710126, Shaanxi, Peoples R China.</t>
  </si>
  <si>
    <t>ljhuang@xidian.edu.cn; jian.mou@xidian.edu.cn; eric.seeto@gmail.com; jkkim1@pusan.ac.kr</t>
  </si>
  <si>
    <t>Chinese Ministry of Education Key Research Institute of Humanities and Social Sciences Project [16YJC630038]; National Natural Science Foundation of China [71502132, 71602009]</t>
  </si>
  <si>
    <t>Chinese Ministry of Education Key Research Institute of Humanities and Social Sciences Project; National Natural Science Foundation of China(National Natural Science Foundation of China (NSFC))</t>
  </si>
  <si>
    <t>This work was supported by the Chinese Ministry of Education Key Research Institute of Humanities and Social Sciences Project (grant number 16YJC630038) and partly supported by the National Natural Science Foundation of China (grant numbers 71502132 and 71602009).</t>
  </si>
  <si>
    <t>10.1016/j.jretconser.2019.02.007</t>
  </si>
  <si>
    <t>HO4WX</t>
  </si>
  <si>
    <t>WOS:000460925300008</t>
  </si>
  <si>
    <t>Wetzels, Martin/AAA-9399-2019; Grewal, Dhruv/B-7264-2013; de Ruyter, Ko/AAA-9850-2021</t>
  </si>
  <si>
    <t>Tsao, HY; Chen, MY; Campbell, C; Sands, S</t>
  </si>
  <si>
    <t>Tsao, Hsiu-Yuan; Chen, Ming-Yi; Campbell, Colin; Sands, Sean</t>
  </si>
  <si>
    <t>Estimating numerical scale ratings from text-based service reviews</t>
  </si>
  <si>
    <t>JOURNAL OF SERVICE MANAGEMENT</t>
  </si>
  <si>
    <t>Services quality; Machine learning; Text mining; Sentiment analysis</t>
  </si>
  <si>
    <t>WORD-OF-MOUTH; SENTIMENT ANALYSIS; CONCEPTUAL-MODEL; ONLINE REVIEWS; SATISFACTION; QUALITY; SYSTEMS; TRENDS; TRUST</t>
  </si>
  <si>
    <t>Purpose This paper develops a generalizable, machine-learning-based method for measuring established marketing constructs using passive analysis of consumer-generated textual data from service reviews. The method is demonstrated using topic and sentiment analysis along dimensions of an existing scale: lodging quality index (LQI). Design/methodology/approach The method induces numerical scale ratings from text-based data such as consumer reviews. This is accomplished by automatically developing a dictionary from words within a set of existing scale items, rather a more manual process. This dictionary is used to analyze textual consumer review data, inducing topic and sentiment along various dimensions. Data produced is equivalent with Likert scores. Findings Paired t-tests reveal that the text analysis technique the authors develop produces data that is equivalent to Likert data from the same individual. Results from the authors' second study apply the method to real-world consumer hotel reviews. Practical implications Results demonstrate a novel means of using natural language processing in a way to complement or replace traditional survey methods. The approach the authors outline unlocks the ability to rapidly and efficiently analyze text in terms of any existing scale without the need to first manually develop a dictionary. Originality/value The technique makes a methodological contribution by outlining a new means of generating scale-equivalent data from text alone. The method has the potential to both unlock entirely new sources of data and potentially change how service satisfaction is assessed and opens the door for analysis of text in terms of a wider range of constructs.</t>
  </si>
  <si>
    <t>[Tsao, Hsiu-Yuan; Chen, Ming-Yi] Natl Chung Hsing Univ, Taichung, Taiwan; [Campbell, Colin] Univ San Diego, San Diego, CA 92110 USA; [Sands, Sean] Swinburne Univ Technol, Melbourne, Vic, Australia</t>
  </si>
  <si>
    <t>National Chung Hsing University; University of San Diego; Swinburne University of Technology</t>
  </si>
  <si>
    <t>Campbell, C (corresponding author), Univ San Diego, San Diego, CA 92110 USA.</t>
  </si>
  <si>
    <t>colincampbell@sandiego.edu</t>
  </si>
  <si>
    <t>Campbell, Colin/AAF-4998-2021</t>
  </si>
  <si>
    <t>Campbell, Colin/0000-0002-6218-0866; Chen, Ming Yi/0000-0002-8673-4077; Sands, Sean/0000-0001-9192-3676</t>
  </si>
  <si>
    <t>1757-5818</t>
  </si>
  <si>
    <t>1757-5826</t>
  </si>
  <si>
    <t>J SERV MANAGE</t>
  </si>
  <si>
    <t>J. Serv. Manage.</t>
  </si>
  <si>
    <t>10.1108/JOSM-06-2019-0167</t>
  </si>
  <si>
    <t>JUN 2020</t>
  </si>
  <si>
    <t>NW7TQ</t>
  </si>
  <si>
    <t>WOS:000537772700001</t>
  </si>
  <si>
    <t>Shumanov, M; Cooper, H; Ewing, M</t>
  </si>
  <si>
    <t>Shumanov, Michael; Cooper, Holly; Ewing, Mike</t>
  </si>
  <si>
    <t>Using AI predicted personality to enhance advertising effectiveness</t>
  </si>
  <si>
    <t>Personality; Advertising; Artificial intelligence; Machine learning; Personality traits</t>
  </si>
  <si>
    <t>CROSS-CULTURAL GENERALIZABILITY; ALTERNATIVE 5-FACTOR MODEL; ORGANIZATIONAL COMMITMENT; ARTIFICIAL-INTELLIGENCE; GENDER-DIFFERENCES; MEDIATING ROLE; TRAITS; DIMENSIONS; WORK; SIMILARITY</t>
  </si>
  <si>
    <t>Purpose The purpose of this study is twofold: first to demonstrate the application of an algorithm using contextual data to ascertain consumer personality traits; and second to explore the factors impacting the relationship between personality traits and advertisement persuasiveness. Design/methodology/approach A mixed-method approach that comprises two distinct yet complementary studies. The first uses quantitative methods and is based on a sample of 35,264 retail banking customers. Study 2 explores the findings that emerge from Study 1 using qualitative methods. Findings This paper finds that matching consumer personality with congruent advertising messages can lead to more effective consumer persuasion for most personality types. For consumers who exhibit neurotic personality traits, ameliorating perceived risks during purchasing and providing cues for social acceptance and goal attainment are important factors for advertising effectiveness. These factors also had a positive impact on the purchasing behaviour of extroverted consumers. Research limitations/implications This research focusses on understanding purchasing behaviour based on the most dominant personality trait. However, people are likely to exhibit a combination of most or even all of the Big Five personality traits. Practical implications Building on advances in natural language processing, enabling the identification of personality from language, this study demonstrates the possibility of influencing consumer behaviour by matching machine inferred personality to congruent persuasive advertising. It is one of the few studies to use contextual instead of social media data to capture individual personality. Such data serves to capture an authentic rather than contrived persona. Further, the study identifies the factors that may moderate this relationship and thereby provides an explanation of why some personality traits exhibit differences in purchasing behaviour from those that are anticipated by existing theory. Originality/value Although the idea that people are more likely to be responsive to advertising messages that are congruent with their personality type has already been successfully applied by advertising practitioners and documented by advertising scholars, this study extends existing research by identifying the factors that may moderate this relationship and thereby provides an explanation why some personality traits may exhibit differences in purchasing behaviour from those that are anticipated by existing theory.</t>
  </si>
  <si>
    <t>[Shumanov, Michael] Swinburne Univ Technol, Dept Business Technol &amp; Entrepreneurship, Melbourne, Vic, Australia; [Cooper, Holly; Ewing, Mike] Deakin Univ, Dept Mkt, Geelong, Vic, Australia</t>
  </si>
  <si>
    <t>Swinburne University of Technology; Deakin University</t>
  </si>
  <si>
    <t>Shumanov, M (corresponding author), Swinburne Univ Technol, Dept Business Technol &amp; Entrepreneurship, Melbourne, Vic, Australia.</t>
  </si>
  <si>
    <t>mshumanov@swin.edu.au; h.cooper@deakin.edu.au; michael.ewing@deakin.edu.au</t>
  </si>
  <si>
    <t>JUN 7</t>
  </si>
  <si>
    <t>10.1108/EJM-12-2019-0941</t>
  </si>
  <si>
    <t>1U5IM</t>
  </si>
  <si>
    <t>WOS:000637811700001</t>
  </si>
  <si>
    <t>Donthu, N; Kumar, S; Pattnaik, D</t>
  </si>
  <si>
    <t>Donthu, Naveen; Kumar, Satish; Pattnaik, Debidutta</t>
  </si>
  <si>
    <t>Intellectual structure and publication pattern in International Journal of Advertising: a bibliometric analysis during 1982-2019</t>
  </si>
  <si>
    <t>International Journal of Advertising; bibliometrics; bibliographic coupling; citations; Scopus</t>
  </si>
  <si>
    <t>MOUTH EWOM; CONSUMER; DEFINITION; IMPACT; MODEL</t>
  </si>
  <si>
    <t>International Journal of Advertising (IJA) publishes research on marketing communications. The journal is international in scope, presenting perspectives from academics, practitioners, and public policy makers. In the past 38 years of publishing, IJA has amassed a rich repository of management tenets pertaining to advertising. With the application of quantitative techniques, we analyze the evolution and growth of the journal and highlight its publication trend, citation structure, and authorship pattern. Furthermore, we acknowledge IJA's prominent topics and its prolific contributors and their affiliations and track the evolution of advertising research in the journal. This study groups IJA articles into seven bibliographic clusters. In addition, by text mining in R, we compare the thematic layout of IJA's clusters of articles. The study is primarily a retrospection of IJA's 38 years but also shows the way forward for the journal.</t>
  </si>
  <si>
    <t>[Donthu, Naveen] Georgia State Univ, Dept Mkt, Kenneth L Bernhardt Distinguished Dept Chair, Atlanta, GA 30303 USA; [Kumar, Satish; Pattnaik, Debidutta] Malaviya Natl Inst Technol Jaipur, Dept Management Studies, Jaipur, Rajasthan, India</t>
  </si>
  <si>
    <t>University System of Georgia; Georgia State University; National Institute of Technology (NIT System); Malaviya National Institute of Technology Jaipur</t>
  </si>
  <si>
    <t>Donthu, N (corresponding author), Georgia State Univ, Dept Mkt, Kenneth L Bernhardt Distinguished Dept Chair, Atlanta, GA 30303 USA.</t>
  </si>
  <si>
    <t>ndonthu@gsu.edu</t>
  </si>
  <si>
    <t>Pattnaik, Debidutta/GWU-6164-2022; Pattnaik, Debidutta/Q-2125-2019; KUMAR, SATISH/M-8694-2017</t>
  </si>
  <si>
    <t>Pattnaik, Debidutta/0000-0001-6180-0499; KUMAR, SATISH/0000-0001-5200-1476</t>
  </si>
  <si>
    <t>MAR 23</t>
  </si>
  <si>
    <t>10.1080/02650487.2020.1756655</t>
  </si>
  <si>
    <t>RI3SM</t>
  </si>
  <si>
    <t>WOS:000528460900001</t>
  </si>
  <si>
    <t>Zhao, SQ</t>
  </si>
  <si>
    <t>Zhao, Shaoqiong</t>
  </si>
  <si>
    <t>Thumb Up or Down? A Text-Mining Approach of Understanding Consumers through Reviews</t>
  </si>
  <si>
    <t>DECISION SCIENCES</t>
  </si>
  <si>
    <t>Decision driven; Diagnostic; Key features; Online review; Prediction; Text mining</t>
  </si>
  <si>
    <t>MANAGEMENT; INDEX</t>
  </si>
  <si>
    <t>Word of mouth has long been recognized to be an influential variable in marketing. With the growth of Internet applications, traditional word of mouth has evolved into the online form in a variety of Web-based outlets where individuals spread their perceptions via the written word. These expressions are often in the form of online reviews or assessments of products and services. In this article, we attempt to use features to represent reviews, which contain the sentiments of the consumers, and to predict the overall attitudes of online reviews of the consumers. Further, we want to look at which words are indicative/decision driven of a positive/negative attitude of the consumers, especially we want to identify a set of features which will result in a desired class-positive attitude in our case. Data was collected from a well-known web site using a WebCrawler type technique and we applied text-mining approach for the analysis. The overall results compare favorably with those from standard numeric based quantitative prediction methods. In addition, the text-mining methodology and inverse classification help us identify the key features that are related to positive/negative overall attitudes of online users. Identification of key features will be of considerable help to marketers in designing their keyword choices for more effective application of search engine marketing strategies while identification of the negative associated key words will lead to discovery of problematic areas.</t>
  </si>
  <si>
    <t>[Zhao, Shaoqiong] Carroll Univ, Sch Business, 100 N East Ave, Waukesha, WI 53186 USA</t>
  </si>
  <si>
    <t>Zhao, SQ (corresponding author), Carroll Univ, Sch Business, 100 N East Ave, Waukesha, WI 53186 USA.</t>
  </si>
  <si>
    <t>szhao@carrollu.edu</t>
  </si>
  <si>
    <t>0011-7315</t>
  </si>
  <si>
    <t>1540-5915</t>
  </si>
  <si>
    <t>DECISION SCI</t>
  </si>
  <si>
    <t>Decis. Sci.</t>
  </si>
  <si>
    <t>10.1111/deci.12349</t>
  </si>
  <si>
    <t>SQ1XB</t>
  </si>
  <si>
    <t>WOS:000660151500006</t>
  </si>
  <si>
    <t>Farace, S; Roggeveen, A; Ordenes, FV; De Ruyter, K; Wetzels, M; Grewal, D</t>
  </si>
  <si>
    <t>Farace, Stefania; Roggeveen, Anne; Ordenes, Francisco Villarroel; De Ruyter, Ko; Wetzels, Martin; Grewal, Dhruv</t>
  </si>
  <si>
    <t>Patterns in Motion: How Visual Patterns in Ads Affect Product Evaluations</t>
  </si>
  <si>
    <t>SOCIAL MEDIA; NARRATIVE TRANSPORTATION; MENTAL SIMULATION; INFORMATION; STYLE; METAPHORS; ATTITUDES; SENTIMENT; PICTURES; IMAGERY</t>
  </si>
  <si>
    <t>This article contributes to research on advertising effectiveness by investigating the combined influence of ad headlines and visual patterns in the ad on consumer product evaluations. Headlines can convey motion (e.g., move, quick); when the associated ad features a regular visual pattern, it evokes stronger product evaluations than if it depicts an irregular visual pattern. Thus, the way the advertised products are aligned visually represents critical decisions for ad designers. As Study 1 reveals, if the regular visual pattern of an advertisement combines with verbal information conveying motion, stronger product evaluations result compared with the use of an irregular visual pattern. Study 2 extends these findings by demonstrating that a regular pattern creates mental simulation, such that consumers imagine themselves experiencing the product, which mediates the relationship between visual patterns and product evaluations. Study 3 uses text mining and image annotation analyses to provide ecological validity for the findings, corroborating them in the context of brand messages on Twitter.</t>
  </si>
  <si>
    <t>[Farace, Stefania] Eastern Connecticut State Univ, Mkt, Dept Business Adm, Willimantic, CT 06226 USA; [Roggeveen, Anne] Babson Coll, Retailing &amp; Mkt, Babson Pk, MA 02157 USA; [Ordenes, Francisco Villarroel] Univ Massachusetts, Isenberg Sch Management, Mkt, Amherst, MA 01003 USA; [De Ruyter, Ko] Kings Coll London, Mkt, London, England; [Wetzels, Martin] Maastricht Univ, Maastricht, Netherlands; [Grewal, Dhruv] Babson Coll, Mkt, Babson Pk, MA 02157 USA</t>
  </si>
  <si>
    <t>Connecticut State University System; Eastern Connecticut State University; Babson College; University of Massachusetts System; University of Massachusetts Amherst; University of London; King's College London; Maastricht University; Babson College</t>
  </si>
  <si>
    <t>Farace, S (corresponding author), Eastern Connecticut State Univ, Dept Business Adm, Webb Hall,Off 445,83 Windham St, Willimantic, CT 06226 USA.</t>
  </si>
  <si>
    <t>faraces@easternct.edu</t>
  </si>
  <si>
    <t>Wetzels, Martin/0000-0001-8569-5320; Grewal, Dhruv/0000-0002-7046-6063</t>
  </si>
  <si>
    <t>CSU - AAUP Faculty Research Grant 2018, ECSU</t>
  </si>
  <si>
    <t>This paper has been partially funded by the CSU - AAUP Faculty Research Grant 2018, ECSU.</t>
  </si>
  <si>
    <t>JAN 1</t>
  </si>
  <si>
    <t>10.1080/00913367.2019.1652120</t>
  </si>
  <si>
    <t>KK8NX</t>
  </si>
  <si>
    <t>WOS:000484920100001</t>
  </si>
  <si>
    <t>Loureiro, SMC; Bilro, RG; Japutra, A</t>
  </si>
  <si>
    <t>Loureiro, Sandra Maria Correia; Bilro, Ricardo Godinho; Japutra, Arnold</t>
  </si>
  <si>
    <t>The effect of consumer-generated media stimuli on emotions and consumer brand engagement</t>
  </si>
  <si>
    <t>JOURNAL OF PRODUCT AND BRAND MANAGEMENT</t>
  </si>
  <si>
    <t>Text mining; Website quality; Emotion; Consumer brand engagement; Pleasure-arousal-dominance; S-O-R framework</t>
  </si>
  <si>
    <t>WORD-OF-MOUTH; VALUE CO-CREATION; CUSTOMER ENGAGEMENT; BEHAVIORAL-RESEARCH; USER ENGAGEMENT; DOMINANT LOGIC; LOYALTY; PRODUCT; COMMUNITIES; REVIEWS</t>
  </si>
  <si>
    <t>Purpose This paper aims to explore the relationships between website quality - through consumer-generated media stimuli-, emotions and consumer-brand engagement in online environments. Design/methodology/approach Two independent studies are conducted to examine these relationships. Study 1, based on a sample of 366 respondents, uses a structural equation modelling approach to test the research hypotheses. Study 2, based on 1,454 online consumer reviews, uses text-mining technique to examine further the relationship between emotions and consumer-brand engagement. Findings The findings show that all the consumer-generated media stimuli are positively related to the dimensions of emotions. However, only pleasure and arousal are positively related to the three variables of consumer-brand engagement. The findings also show cognitive processing as the strongest dimension of consumer-brand engagement providing positive sentiments towards brands. Practical implications The findings provide marketers with an understanding of how valid, useful and relevant content (i.e. information/content) creates a greater emotional connection and drive consumer-brand engagement. Marketers should be aware that consumer-generated media stimuli influence consumers' emotions and their reaction. Originality/value This study is one of the firsts to adapt and apply the S-O-R framework in explaining online consumer-brand engagement. This study also adds to the brand engagement literature as the first study that combines PLS-SEM approach with text-mining analysis to provide a better understanding of these relationships.</t>
  </si>
  <si>
    <t>[Loureiro, Sandra Maria Correia; Bilro, Ricardo Godinho] Inst Univ Lisboa ISCTE IUL, Business Res Unit BRU IUL, Lisbon, Portugal; [Japutra, Arnold] Univ Western Australia, Sch Business, Perth, WA, Australia</t>
  </si>
  <si>
    <t>Instituto Universitario de Lisboa; University of Western Australia</t>
  </si>
  <si>
    <t>Bilro, RG (corresponding author), Inst Univ Lisboa ISCTE IUL, Business Res Unit BRU IUL, Lisbon, Portugal.</t>
  </si>
  <si>
    <t>sandramloureiro@netcabo.pt; bilro.ricardo@gmail.com; arnold.japutra@uwa.edu.au</t>
  </si>
  <si>
    <t>Japutra, Arnold/ADF-3098-2022; Loureiro, Sandra Maria Correia/B-5180-2010; Bilro, Ricardo Godinho/J-5658-2018</t>
  </si>
  <si>
    <t>Loureiro, Sandra Maria Correia/0000-0001-8362-4430; Bilro, Ricardo Godinho/0000-0002-4159-2474; Japutra, Arnold/0000-0002-0513-8792</t>
  </si>
  <si>
    <t>1061-0421</t>
  </si>
  <si>
    <t>2054-1643</t>
  </si>
  <si>
    <t>J PROD BRAND MANAG</t>
  </si>
  <si>
    <t>J. Prod. Brand Manag.</t>
  </si>
  <si>
    <t>10.1108/JPBM-11-2018-2120</t>
  </si>
  <si>
    <t>NI7OS</t>
  </si>
  <si>
    <t>WOS:000565539000009</t>
  </si>
  <si>
    <t>Schlegelmilch, BB; Sharma, K; Garg, S</t>
  </si>
  <si>
    <t>Schlegelmilch, Bodo B.; Sharma, Kirti; Garg, Sambbhav</t>
  </si>
  <si>
    <t>Employing machine learning for capturing COVID-19 consumer sentiments from six countries: a methodological illustration</t>
  </si>
  <si>
    <t>Multi-media posts; Computer-aided analysis; Text mining; Multi-lingual tweets; Consumer sentiments; Supervised machine learning; Artificial neural network; PESTEL; Cross-country comparisons</t>
  </si>
  <si>
    <t>USER-GENERATED CONTENT; BRAND COMMUNITIES; SOCIAL MEDIA; ONLINE; INDUSTRY; MODEL</t>
  </si>
  <si>
    <t>Purpose This paper aims to illustrate the scope and challenges of using computer-aided content analysis in international marketing with the aim to capture consumer sentiments about COVID-19 from multi-lingual tweets. Design/methodology/approach The study is based on some 35 million original COVID-19-related tweets. The study methodology illustrates the use of supervised machine learning and artificial neural network techniques to conduct extensive information extraction. Findings The authors identified more than two million tweets from six countries and categorized them into PESTEL (i.e. Political, Economic, Social, Technological, Environmental and Legal) dimensions. The extracted consumer sentiments and associated emotions show substantial differences across countries. Our analyses highlight opportunities and challenges inherent in using multi-lingual online sentiment analysis in international marketing. Based on these insights, several future research directions are proposed. Originality/value First, the authors contribute to methodology development in international marketing by providing a use-case for computer-aided text mining in a multi-lingual context. Second, the authors add to the knowledge on differences in COVID-19-related consumer sentiments in different countries. Third, the authors provide avenues for future research on the analysis of unstructured multi-media posts.</t>
  </si>
  <si>
    <t>[Schlegelmilch, Bodo B.] WU Vienna Univ Econ &amp; Business, Inst Int Mkt Management, Vienna, Austria; [Sharma, Kirti] Management Dev Inst, Mkt &amp; Works, Gurugram, India; [Garg, Sambbhav] Univ Petr &amp; Energy Studies, Business Analyt &amp; Optimizat, Dehra Dun, Uttar Pradesh, India</t>
  </si>
  <si>
    <t>Vienna University of Economics &amp; Business; Management Development Institute (MDI); University of Petroleum &amp; Energy Studies (UPES)</t>
  </si>
  <si>
    <t>Schlegelmilch, BB (corresponding author), WU Vienna Univ Econ &amp; Business, Inst Int Mkt Management, Vienna, Austria.</t>
  </si>
  <si>
    <t>bodo.schlegelmilch@wu.ac.at</t>
  </si>
  <si>
    <t>Sharma, Kirti/GQQ-4921-2022</t>
  </si>
  <si>
    <t>10.1108/IMR-06-2021-0194</t>
  </si>
  <si>
    <t>ZK2BM</t>
  </si>
  <si>
    <t>WOS:000762799200001</t>
  </si>
  <si>
    <t>Wang, F; Xu, HF; Hou, RL; Zhu, Z</t>
  </si>
  <si>
    <t>Wang, Fei; Xu, Haifeng; Hou, Ronglin; Zhu, Zhen</t>
  </si>
  <si>
    <t>Designing marketing content for social commerce to drive consumer purchase behaviors: A perspective from speech act theory</t>
  </si>
  <si>
    <t>Social commerce; Consumer purchase behavior; Content marketing; Speech act theory</t>
  </si>
  <si>
    <t>LINGUISTIC STYLE MATCHES; CUSTOMER ENGAGEMENT; NARRATIVE TRANSPORTATION; GENERATED CONTENT; DECISION-MAKING; WORDS; MEDIA; REVIEWS; USER; RECOMMENDATIONS</t>
  </si>
  <si>
    <t>With the emergence of content-driven social commerce, designing marketing content that better stimulates consumer purchase behaviors has become increasingly essential. However, it remains unclear what and how linguistic features of marketing content in emerging social commerce influence consumer purchase behaviors. Drawing on speech act theory, this paper proposes a multi-level research model to conceptualize the linguistic features of content from the aspects of word usage (micro level), within-content argument development (macro level), and between-content linguistic mimicry (meta level), and investigate their impact on consumer purchase behaviors. With a unique dataset that includes 44,256 textual posts from JD WeChat shopping circle (a content -driven social commerce platform), this paper combines text mining methods with a series of regression analyses to test the research model. The empirical analyses find that the number of customers who make a purchase increases 1) at the micro-level due to self-referencing and detailing, 2) at the macro-level due to argument structuring, and 3) at the meta-level due to linguistic style matching, while linguistic content matching nega-tively affects the number of customers. These findings reveal how content creators strategically use language to design marketing content that encourages consumer purchase behaviors in emerging social commerce. This study has important theoretical contributions and practical implications.</t>
  </si>
  <si>
    <t>[Wang, Fei; Hou, Ronglin; Zhu, Zhen] China Univ Geosci, Sch Econ &amp; Management, Wuhan 430078, Hubei, Peoples R China; [Xu, Haifeng] Shanghai Jiao Tong Univ, Antai Coll Econ &amp; Management, Shanghai 200030, Peoples R China</t>
  </si>
  <si>
    <t>China University of Geosciences; Shanghai Jiao Tong University</t>
  </si>
  <si>
    <t>Xu, HF (corresponding author), Shanghai Jiao Tong Univ, Antai Coll Econ &amp; Management, Shanghai 200030, Peoples R China.</t>
  </si>
  <si>
    <t>wangfei@cug.edu.cn; haifengxu@sjtu.edu.cn; hrl981020@163.com; zhuzhen2008@gmail.com</t>
  </si>
  <si>
    <t>Zhu, Zhen/0000-0001-7735-2192</t>
  </si>
  <si>
    <t>National Natural Science Foundation of China; Fundamental Research Funds for the Central Universities, China University of Geosciences (Wuhan); Shanghai Pujiang Program;  [72101241];  [G1323541816];  [21PJC072]</t>
  </si>
  <si>
    <t xml:space="preserve">National Natural Science Foundation of China(National Natural Science Foundation of China (NSFC)); Fundamental Research Funds for the Central Universities, China University of Geosciences (Wuhan)(Fundamental Research Funds for the Central Universities); Shanghai Pujiang Program(Shanghai Pujiang Program); ; ; </t>
  </si>
  <si>
    <t>This work was supported by the National Natural Science Foundation of China [Grant 72101241] ; the Fundamental Research Funds for the Central Universities, China University of Geosciences (Wuhan) [Grant G1323541816] ; Shanghai Pujiang Program [Grant 21PJC072] .</t>
  </si>
  <si>
    <t>10.1016/j.jretconser.2022.103156</t>
  </si>
  <si>
    <t>6C6TR</t>
  </si>
  <si>
    <t>WOS:000882144500003</t>
  </si>
  <si>
    <t>Dickenson, J</t>
  </si>
  <si>
    <t>Dickenson, Jackie</t>
  </si>
  <si>
    <t>The Woman's Budget Bureau: friendship and consumption in Australia</t>
  </si>
  <si>
    <t>JOURNAL OF HISTORICAL RESEARCH IN MARKETING</t>
  </si>
  <si>
    <t>Consumer culture; Women's history; History of emotions; Market devices</t>
  </si>
  <si>
    <t>HISTORY; EMOTIONS; POLITICS</t>
  </si>
  <si>
    <t>Purpose - This paper aims to reveal the marshalling of an emotion - loneliness - over time for the construction of relationships between advertisers and consumers between 1909 and 1934, paying attention to the shifting contexts in which these relationships were built, maintained and extended. It also draws attention to the ways in which advertising and marketing work in society, and advances the understanding of the development of consumer culture in Australia. Design/methodology/approach - The paper uses textual analysis of letters from readers and editorial content published in the magazine over a 25-year period, supplemented by material from newspapers and memoirs. Findings - The paper reveals how a women's magazine marshalled the loneliness of Australian women, especially rural Australian women, to attach them to the magazine and its advertisers. Over 25 years, the magazine editors built a reservoir of trust between readers and the magazine. When the economy turned, this reservoir could be drawn upon to maintain reader attachment and maximise sales. Research limitations/implications - This paper examines the use of emotion in just one magazine. A comparative study would be beneficial to see whether this exploitation of emotion was widespread. Practical implications - The paper suggests the importance of emotion as a tool for attaching consumers to brands and for maintaining that attachment through financial difficulties. Originality/value - This paper supports the turn to the study of emotion in history and, specifically, in the development of consumer culture.</t>
  </si>
  <si>
    <t>[Dickenson, Jackie] Univ Melbourne, Sch Hist &amp; Philosoph Studies, Melbourne, Vic, Australia</t>
  </si>
  <si>
    <t>University of Melbourne</t>
  </si>
  <si>
    <t>Dickenson, J (corresponding author), Univ Melbourne, Sch Hist &amp; Philosoph Studies, Melbourne, Vic, Australia.</t>
  </si>
  <si>
    <t>jackied@unimelb.edu.au</t>
  </si>
  <si>
    <t>1755-750X</t>
  </si>
  <si>
    <t>1755-7518</t>
  </si>
  <si>
    <t>J HIST RES MARKETING</t>
  </si>
  <si>
    <t>J. Hist. Res. Marketing</t>
  </si>
  <si>
    <t>10.1108/JHRM-08-2014-0024</t>
  </si>
  <si>
    <t>EJ2OG</t>
  </si>
  <si>
    <t>WOS:000393049200007</t>
  </si>
  <si>
    <t>Milne, GR; Ordenes, FV; Kaptan, B</t>
  </si>
  <si>
    <t>George R. Milne; Francisco Villarroel Ordenes; Begum Kaptan</t>
  </si>
  <si>
    <t>Mindful consumption: Three consumer segment views</t>
  </si>
  <si>
    <t>AUSTRALASIAN MARKETING JOURNAL</t>
  </si>
  <si>
    <t>Mindful consumption; Mindfulness; Text mining; Segmentation; Sustainability</t>
  </si>
  <si>
    <t>PUBLIC-POLICY; LIFE</t>
  </si>
  <si>
    <t>As consumers are moving away from mindless consumerism, a mindful consumption literature has emerged that is based on Buddhist and psychological perspectives of mindfulness. While the idea of mindful consumption has great potential, there is little empirical research to date that comprehensively examines the consumer perspective on the role of mindfulness on consumption. To provide a grounded consumer perspective, the authors segment mindful consumption views from open-end text using a mixed method of clustering and text mining. By analyzing the segmentation structure, the authors discover various consumer views of mindful consumption, such as careful economic based consumption, monitoring activities of firms, and being informed about the impact of consumption choices. The authors compare the empirical results with the academic literature to provide directions for future research. (c) 2019 Australian and New Zealand Marketing Academy. Published by Elsevier Ltd. All rights reserved.</t>
  </si>
  <si>
    <t>[George R. Milne; Francisco Villarroel Ordenes] Univ Massachusetts, Isenberg Sch Management, 121 Presidents Dr, Amherst, MA 01003 USA; [Begum Kaptan] Southern Connecticut State Univ, 501 Crescent St, New Haven, CT 06515 USA</t>
  </si>
  <si>
    <t>University of Massachusetts System; University of Massachusetts Amherst; Connecticut State University System; Southern Connecticut State University</t>
  </si>
  <si>
    <t>Milne, GR (corresponding author), Univ Massachusetts, Isenberg Sch Management, 121 Presidents Dr, Amherst, MA 01003 USA.</t>
  </si>
  <si>
    <t>milne@isenberg.umass.edu; fvillarroelo@isenberg.umass.edu; ozb1@southernct.edu</t>
  </si>
  <si>
    <t>Kaplan, Begum/0000-0003-4690-4454</t>
  </si>
  <si>
    <t>1441-3582</t>
  </si>
  <si>
    <t>1839-3349</t>
  </si>
  <si>
    <t>AUSTRALAS MARK J</t>
  </si>
  <si>
    <t>Australas. Mark. J.</t>
  </si>
  <si>
    <t>10.1016/j.ausmj.2019.09.003</t>
  </si>
  <si>
    <t>LH5WX</t>
  </si>
  <si>
    <t>WOS:000528856400002</t>
  </si>
  <si>
    <t>Singh, VK; Nishant, R; Kitchen, PJ</t>
  </si>
  <si>
    <t>Singh, Vivek Kumar; Nishant, Rohit; Kitchen, Philip J.</t>
  </si>
  <si>
    <t>Self or Simulacra of Online Reviews: An Empirical Perspective</t>
  </si>
  <si>
    <t>WORD-OF-MOUTH; NEW-YORK-CITY; PEER; CUSTOMERS; CONSUMERS; TOBACCO; FRIENDS; SALES</t>
  </si>
  <si>
    <t>Online user-generated content includes various forms of computer-mediated online reviews, ratings, and feedback. The impact of online consumer reviews has been widely studied particularly in e-commerce, online marketing, and consumer behavior domains using text-mining and sentiment analysis. Such studies often assume that consumer-submitted online reviews truly represent consumer experiences, but multiple studies on online social networks suggest otherwise. Drawing from the social network literature, this paper investigates the impact of peers on consumer willingness to write and submit online reviews. An empirical study using data from Yelp, a globally used online restaurant review Web site, shows that the number of friends and fans positively impacts the number of online consumer reviews written. Implications for research and practice are discussed.</t>
  </si>
  <si>
    <t>[Singh, Vivek Kumar] Univ S Florida, MUMA Coll Business, Tampa, FL 33620 USA; [Nishant, Rohit; Kitchen, Philip J.] Rennes Sch Business, Rennes, France; [Kitchen, Philip J.] Univ Salford, Salford, Lancs, England</t>
  </si>
  <si>
    <t>State University System of Florida; University of South Florida; Universite de Rennes; University of Salford</t>
  </si>
  <si>
    <t>Singh, VK (corresponding author), Univ S Florida, MUMA Coll Business, Informat Syst Decis Sci, Tampa, FL 33613 USA.</t>
  </si>
  <si>
    <t>vivek4@mail.usf.edu</t>
  </si>
  <si>
    <t>Nishant, Rohit/U-9082-2019</t>
  </si>
  <si>
    <t>Nishant, Rohit/0000-0001-7201-4901</t>
  </si>
  <si>
    <t>10.1002/mar.20946</t>
  </si>
  <si>
    <t>EC0GM</t>
  </si>
  <si>
    <t>WOS:000387777000012</t>
  </si>
  <si>
    <t>Stern, BB</t>
  </si>
  <si>
    <t>Textual analysis in advertising research: Construction and deconstruction of meanings</t>
  </si>
  <si>
    <t>CONSUMER RESEARCH; RESPONSES; EMOTIONS; ALLEGORY; INQUIRY; MEMORY; TIME</t>
  </si>
  <si>
    <t>A postmodern literary method of textual analysis is presented as a systematic approach to understanding the meaning of an advertising text. The method has three steps: identification of textual elements (the parts or literary attributes), construction of meaning (the whole, a sum of parts), and deconstruction (the unsaid assumptions that challenge singular meaning). The steps are demonstrated in a workbench analysis of a single advertisement. The author proposes that the addition of deconstruction to literary analysis of advertising text contributes to behavioral and cultural research on advertising by enabling researchers to ''read'' advertisements as expressions of contemporary consumer culture. Traditional language devices long thought to influence affective responses and memory are reexamined and future research directions suggested.</t>
  </si>
  <si>
    <t>Stern, BB (corresponding author), RUTGERS STATE UNIV,FAC MANAGEMENT,PISCATAWAY,NJ 08855, USA.</t>
  </si>
  <si>
    <t>CTC PRESS/JOA</t>
  </si>
  <si>
    <t>CLEMSON</t>
  </si>
  <si>
    <t>PO BOX 1826, CLEMSON, SC 29633-1826</t>
  </si>
  <si>
    <t>10.1080/00913367.1996.10673507</t>
  </si>
  <si>
    <t>VY408</t>
  </si>
  <si>
    <t>WOS:A1996VY40800006</t>
  </si>
  <si>
    <t>Bright, LF; Schau, HJ</t>
  </si>
  <si>
    <t>Bright, Laura F.; Schau, Hope Jensen</t>
  </si>
  <si>
    <t>Pop-Up Special Section Introduction: Advertising and COVID-19-Examining the Impacts of the Pandemic on Agencies, Consumers, and Brands</t>
  </si>
  <si>
    <t>The COVID-19 pandemic has made substantial impacts on every aspect of our lives, including our consumption habits and how we interact with communication messages like advertising. This special section examines the effects of the coronavirus pandemic on consumers, brands, stakeholders, and advertisers using a variety of theories and methodologies including experimental designs, text analysis, and content analysis. The research presented is divided into three key areas: (1) advertising's impact on society, (2) consumer behavior in a pandemic, and (3) pandemic message framing. These themes illustrate how consumers, brands, advertisers, and other stakeholders have proven to be resilient and compassionate in the face of an uncertain future.</t>
  </si>
  <si>
    <t>[Bright, Laura F.] Univ Texas Austin, Austin, TX 78712 USA; [Schau, Hope Jensen] Univ Arizona, Tucson, AZ 85721 USA</t>
  </si>
  <si>
    <t>University of Texas System; University of Texas Austin; University of Arizona</t>
  </si>
  <si>
    <t>Bright, LF (corresponding author), Univ Texas Austin, Stan Richards Sch Advertising &amp; Publ Relat, 300 W Dean Keeton,A1200,BMC 4-328, Austin, TX 78712 USA.</t>
  </si>
  <si>
    <t>laurabright@utexas.edu</t>
  </si>
  <si>
    <t>Bright, Laura/0000-0003-1908-1130</t>
  </si>
  <si>
    <t>10.1080/00913367.2021.1933657</t>
  </si>
  <si>
    <t>WOS:000677473100001</t>
  </si>
  <si>
    <t>Oliveira, PM; Guerreiro, J; Rita, P</t>
  </si>
  <si>
    <t>Oliveira, Pedro Miguel; Guerreiro, Joao; Rita, Paulo</t>
  </si>
  <si>
    <t>Neuroscience research in consumer behavior: A review and future research agenda</t>
  </si>
  <si>
    <t>INTERNATIONAL JOURNAL OF CONSUMER STUDIES</t>
  </si>
  <si>
    <t>consumer behavior; consumer research; correlated topic models; neuroscience; text mining</t>
  </si>
  <si>
    <t>BRAND ENGAGEMENT; BIBLIOMETRIC ANALYSIS; TEXT; ATTENTION; SCIENCE; BRAIN; NEUROECONOMICS; CHALLENGES; MANAGEMENT; RESPONSES</t>
  </si>
  <si>
    <t>Consumer neuroscience is a growing field in both marketing and consumer behavior research. The number of articles published on the topic has increased exponentially in the last 15 years. However, there is still no comprehensive analysis of the literature highlighting the main constructs, trends and research gaps found in such a large collection of papers. Therefore, this paper provides a text mining (TM) analysis that clusters and systematizes the complex and dispersed information of 469 articles, using the correlated topic model algorithm (CTM). Results show that consumer neuroscience, brand memory, and willingness to buy are the most relevant topics in the field. This study also reveals that the literature has been focusing on ethical concerns as well as on controversial concerns in the use of consumer neuroscience techniques. We include a final section on future research questions and opportunities that emerged from the conducted research.</t>
  </si>
  <si>
    <t>[Oliveira, Pedro Miguel; Guerreiro, Joao] Inst Univ Lisboa, Business Res Unit, BRU IUL, ISCTE IUL, Av Forcas Armadas, P-1649026 Lisbon, Portugal; [Rita, Paulo] Univ Nova Lisboa, NOVA Informat Management Sch NOVA IMS, Lisbon, Portugal</t>
  </si>
  <si>
    <t>Instituto Universitario de Lisboa; Universidade Nova de Lisboa</t>
  </si>
  <si>
    <t>Oliveira, PM (corresponding author), Inst Univ Lisboa, Business Res Unit, BRU IUL, ISCTE IUL, Av Forcas Armadas, P-1649026 Lisbon, Portugal.</t>
  </si>
  <si>
    <t>pedro.oliveira@iscte-iul.pt</t>
  </si>
  <si>
    <t>Oliveira, Pedro Miguel/ABP-9755-2022; Rita, Paulo/T-2950-2017</t>
  </si>
  <si>
    <t>Oliveira, Pedro Miguel/0000-0002-2559-9852; Guerreiro, Joao/0000-0001-6286-1437; Rita, Paulo/0000-0001-6050-9958</t>
  </si>
  <si>
    <t>Fundacao para a Ciencia e a Tecnologia [UIDB/00315/2020]</t>
  </si>
  <si>
    <t>Fundacao para a Ciencia e a Tecnologia(Fundacao para a Ciencia e a Tecnologia (FCT))</t>
  </si>
  <si>
    <t>This work was supported by Fundacao para a Ciencia e a Tecnologia, grant UIDB/00315/2020.</t>
  </si>
  <si>
    <t>1470-6423</t>
  </si>
  <si>
    <t>1470-6431</t>
  </si>
  <si>
    <t>INT J CONSUM STUD</t>
  </si>
  <si>
    <t>Int. J. Consum. Stud.</t>
  </si>
  <si>
    <t>10.1111/ijcs.12800</t>
  </si>
  <si>
    <t>MAR 2022</t>
  </si>
  <si>
    <t>4N8LY</t>
  </si>
  <si>
    <t>WOS:000774732300001</t>
  </si>
  <si>
    <t>Xiao, L; Li, XF; Zhang, YC</t>
  </si>
  <si>
    <t>Xiao, Lin; Li, Xiaofeng; Zhang, Yucheng</t>
  </si>
  <si>
    <t>Exploring the factors influencing consumer engagement behavior regarding short-form video advertising: A big data perspective</t>
  </si>
  <si>
    <t>Short -form video advertisements; Consumer engagement behavior; Product -type; Text analysis; TikTok</t>
  </si>
  <si>
    <t>SOCIAL-MEDIA ENGAGEMENT; SIGNALING THEORY; ENGAGING CUSTOMERS; ONLINE; PRODUCT; INFORMATION; EXPERIENCE; SEARCH; REPUTATION; COMMERCE</t>
  </si>
  <si>
    <t>Short-form video has attracted users' attention and been widely adopted for entertainment. Recently, short-form video has also been used for advertising. However, how short-form video for advertisement influences consumer engagement behavior remains unclear. This study aims to explore key features of short-form video advertise-ments that influence consumer engagement behavior. Through analyzing data obtained from social media platform TikTok, we discovered that four key features of short-form video-performance expectancy, enter-tainment, tie strength, and sales approach-are significantly related to consumer engagement behavior. In addition, the results showed that product type moderated the relationship of these effects on consumer engagement behavior. This study is one of the first to investigate the influence of short-form video advertisement features on consumer engagement behavior; thus, it contributes to the social media advertisement literature. It extends consumer engagement behavior research by applying a combination of uses and gratifications theory and signal theory. It also highlights the significance of product type in advertising literature. The use of big data and text analysis contributes from a methodological perspective to social media research. This study also provides practical and managerial implications for sellers and marketers on how to attract consumers to engage in videos and how to make data-driven decisions.</t>
  </si>
  <si>
    <t>[Xiao, Lin; Li, Xiaofeng] Nanjing Univ Aeronaut &amp; Astronaut, Coll Econ &amp; Management, Nanjing 211106, Peoples R China; [Zhang, Yucheng] Hebei Univ Technol, Sch Econ &amp; Management, Tianjin 300401, Peoples R China</t>
  </si>
  <si>
    <t>Nanjing University of Aeronautics &amp; Astronautics; Hebei University of Technology</t>
  </si>
  <si>
    <t>Zhang, YC (corresponding author), Hebei Univ Technol, Sch Econ &amp; Management, Tianjin 300401, Peoples R China.</t>
  </si>
  <si>
    <t>yucheng.eason.zhang@gmail.com</t>
  </si>
  <si>
    <t>Young Scientists Fund from Ministry of Education in China Project of Humanities and Social Sciences [20YJC630163]</t>
  </si>
  <si>
    <t>Young Scientists Fund from Ministry of Education in China Project of Humanities and Social Sciences</t>
  </si>
  <si>
    <t>Acknowledgements This work was partially supported by Young Scientists Fund from Ministry of Education in China Project of Humanities and Social Sciences [grant number 20YJC630163] .</t>
  </si>
  <si>
    <t>10.1016/j.jretconser.2022.103170</t>
  </si>
  <si>
    <t>9A6EB</t>
  </si>
  <si>
    <t>WOS:000934148200003</t>
  </si>
  <si>
    <t>Nemorin, S</t>
  </si>
  <si>
    <t>Nemorin, Selena</t>
  </si>
  <si>
    <t>Neuromarketing and the poor in world consumer: how the animalization of thinking underpins contemporary market research discourses</t>
  </si>
  <si>
    <t>CONSUMPTION MARKETS &amp; CULTURE</t>
  </si>
  <si>
    <t>Philosophy of technology; hermeneutics; neuromarketing; market practice; science and technology studies</t>
  </si>
  <si>
    <t>DECISION; DEHUMANIZATION; NEUROECONOMICS; NEUROSCIENCE; SCIENCE</t>
  </si>
  <si>
    <t>Consumption research has been informed traditionally by cognitive psychology but it has now incorporated the diagnostic techniques of neuroscience to give rise to neuromarketing. Using bio-imaging technologies to track how consumers respond to advertising stimuli, neuromarketing aims to predict and manage consumer buying behaviour by decoding how instinctive drives can be triggered to enact buying habits. This paper examines the primary discursive reduction that occurs in the popular text/talk of neuromarketing: the reduction of the consumer to the state of a poor in world animal (animalization of thinking). Using a hybrid analytic of textual analysis and a Heideggerian philosophical frame, this work traces how discourses used to sell neuromarketing represent specific kinds of non-knowledgeable consumers. This hybrid approach offers consumption scholars a new perspective for understanding how animal representations of the consumer are deployed in neuromarketing as a discursive world.</t>
  </si>
  <si>
    <t>[Nemorin, Selena] Monash Univ, Fac Educ, Melbourne, Vic, Australia</t>
  </si>
  <si>
    <t>Monash University</t>
  </si>
  <si>
    <t>Nemorin, S (corresponding author), Monash Univ, Fac Educ, Melbourne, Vic, Australia.</t>
  </si>
  <si>
    <t>selena.nemorin@monash.edu</t>
  </si>
  <si>
    <t>Nemorin, Selena/0000-0002-8668-8859</t>
  </si>
  <si>
    <t>1025-3866</t>
  </si>
  <si>
    <t>1477-223X</t>
  </si>
  <si>
    <t>CONSUMP MARK CULT</t>
  </si>
  <si>
    <t>Consump. Mark. Cult.</t>
  </si>
  <si>
    <t>10.1080/10253866.2016.1160897</t>
  </si>
  <si>
    <t>EK3EN</t>
  </si>
  <si>
    <t>WOS:000393809200005</t>
  </si>
  <si>
    <t>Yu, B</t>
  </si>
  <si>
    <t>Yu, Billy</t>
  </si>
  <si>
    <t>How consumer opinions are affected by marketers: an empirical examination by deep learning approach</t>
  </si>
  <si>
    <t>Market interaction; Big Data; Framing effect; NLP; Language model</t>
  </si>
  <si>
    <t>SOCIAL MEDIA; GENERATED CONTENT; PSYCHOLOGY; FEATURES</t>
  </si>
  <si>
    <t>Purpose The natural language processing (NLP) technique enables machines to understand human language. This paper seeks to harness its power to recognise the interaction between marketers and consumers. Hence, this study aims to enhance the conceptual and future development of deep learning in interactive marketing. Design/methodology/approach This study measures cognitive responses by using actual user postings. Following a typical NLP analysis pipeline with tailored neural network (NN) models, it presents a stylised quantitative method to manifest the underlying relation. Findings Based on consumer-generated content (CGC) and marketer-generated content (MGC) in the tourism industry, the results reveal that marketers and consumers interact in a subtle way. This study explores beyond simple positive and negative framing, and reveals that they do not resemble each other, not even in abstract form: CGC may complement MGC, but they are incongruent. It validates and supplements preceding findings in the framing effect literature and underpins some marketing wisdom in practice. Research limitations/implications This research inherits a fundamental limitation of NN model that result interpretability is low. Also, the study may capture the partial phenomenon exhibited by active reviewers; lurker-consumers may behave differently. Originality/value This research is among the first to explore the interactive aspect of the framing effect with state-of-the-art deep learning language model. It reveals research opportunities by using NLP-extracted latent features to assess textual opinions. It also demonstrates the accessibility of deep learning tools. Practitioners could use the described blueprint to foster their marketing initiatives.</t>
  </si>
  <si>
    <t>[Yu, Billy] Macao Polytech Inst, Sch Business, Taipa, Macao, Peoples R China</t>
  </si>
  <si>
    <t>Macao Polytechnic University</t>
  </si>
  <si>
    <t>Yu, B (corresponding author), Macao Polytech Inst, Sch Business, Taipa, Macao, Peoples R China.</t>
  </si>
  <si>
    <t>billyyu@ipm.edu.mo</t>
  </si>
  <si>
    <t>Yu, Billy/C-2085-2013</t>
  </si>
  <si>
    <t>Yu, Billy/0000-0002-3877-3792</t>
  </si>
  <si>
    <t>DEC 6</t>
  </si>
  <si>
    <t>10.1108/JRIM-04-2021-0106</t>
  </si>
  <si>
    <t>6S4OA</t>
  </si>
  <si>
    <t>WOS:000727933000001</t>
  </si>
  <si>
    <t>Gungor, AS; Cadirci, TO</t>
  </si>
  <si>
    <t>Sagkaya Gungor, Aysegul; Ozansoy cadirci, Tugce</t>
  </si>
  <si>
    <t>Understanding digital consumer: A review, synthesis, and future research agenda</t>
  </si>
  <si>
    <t>digital consumers; longitudinal study; machine learning; online consumers; topic modeling</t>
  </si>
  <si>
    <t>WORD-OF-MOUTH; BRAND COMMUNITY ENGAGEMENT; CUSTOMER-PERCEIVED VALUE; SOCIAL MEDIA; INTERNET BANKING; MOBILE COMMERCE; PURCHASE INTENTION; MARKETING-RESEARCH; PLANNED BEHAVIOR; ACCEPTANCE MODEL</t>
  </si>
  <si>
    <t>In the last 20 years, the proliferation of digital technologies has significantly impacted both businesses' operations and how consumers get information, engage, and buy. Through the analysis of 74 marketing journals, this article identifies the current situation and possible gaps within digital consumer behavior research. By combining bibliometric analysis and machine learning algorithms, the authors have identified key topics in 5-year intervals and their evolution over time. The study results show that digitalization has overreached its original subsistence and has become an essential aspect of mainstream consumption patterns. The study reveals three domains within digital consumer behavior: (1) the use of classical consumption theories and their application to digital context; (2) transactional subjects within consumers' digitalization; and (3) digital marketing's impact on the consumption of specific product groups. Regression-based time series applied to 42 topics discovered by text mining to define possible future research directions. Within 42 topics, significant growth is expected in mobile channel use, sustainable consumption, user-generated content, and social media engagement. In general, the results exhibit a shift from a transactional point of view to a more theoretical and strategic perspective. Possible research gaps are expected to emerge from: (1) the impact of interactive and immersive technologies on consumption practices; (2) the possible outcomes of the pandemic on digital consumption patterns; (3) enhancing brand engagement through consumer-to-consumer interactions; (4) enhancing the understanding on issues like consumer collaboration, consumer trust, and service satisfaction.</t>
  </si>
  <si>
    <t>[Sagkaya Gungor, Aysegul] Istanbul Medeniyet Univ, Isletme Bolumu, Siyasal Bilgiler Fak, Kuzey Kampusu E226,Unalan Sk Bulgurlu Mevkii 5, TR-34700 Istanbul, Turkey; [Ozansoy cadirci, Tugce] Yildiz Tech Univ, Isletme Bolumu, Iktisadi &amp; Idari Bilimler Fak, Istanbul, Turkey</t>
  </si>
  <si>
    <t>Istanbul Medeniyet University; Yildiz Technical University</t>
  </si>
  <si>
    <t>Gungor, AS (corresponding author), Istanbul Medeniyet Univ, Isletme Bolumu, Siyasal Bilgiler Fak, Kuzey Kampusu E226,Unalan Sk Bulgurlu Mevkii 5, TR-34700 Istanbul, Turkey.</t>
  </si>
  <si>
    <t>agngor@yahoo.com</t>
  </si>
  <si>
    <t>Ozansoy Cadirci, Tugce/AAO-1017-2020</t>
  </si>
  <si>
    <t>Ozansoy Cadirci, Tugce/0000-0002-7370-7504</t>
  </si>
  <si>
    <t>Yildiz Technical University Scientific Research Projects Coordination Unit [4565]</t>
  </si>
  <si>
    <t>Yildiz Technical University Scientific Research Projects Coordination Unit(Yildiz Technical University)</t>
  </si>
  <si>
    <t>This work has been supported by Yildiz Technical University Scientific Research Projects Coordination Unit under project number 4565</t>
  </si>
  <si>
    <t>10.1111/ijcs.12809</t>
  </si>
  <si>
    <t>WOS:000777504000001</t>
  </si>
  <si>
    <t>Jena, R</t>
  </si>
  <si>
    <t>Jena, Rabindra</t>
  </si>
  <si>
    <t>An empirical case study on Indian consumers' sentiment towards electric vehicles: A big data analytics approach</t>
  </si>
  <si>
    <t>Electric vehicles; Deep learning; Big data; Sentiment analysis; India</t>
  </si>
  <si>
    <t>PREFERENCES; ATTITUDES; ADOPTION; BATTERY; HYBRID; ATTRIBUTES; INTENTION; RESPONSES; BARRIERS; BEHAVIOR</t>
  </si>
  <si>
    <t>Today, climate change due to global warming is a significant concern to all of us. India's rate of greenhouse gas emissions is increasing day by day, placing India in the top ten emitters in the world. Air pollution is one of the significant contributors to the greenhouse effect. Transportation contributes about 10% of the air pollution in India. The Indian government is taking steps to reduce air pollution by encouraging the use of electric vehicles. But, success depends on consumer's sentiment, perception and understanding towards Electric Vehicles (EV). This case study tried to capture the feeling, attitude, and emotions of Indian consumers' towards electric vehicles. The main objective of this study was to extract opinions valuable to prospective buyers (to know what is best for them), marketers (for determining what features should be advertised) and manufacturers (for deciding what features should be improved) using Deep Learning techniques (e.g Doc2Vec Algorithm, Recurrent Neural Network (RNN), Convolutional Neural Network (CNN)). Due to the very nature of social media data, big data platform was chosen to analyze the sentiment towards EV. Deep Learning based techniques were preferred over traditional machine learning algorithms (Support Vector Machine, Logistic regression and Decision tree, etc.) due to its superior text mining capabilities. Two years data (2016 to 2018) were collected from different social media platform for this case study. The results showed the efficiency of deep learning algorithms and found CNN yield better results in-compare to others. The proposed optimal model will help consumers, designers and manufacturers in their decision-making capabilities to choose, design and manufacture EV.</t>
  </si>
  <si>
    <t>[Jena, Rabindra] Inst Management Technol, IT &amp; Analyt, Nagpur, Maharashtra, India</t>
  </si>
  <si>
    <t>Jena, R (corresponding author), Inst Management Technol, IT &amp; Analyt, Nagpur, Maharashtra, India.</t>
  </si>
  <si>
    <t>rkjena@gmail.com</t>
  </si>
  <si>
    <t>10.1016/j.indmarman.2019.12.012</t>
  </si>
  <si>
    <t>OD5GF</t>
  </si>
  <si>
    <t>WOS:000579880200046</t>
  </si>
  <si>
    <t>Rita, P; Ramos, RF; Moro, S; Mealha, M; Radu, L</t>
  </si>
  <si>
    <t>Rita, Paulo; Ramos, Ricardo Filipe; Moro, Sergio; Mealha, Marta; Radu, Lucian</t>
  </si>
  <si>
    <t>Online dating apps as a marketing channel: a generational approach</t>
  </si>
  <si>
    <t>EUROPEAN JOURNAL OF MANAGEMENT AND BUSINESS ECONOMICS</t>
  </si>
  <si>
    <t>Social media; Marketing communication channel; Online dating apps; Tinder; Text mining; Sentiment analysis</t>
  </si>
  <si>
    <t>WORD-OF-MOUTH; SOCIAL MEDIA; STRATEGIES; INTRUSIVENESS; MOTIVATIONS; ACCEPTANCE; ENGAGEMENT; NETWORKS; EMOTIONS; QUALITY</t>
  </si>
  <si>
    <t>Purpose - This study aims to understand if an online dating app is considered an acceptable channel to conduct advertising activities and understand the differences between Generations X, Y and Z for such acceptance. Design/methodology/approach - A total of 411 Tinder users' reactions were obtained and analyzed using text mining to compute the sentiment score of each response, and a Kruskal-Wallis H test to verify if there are statistical differences between each generation. Findings - The results showed positive acceptability toward the marketing campaign on Tinder, especially Z Generation. Nevertheless, the statistical analysis revealed that the differences between each generation are not statistically significant. Research limitations/implications - The main limitation relates to the fact that the participants, during the data collection, revealed their identification, perhaps leading to acquiescence bias. In addition, the study mainly covered the male population. A balanced sample would be positive to examine any possible differences between gender. Practical implications - Results provide an essential indication for companies regarding their marketing activities conducted on Tinder to fully exploit the possibility of using Tinder as an alternative and valuable channel to conduct marketing activities. Originality/value - Up until now, no studies tried to understand the effect of a marketing activity online on an online dating app.</t>
  </si>
  <si>
    <t>[Rita, Paulo] Univ Nova Lisboa, NOVA Informat Management Sch NOVA IMS, Lisbon, Portugal; [Ramos, Ricardo Filipe; Moro, Sergio] Inst Univ Lisboa ISCTE IUL, ISTAR IUL, Lisbon, Portugal; [Ramos, Ricardo Filipe] Univ Autonoma Lisboa, CICEE, Lisbon, Portugal; [Mealha, Marta; Radu, Lucian] Univ Autonoma Lisboa, Dept Ciencias &amp; Tecnol, Lisbon, Portugal; [Mealha, Marta; Radu, Lucian] Univ Autonoma Lisboa, Lisbon, Portugal</t>
  </si>
  <si>
    <t>Universidade Nova de Lisboa; Instituto Universitario de Lisboa</t>
  </si>
  <si>
    <t>Rita, P (corresponding author), Univ Nova Lisboa, NOVA Informat Management Sch NOVA IMS, Lisbon, Portugal.</t>
  </si>
  <si>
    <t>prita@isegi.unl.pt; ricardo_ramos@iscte.pt; scmoro@gmail.com; martacmealha@gmail.com; lradu@autonoma.pt</t>
  </si>
  <si>
    <t>Ramos, Ricardo Filipe/ABF-7857-2020; Ramos, Ricardo F./GWM-5019-2022; Moro, Sergio/N-9124-2015</t>
  </si>
  <si>
    <t>Ramos, Ricardo F./0000-0001-9841-9720; Moro, Sergio/0000-0002-4861-6686; Radu, Lucian/0000-0003-0695-406X</t>
  </si>
  <si>
    <t>2444-8451</t>
  </si>
  <si>
    <t>2444-8494</t>
  </si>
  <si>
    <t>EUR J MANAG BUS ECON</t>
  </si>
  <si>
    <t>Eur. J. Manag. Bus. Econ.</t>
  </si>
  <si>
    <t>FEB 12</t>
  </si>
  <si>
    <t>10.1108/EJMBE-10-2019-0192</t>
  </si>
  <si>
    <t>TI1IT</t>
  </si>
  <si>
    <t>WOS:000672536800001</t>
  </si>
  <si>
    <t>Mustak, M; Salminen, J; Ple, L; Wirtz, J</t>
  </si>
  <si>
    <t>Mustak, Mekhail; Salminen, Joni; Ple, Loic; Wirtz, Jochen</t>
  </si>
  <si>
    <t>Artificial intelligence in marketing: Topic modeling, scientometric analysis, and research agenda</t>
  </si>
  <si>
    <t>Marketing; Artificial intelligence; AI; Natural Language Processing; Big Data; Digital</t>
  </si>
  <si>
    <t>NEURAL-NETWORK APPROACH; BIG DATA; AUTOMATION; FUTURE; COCITATION; ANALYTICS; INTERNET; QUALITY; THINGS; IMPACT</t>
  </si>
  <si>
    <t>The rapid advancement of artificial intelligence (AI) offers exciting opportunities for marketing practice and academic research. In this study, through the application of natural language processing, machine learning, and statistical algorithms, we examine extant literature in terms of its dominant topics, diversity, evolution over time, and dynamics to map the existing knowledge base. Ten salient research themes emerge: (1) understanding consumer sentiments, (2) industrial opportunities of AI, (3) analyzing customer satisfaction, (4) electronic wordof-mouth-based insights, (5) improving market performance, (6) using AI for brand management, (7) measuring and enhancing customer loyalty and trust, (8) AI and novel services, (9) using AI to improve customer relationships, and (10) AI and strategic marketing. The scientometric analyses reveal key concepts, keyword cooccurrences, authorship networks, top research themes, landmark publications, and the evolution of the research field over time. With the insights as a foundation, this article closes with a proposed agenda for further research.</t>
  </si>
  <si>
    <t>[Mustak, Mekhail] Turku Sch Econ &amp; Business Adm, Rehtorinpellonkatu 3, Turku 20500, Finland; [Salminen, Joni] Qatar Comp Res Inst, Doha, Qatar; [Ple, Loic] IESEG Sch Management LEM CNRS 9221, Lille, France; [Wirtz, Jochen] Natl Univ Singapore, Singapore, Singapore</t>
  </si>
  <si>
    <t>University of Turku; Qatar Foundation (QF); Hamad Bin Khalifa University-Qatar; Qatar Computing Research Institute; IESEG School of Management; National University of Singapore</t>
  </si>
  <si>
    <t>Mustak, M (corresponding author), Turku Sch Econ &amp; Business Adm, Rehtorinpellonkatu 3, Turku 20500, Finland.</t>
  </si>
  <si>
    <t>mekhail.mustak@utu.fi</t>
  </si>
  <si>
    <t>Mustak, Mekhail/P-9559-2019; Wirtz, Jochen/P-3235-2015; Wirtz, Jochen/AAQ-9331-2021</t>
  </si>
  <si>
    <t>Mustak, Mekhail/0000-0002-2111-2939; Wirtz, Jochen/0000-0002-6297-4498; Wirtz, Jochen/0000-0002-6297-4498</t>
  </si>
  <si>
    <t>Kone Foundation (Finland); Liikesivistysrahasto (The Foundation for Economic Education, Finland)</t>
  </si>
  <si>
    <t>Mekhail Mustak expresses gratitude to Kone Foundation (Finland) and Liikesivistysrahasto (The Foundation for Economic Education, Finland) for their financial supports towards this research. The authors sincerely acknowledge the guidance and support of the guest editors, Professor Michael Haenlein and Professor Andreas Kaplan, and the two anonymous reviewers throughout the publication process.</t>
  </si>
  <si>
    <t>10.1016/j.jbusres.2020.10.044</t>
  </si>
  <si>
    <t>JAN 2021</t>
  </si>
  <si>
    <t>PP1DI</t>
  </si>
  <si>
    <t>WOS:000605608800032</t>
  </si>
  <si>
    <t>Huang, YH; Liu, H; Li, WQ; Wan, ZC; Hu, XG; Wan, WJ</t>
  </si>
  <si>
    <t>Huang, Yinghui; Liu, Hui; Li, Weiqing; Wan, Zichao; Hu, Xiangen; Wan, Weijun</t>
  </si>
  <si>
    <t>Lifestyles in Amazon: Evidence from online reviews enhanced recommender system</t>
  </si>
  <si>
    <t>Amazon; big data-driven marketing; consumer preference prediction; lifestyles segmentation; personality; recommender system; text mining</t>
  </si>
  <si>
    <t>TECHNOLOGY PRODUCTS; PERSONALITY-TRAITS; SEGMENTATION; CONSUMERS; BEHAVIOR; MODEL</t>
  </si>
  <si>
    <t>Online lifestyles have been shown to reflect and affect consumers' preferences across a wide range of online scenarios. In the context of e-commerce, it still remains unclear whether online lifestyles are practically influential in predicting consumers' purchasing preferences across different product categories, especially considering its potential influence over the widely used personality traits. In this study, we provide the first, to the best of our knowledge, quantitative demonstration of online lifestyles in predicting consumers' online purchasing preferences in e-commerce by using a data-driven approach. We first construct an online lifestyles lexicon including seven distinct dimensions using text mining approaches based on consumers' language use behaviors. We then incorporate the lexicon in a typical e-commerce recommender system to predict consumers' purchasing preferences. Experimental results on Amazon Review Dataset show that online lifestyles and all its subdimensions significantly improve preference predicting performance and outperform the widely used Big Five personality traits as a whole. In addition, product types significantly moderate the influence of online lifestyle on consumer preference. The strong empirical evidence indicates that the big e-commerce consumer data facilitates more specialized market psychographic segmentation, which advances data-driven marketing decision-making.</t>
  </si>
  <si>
    <t>[Huang, Yinghui; Liu, Hui; Li, Weiqing; Hu, Xiangen; Wan, Weijun] Cent China Normal Univ, Wuhan, Peoples R China; [Huang, Yinghui; Hu, Xiangen] Univ Memphis, Memphis, TN 38152 USA; [Wan, Zichao] Rice Univ, Houston, TX 77251 USA</t>
  </si>
  <si>
    <t>Central China Normal University; University of Memphis; Rice University</t>
  </si>
  <si>
    <t>Wan, WJ (corresponding author), Cent China Normal Univ, Minist Educ, Key Lab Adolescent Cyberpsychol &amp; Behav, Wuhan 430079, Peoples R China.</t>
  </si>
  <si>
    <t>wangwj@mail.ccnu.edu.cn</t>
  </si>
  <si>
    <t>Huang, Yinghui/AAW-9152-2021</t>
  </si>
  <si>
    <t>Huang, Yinghui/0000-0003-0607-1507; Liu, Hui/0000-0001-7231-5704</t>
  </si>
  <si>
    <t>10.1177/1470785319844146</t>
  </si>
  <si>
    <t>OM5DH</t>
  </si>
  <si>
    <t>WOS:000586044800005</t>
  </si>
  <si>
    <t>Berni, R; Nikiforova, ND; Ranfagni, S</t>
  </si>
  <si>
    <t>Berni, Rossella; Nikiforova, Nedka Dechkova; Ranfagni, Silvia</t>
  </si>
  <si>
    <t>An integrated approach to estimate brand association matching and strength in virtual settings</t>
  </si>
  <si>
    <t>JOURNAL OF GLOBAL FASHION MARKETING</t>
  </si>
  <si>
    <t>Brand association; online community; User-Generated Content-UGC; text -mining; Hybrid Log-Linear models</t>
  </si>
  <si>
    <t>MARKETING-RESEARCH; MANAGING BRANDS; ONLINE; COMMUNITIES; ENGAGEMENT; CHATTER; SEARCH; MEDIA; IMAGE</t>
  </si>
  <si>
    <t>This paper proposes an innovative method for estimating brand association matching and strength. It is based on a dual analytical perspective as it compares consumer-perceived with company-defined brand associations, thereby filling a research gap in the offline and online brand studies. In order to build this method, we investigate online communities as authentic interactive environments by combining text-mining with Hybrid Log-Linear models. What emerges is an interdisciplinary method that contributes to extending the use of the user-generated content (UGC) for marketing purposes. Its application is useful for verifying the conditions for customer brand equity and more systematically controlling the adopted brand communications. The analysis also takes into consideration consumers who, after experiencing the virtual setting, have become free-brand tellers and real co-creators of brand meaning. In the study, we focus on online fashion communities as digital platforms where consumer interactions are particularly intensive, and the narratives are rich in brand-related perceptions.</t>
  </si>
  <si>
    <t>[Berni, Rossella; Nikiforova, Nedka Dechkova] Univ Florence, Dept Stat, Applicat G Parenti, Comp Sci, Viale Morgagni 59, I-50134 Florence, Italy; [Ranfagni, Silvia] Univ Florence, Dept Econ &amp; Management, Florence, Italy</t>
  </si>
  <si>
    <t>University of Florence; University of Florence</t>
  </si>
  <si>
    <t>Berni, R (corresponding author), Univ Florence, Dept Stat, Applicat G Parenti, Comp Sci, Viale Morgagni 59, I-50134 Florence, Italy.</t>
  </si>
  <si>
    <t>rossella.berni@unifi.it</t>
  </si>
  <si>
    <t>Ranfagni, Silvia/AAV-7114-2021</t>
  </si>
  <si>
    <t>Ranfagni, Silvia/0000-0002-1546-3070; Nikiforova, Nedka Dechkova/0000-0002-5948-5917</t>
  </si>
  <si>
    <t>2093-2685</t>
  </si>
  <si>
    <t>2325-4483</t>
  </si>
  <si>
    <t>J GLOB FASH MARK</t>
  </si>
  <si>
    <t>J. Glob. Fash. Mark.</t>
  </si>
  <si>
    <t>10.1080/20932685.2019.1706608</t>
  </si>
  <si>
    <t>MA3YK</t>
  </si>
  <si>
    <t>WOS:000541852600002</t>
  </si>
  <si>
    <t>Usai, A; Pironti, M; Mital, M; Mejri, CA</t>
  </si>
  <si>
    <t>Usai, Antonio; Pironti, Marco; Mital, Monika; Mejri, Chiraz Aouina</t>
  </si>
  <si>
    <t>Knowledge discovery out of text data: a systematic review via text mining</t>
  </si>
  <si>
    <t>JOURNAL OF KNOWLEDGE MANAGEMENT</t>
  </si>
  <si>
    <t>Data mining; Systematic review; Text mining; Big data analytics; Knowledge discovery; Data extraction</t>
  </si>
  <si>
    <t>SENTIMENT ANALYSIS; NEWS; CLASSIFICATION; MANAGEMENT; ANALYTICS; INTELLIGENCE; HELPFULNESS; PREDICTION; SUPPORT; PRODUCT</t>
  </si>
  <si>
    <t>Purpose The aim of this work is to increase awareness of the potential of the technique of text mining to discover knowledge and further promote research collaboration between knowledge management and the information technology communities. Since its emergence, text mining has involved multidisciplinary studies, focused primarily on database technology, Web-based collaborative writing, text analysis, machine learning and knowledge discovery. However, owing to the large amount of research in this field, it is becoming increasingly difficult to identify existing studies and therefore suggest new topics. Design/methodology/approach This article offers a systematic review of 85 academic outputs (articles and books) focused on knowledge discovery derived from the text mining technique. The systematic review is conducted by applying text mining at the term level, in which knowledge discovery takes place on a more focused collection of words and phrases that are extracted from and label each document (Feldman et al., 1998, p. 1). Findings The results revealed that the keywords extracted to be associated with the main labels, id est, knowledge discovery and text mining, can be categorized in two periods: from 1998 to 2009, the term knowledge and text were always used. From 2010 to 2017 in addition to these terms, sentiment analysis, review manipulation, microblogging data and knowledgeable users were the other terms frequently used. Besides this, it is possible to notice the technical, engineering nature of each term present in the first decade. Whereas, a diverse range of fields such as business, marketing and finance emerged from 2010 to 2017 owing to a greater interest in the online environment. Originality/value This is a first comprehensive systematic review on knowledge discovery and text mining through the use of a text mining technique at term level, which offers to reduce redundant research and to avoid the possibility of missing relevant publications.</t>
  </si>
  <si>
    <t>[Usai, Antonio] Univ Sassari, Dept Econ &amp; Business, Econ &amp; Business Management, Sassari, Italy; [Usai, Antonio] Univ Sassari, Dept Econ &amp; Business, Sassari, Italy; [Usai, Antonio] Univ Sassari, Dept Econ &amp; Business, New Prod Dev &amp; Strateg Mkt Tourism &amp; Digital Mkt, Sassari, Italy; [Pironti, Marco] Univ Turin, ICxT Innovat Ctr, Turin, Italy; [Mital, Monika] Great Lakes Inst Management, Dept Management, Kancheepuram, India; [Mejri, Chiraz Aouina] Paris Sch Business, Paris, France</t>
  </si>
  <si>
    <t>University of Sassari; University of Sassari; University of Sassari; University of Turin</t>
  </si>
  <si>
    <t>Mital, M (corresponding author), Great Lakes Inst Management, Dept Management, Kancheepuram, India.</t>
  </si>
  <si>
    <t>ausai@uniss.it; marco.pironti@unito.it; monikaajit@gmail.com; caouinam@pole-esg.fr</t>
  </si>
  <si>
    <t>Usai, Antonio/AAG-6249-2021</t>
  </si>
  <si>
    <t>1367-3270</t>
  </si>
  <si>
    <t>1758-7484</t>
  </si>
  <si>
    <t>J KNOWL MANAG</t>
  </si>
  <si>
    <t>J. Knowl. Manag.</t>
  </si>
  <si>
    <t>10.1108/JKM-11-2017-0517</t>
  </si>
  <si>
    <t>GS3RT</t>
  </si>
  <si>
    <t>WOS:000443538300003</t>
  </si>
  <si>
    <t>Feng, Y; Xie, Q</t>
  </si>
  <si>
    <t>Feng, Yang; Xie, Quan</t>
  </si>
  <si>
    <t>Demystifying Novelty Effects: An Analysis of Consumer Responses to YouTube Videos Featuring Augmented Reality Out-of-Home Advertising Campaigns</t>
  </si>
  <si>
    <t>JOURNAL OF CURRENT ISSUES AND RESEARCH IN ADVERTISING</t>
  </si>
  <si>
    <t>AD; UTILITARIAN; INFORMATION; TECHNOLOGY; BELIEFS; APPEALS; IMPACT</t>
  </si>
  <si>
    <t>When examining ad creativity, previous research focused on traditional forms of advertising. The present research extended previous research to a new form of dvertising-augmented reality (AR) out-of-home (OOH) campaigns uploaded on social media. Over the past few years, advertisers have adopted AR in OOH advertising to boost its creativity. To overcome the geographic limit, advertisers also film the interaction between people and virtual objects in AR OOH campaigns and upload promotional videos on social media. Through a qualitative textual analysis of viewer comments with an adoption of both machine coding and human coding, this exploratory study attempted to interpret consumer conversations around four YouTube videos featuring AR OOH campaigns. Results revealed that viewer conversations can be divided into six types. We also propose a theoretical framework to predict different types of consumer responses to YouTube videos featuring AR OOH campaigns and discuss managerial implications for marketers and advertisers, as well as future research direction.</t>
  </si>
  <si>
    <t>[Feng, Yang] San Diego State Univ, Coll Profess Studies &amp; Fine Arts, Sch Journalism &amp; Media Studies, 5500 Campanile Dr, San Diego, CA 92182 USA; [Xie, Quan] Bradley Univ, Slane Coll Commun &amp; Fine Arts, Dept Commun, Strateg Commun, Peoria, IL 61625 USA</t>
  </si>
  <si>
    <t>California State University System; San Diego State University; Bradley University</t>
  </si>
  <si>
    <t>Feng, Y (corresponding author), San Diego State Univ, Coll Profess Studies &amp; Fine Arts, Sch Journalism &amp; Media Studies, 5500 Campanile Dr, San Diego, CA 92182 USA.</t>
  </si>
  <si>
    <t>yfeng@sdsu.edu</t>
  </si>
  <si>
    <t>Feng, Yang/0000-0003-1973-0014; Xie, Quan/0000-0002-5768-0671</t>
  </si>
  <si>
    <t>2-4 PARK SQUARE, MILTON PARK, ABINGDON OR14 4RN, OXON, ENGLAND</t>
  </si>
  <si>
    <t>1064-1734</t>
  </si>
  <si>
    <t>2164-7313</t>
  </si>
  <si>
    <t>J CURR ISS RES AD</t>
  </si>
  <si>
    <t>J. Curr. Issues Res. Advert.</t>
  </si>
  <si>
    <t>10.1080/10641734.2018.1500321</t>
  </si>
  <si>
    <t>MY8QP</t>
  </si>
  <si>
    <t>WOS:000558683400004</t>
  </si>
  <si>
    <t>Colmekcioglu, N; Marvi, R; Foroudi, P; Okumus, F</t>
  </si>
  <si>
    <t>Colmekcioglu, Nazan; Marvi, Reza; Foroudi, Pantea; Okumus, Fevzi</t>
  </si>
  <si>
    <t>Generation, susceptibility, and response regarding negativity: An in-depth analysis on negative online reviews</t>
  </si>
  <si>
    <t>Negative online reviews; Negativity; Generation; Susceptibility; Response</t>
  </si>
  <si>
    <t>WORD-OF-MOUTH; CONSUMER REVIEWS; MODERATING ROLE; INTERPERSONAL-COMMUNICATION; CUSTOMER REVIEWS; PRODUCT; IMPACT; EWOM; INFORMATION; INTENTION</t>
  </si>
  <si>
    <t>Negative online reviews can drastically influence consumer behavior and business strategies. Recent attention on the subject demonstrates its importance in the consumer and marketing literature. Even so, no study quantita-tively investigates the corpus of the literature. This study quantitatively and systematically investigates the foundational research streams of negative online reviews to identify influential sources and main areas of knowledge in the domain. The study employs an integration of text mining and co-citation analysis, recognizing that firms' responses to negative online reviews cannot be analyzed without understanding the role of customers. Accordingly, this study generates insight into customers and firms in each negative online review stage, furnishing a conceptual framework that synthesizes the previous literature and highlights the most important research gaps requiring attention. Ultimately, the conceptual framework can guide future researchers in unfolding new and novel directions to expand the boundaries of the negative online review literature.</t>
  </si>
  <si>
    <t>[Colmekcioglu, Nazan] Cardiff Univ, Cardiff Business Sch, Aberconway Bldg, Colum Dr, Cardiff CF10 3EU, Wales; [Marvi, Reza; Foroudi, Pantea] Middlesex Univ, Middlesex Business Sch, London NW4, England; [Okumus, Fevzi] Florida Cent Univ, 4000 Cent Florida Blvd, Orlando, FL 32816 USA</t>
  </si>
  <si>
    <t>Cardiff University; Middlesex University</t>
  </si>
  <si>
    <t>Colmekcioglu, N (corresponding author), Cardiff Univ, Cardiff Business Sch, Aberconway Bldg, Colum Dr, Cardiff CF10 3EU, Wales.</t>
  </si>
  <si>
    <t>Colmekcioglun@cardiff.ac.uk; p.foroudi@mdx.ac.uk; fevzi.okumus@ucf.edu</t>
  </si>
  <si>
    <t>10.1016/j.jbusres.2022.08.033</t>
  </si>
  <si>
    <t>5A9XS</t>
  </si>
  <si>
    <t>Green Accepted, Green Published</t>
  </si>
  <si>
    <t>WOS:000863232400010</t>
  </si>
  <si>
    <t>Liu, X; Burns, AC; Hou, YJ</t>
  </si>
  <si>
    <t>Liu, Xia; Burns, Alvin C.; Hou, Yingjian</t>
  </si>
  <si>
    <t>An Investigation of Brand-Related User-Generated Content on Twitter</t>
  </si>
  <si>
    <t>WORD-OF-MOUTH; SOCIAL-MEDIA; BIG DATA; IMPACT; TWEETS; SENTIMENT; CONSUMERS; POWER; TEXT; ACCOUNTS</t>
  </si>
  <si>
    <t>The big data of user-generated content (UGC) on social media are laden with potential value for brand managers. However, there are many obstacles to using big data to answer brand-management questions. This article presents a framework that automatically derives latent brand topics and classifies brand sentiments. It applies text mining with latent Dirichlet allocation (LDA) and sentiment analysis on 1.7 million unique tweets for 20 brands across five industries: fast food, department store, footwear, electronics, and telecommunications. The framework is used to explore four brand-related questions on Twitter. There are three main findings. First, product, service, and promotions are the dominant topics of interest when consumers interact with brands on Twitter. Second, consumer sentiments toward brands vary within and across industries. Third, separate company-specific analyses of positive and negative tweets generate a more accurate understanding of Twitter users' major brand topics and sentiments. Our findings provide brand managers with actionable insights in targeted advertising, social customer relationship management (CRM), and brand management.</t>
  </si>
  <si>
    <t>[Liu, Xia] Rowan Univ, Mkt, William G Rohrer Coll Business, Glassboro, NJ USA; [Burns, Alvin C.] Louisiana State Univ, Mkt, EJ Ourso Coll Business, Baton Rouge, LA 70803 USA; [Hou, Yingjian] MMY Digital, Cherry Hill, NJ USA</t>
  </si>
  <si>
    <t>Rowan University; Louisiana State University System; Louisiana State University</t>
  </si>
  <si>
    <t>Liu, X (corresponding author), Rowan Univ, William G Rohrer Coll Business, 201 Mullica Hill Rd, Glassboro, NJ 08028 USA.</t>
  </si>
  <si>
    <t>liul@rowan.edu</t>
  </si>
  <si>
    <t>10.1080/00913367.2017.1297273</t>
  </si>
  <si>
    <t>ET1KR</t>
  </si>
  <si>
    <t>WOS:000400028600002</t>
  </si>
  <si>
    <t>Li, JP; Yao, YH; Xu, YJ; Li, JY; Wei, L; Zhu, XQ</t>
  </si>
  <si>
    <t>Li, Jianping; Yao, Yinhong; Xu, Yuanjie; Li, Jingyu; Wei, Lu; Zhu, Xiaoqian</t>
  </si>
  <si>
    <t>Consumer's risk perception on the Belt and Road countries: evidence from the cross-border e-commerce</t>
  </si>
  <si>
    <t>Risk perception; Cross-border e-commerce (CBEC); Textual online reviews; Latent Dirichlet Allocation (LDA); Sentiment analysis</t>
  </si>
  <si>
    <t>CHINA BELT; ONLINE; REVIEWS; INTENTIONS; EVOLUTION; ANALYTICS; FRAMEWORK; PRODUCTS</t>
  </si>
  <si>
    <t>Understanding consumer's risk perception on the Belt and Road (B&amp;R) countries is important for the development of cross-border e-commerce (CBEC) along these countries. However, most of the extant studies cannot properly analyze consumer's risk perception due to the limited data collected by questionnaires. Therefore, this study proposes a text-mining-based framework to study consumer's risk perception on the B&amp;R countries based on massive textual online reviews collected from CBEC. In the proposed framework, the Latent Dirichlet Allocation model and sentiment analysis method are used to identify the main risk factors affecting consumer's risk perception and calculate their sentiment score, the risk perception indicator is constructed to measure the magnitude of consumer's risk perception. In the experiment, totally 66,661 reviews of the representative products from nine B&amp;R countries are collected from Tmall Global. Six major risk factors are identified, and consumer's risk perception on nine B&amp;R countries is given.</t>
  </si>
  <si>
    <t>[Li, Jianping; Yao, Yinhong; Xu, Yuanjie; Li, Jingyu; Wei, Lu; Zhu, Xiaoqian] Chinese Acad Sci, Inst Sci, Beijing 100190, Peoples R China; [Li, Jianping; Yao, Yinhong; Xu, Yuanjie; Li, Jingyu; Wei, Lu; Zhu, Xiaoqian] Chinese Acad Sci, Inst Dev, Beijing 100190, Peoples R China; [Li, Jianping; Yao, Yinhong; Xu, Yuanjie; Li, Jingyu; Wei, Lu] Univ Chinese Acad Sci, Beijing 100049, Peoples R China</t>
  </si>
  <si>
    <t>Chinese Academy of Sciences; Chinese Academy of Sciences; Chinese Academy of Sciences; University of Chinese Academy of Sciences, CAS</t>
  </si>
  <si>
    <t>Zhu, XQ (corresponding author), Chinese Acad Sci, Inst Sci, Beijing 100190, Peoples R China.;Zhu, XQ (corresponding author), Chinese Acad Sci, Inst Dev, Beijing 100190, Peoples R China.</t>
  </si>
  <si>
    <t>zhuxq@casipm.ac.cn</t>
  </si>
  <si>
    <t>Li, Jing/GYU-5036-2022; Li, Jingyu/GSD-1924-2022; LI, Jing/HNB-5575-2023</t>
  </si>
  <si>
    <t>Zhu, Xiaoqian/0000-0002-7854-2753</t>
  </si>
  <si>
    <t>10.1007/s10660-019-09342-x</t>
  </si>
  <si>
    <t>JM2DA</t>
  </si>
  <si>
    <t>WOS:000496029800005</t>
  </si>
  <si>
    <t>Kim, JE; Lloyd, S; Cervellon, MC</t>
  </si>
  <si>
    <t>Kim, Jae-Eun; Lloyd, Stephen; Cervellon, Marie-Cecile</t>
  </si>
  <si>
    <t>Narrative-transportation storylines in luxury brand advertising: Motivating consumer engagement</t>
  </si>
  <si>
    <t>Luxury brand advertising; Engagement; Narrative transportation; Implicit; Cross-cultural</t>
  </si>
  <si>
    <t>STATUS CONSUMPTION; FASHION; ART; WESTERN; MODEL; FACE</t>
  </si>
  <si>
    <t>This research advances the theory and practice of luxury brand advertising effectiveness by decoding brand consumer engagement grounded in narrative transportation. An online semi-structured qualitative questionnaire incorporates a modified thematic apperception testing projective technique and is administered in three target countries for luxury brands: France, Korea and Australia. Respondents were exposed at random to global ads from one of four brands: Hermes, Chanel, Louis Vuitton and Gucci. Narratives produced are analyzed with thematic and text analysis. The research contributes to luxury brand advertising research by identifying a route to persuasion based on the level of implicit narrative transportation engendered by the brand's advertising. While respondents express cultural differences in the way they script their experiences, an implicit route to engagement is equally effective across cultures. (C) 2015 Elsevier Inc. All rights reserved.</t>
  </si>
  <si>
    <t>[Kim, Jae-Eun] AUT Univ, Auckland, New Zealand; [Lloyd, Stephen] AUT Univ, Sch Business, Auckland 1142, New Zealand; [Cervellon, Marie-Cecile] EDHEC Business Sch, Nice, France; [Cervellon, Marie-Cecile] EDHEC Business Sch, Lille, France</t>
  </si>
  <si>
    <t>Auckland University of Technology; Auckland University of Technology; Universite Catholique de Lille; EDHEC Business School; Universite Catholique de Lille; EDHEC Business School</t>
  </si>
  <si>
    <t>Lloyd, S (corresponding author), AUT Univ, Sch Business, Private Bag 92006, Auckland 1142, New Zealand.</t>
  </si>
  <si>
    <t>jakim@aut.ac.nz; Stephen.Lloyd@aut.ac.nz; Marie-Cecile.CERVELLON@edhec.edu</t>
  </si>
  <si>
    <t>Kim, Jae-Eun/0000-0002-3850-0153</t>
  </si>
  <si>
    <t>10.1016/j.jbusres.2015.08.002</t>
  </si>
  <si>
    <t>CY0AY</t>
  </si>
  <si>
    <t>WOS:000366069600030</t>
  </si>
  <si>
    <t>Fidan, H</t>
  </si>
  <si>
    <t>Fidan, Huseyin</t>
  </si>
  <si>
    <t>Grey Relational Classification of Consumer's Textual Evaluations in E-Commerce</t>
  </si>
  <si>
    <t>JOURNAL OF THEORETICAL AND APPLIED ELECTRONIC COMMERCE RESEARCH</t>
  </si>
  <si>
    <t>Consumer relationships management; Consumer evaluation analysis; Text mining; Grey system theory; Grey relational classification</t>
  </si>
  <si>
    <t>CUSTOMER RELATIONSHIP MANAGEMENT; KEYWORD EXTRACTION METHODS; SUPPLIER SELECTION; SENTIMENT ANALYSIS; MODELS</t>
  </si>
  <si>
    <t>Companies have gained important advantages by the development of electronic commerce. Consumer evaluations in electronic environment offer great possibilities for analysis. The fact that the consumer opinions are comprised of textual data, analyzes have complicated and challenging process. In recent years, it is seen that text mining methods are used in analyzes in the literature. However, the evaluations of consumers which are formed by short texts make it necessary to realize the analysis with insufficient data. The weighting methods such as Term Frequency and Term Frequency-Inverse Document Frequency as well as common used classification algorithms such as Naive Bayes and Support Vector Machine have some inadequacies in short text analysis. In this study, a grey relational classification model based on Vector Space Model and Bag of Words has been developed. The model was first applied to the positive-negative categorization of the evaluations, then, applied to the classification of negative evaluations. It was determined that the accuracy level of the model is higher than the classification algorithms commonly used in short text. According to the results of the research, 9637 negative evaluations in 24479 consumer opinion were determined, and 50.4% of the negative evaluations were found to have the most problems related to product.</t>
  </si>
  <si>
    <t>[Fidan, Huseyin] Mehmet Akif Ersoy Univ, Ind Engn Dept, Burdur, Turkey</t>
  </si>
  <si>
    <t>Mehmet Akif Ersoy University</t>
  </si>
  <si>
    <t>Fidan, H (corresponding author), Mehmet Akif Ersoy Univ, Ind Engn Dept, Burdur, Turkey.</t>
  </si>
  <si>
    <t>hfidan@mehmetakif.edu.tr</t>
  </si>
  <si>
    <t>Fidan, Hüseyin/AAC-1630-2019</t>
  </si>
  <si>
    <t>0718-1876</t>
  </si>
  <si>
    <t>J THEOR APPL EL COMM</t>
  </si>
  <si>
    <t>J. Theor. Appl. Electron. Commer. Res.</t>
  </si>
  <si>
    <t>10.4067/S0718-18762020000100105</t>
  </si>
  <si>
    <t>IA3MY</t>
  </si>
  <si>
    <t>WOS:000469468600005</t>
  </si>
  <si>
    <t>Kauffmann, E; Peral, J; Gil, D; Ferrandez, A; Sellers, R; Mora, H</t>
  </si>
  <si>
    <t>Big data analytics; Sentiment analysis; Marketing decisions; High-tech industries; Fake reviews</t>
  </si>
  <si>
    <t>USER-GENERATED CONTENT; SENTIWORDNET; CHALLENGES; OPINIONS; WORDS</t>
  </si>
  <si>
    <t>[Kauffmann, Erick] Univ Costa Rica, Dept Ind Engn, San Jose, Costa Rica; [Peral, Jesus; Ferrandez, Antonio] Univ Alicante, Dept Software &amp; Comp Syst, Alicante 03690, Spain; [Gil, David; Mora, Higinio] Univ Alicante, Dept Comp Technol &amp; Data Proc, Alicante 03690, Spain; [Sellers, Ricardo] Univ Alicante, Dept Mkt, Alicante 03690, Spain</t>
  </si>
  <si>
    <t>Universidad Costa Rica; Universitat d'Alacant; Universitat d'Alacant; Universitat d'Alacant</t>
  </si>
  <si>
    <t>Gil, D (corresponding author), Univ Alicante, Dept Comp Technol &amp; Data Proc, Alicante 03690, Spain.</t>
  </si>
  <si>
    <t>dgil@dtic.ua.es</t>
  </si>
  <si>
    <t>Mora, Higinio/L-3347-2014; Gil, David/F-3185-2019; Ferrández, Antonio/ABF-3889-2021; Sellers-Rubio, Ricardo/H-1932-2015</t>
  </si>
  <si>
    <t>Mora, Higinio/0000-0002-8591-0710; Gil, David/0000-0003-0791-8298; Sellers-Rubio, Ricardo/0000-0002-9108-1904; Peral, Jesus/0000-0003-1537-0218; Ferrandez, Antonio/0000-0003-3406-3838</t>
  </si>
  <si>
    <t>Spanish Research Agency (AEI); European Regional Development Fund (FEDER) through the project CloudDriver4Industry [TIN2017-89266-R]; Spanish Ministry of Science, Innovation and Universities through the Project ECLIPSE-UA [RTI2018-094283-B-C32]; Conselleria de Educacion, Investigacion, Cultura y Deporte of the Community of Valencia, Spain [AICO/2017/134, PROMETEO/2018/089]</t>
  </si>
  <si>
    <t>Spanish Research Agency (AEI)(Spanish Government); European Regional Development Fund (FEDER) through the project CloudDriver4Industry; Spanish Ministry of Science, Innovation and Universities through the Project ECLIPSE-UA; Conselleria de Educacion, Investigacion, Cultura y Deporte of the Community of Valencia, Spain</t>
  </si>
  <si>
    <t>This work was supported in part by the Spanish Research Agency (AEI) and the European Regional Development Fund (FEDER) through the project CloudDriver4Industry under Grant TIN2017-89266-R, in part by the Spanish Ministry of Science, Innovation and Universities through the Project ECLIPSE-UA under Grant RTI2018-094283-B-C32, and in part by the Conselleria de Educacion, Investigacion, Cultura y Deporte of the Community of Valencia, Spain, within the Program of Support for Research under Project AICO/2017/134 and Project PROMETEO/2018/089.</t>
  </si>
  <si>
    <t>10.1016/j.indmarman.2019.08.003</t>
  </si>
  <si>
    <t>WOS:000579880200040</t>
  </si>
  <si>
    <t>Herijgers, MLC; Maat, HLWP</t>
  </si>
  <si>
    <t>Herijgers, M. L. C.; Maat, Henk L. W. Pander</t>
  </si>
  <si>
    <t>How to evaluate multichannel communication packages: a case study on mortgage information</t>
  </si>
  <si>
    <t>INTERNATIONAL JOURNAL OF BANK MARKETING</t>
  </si>
  <si>
    <t>Functional analysis; Media synchronicity theory; Multichannel communication; Task-channel fit</t>
  </si>
  <si>
    <t>MEDIA SYNCHRONICITY; INFORMED-CONSENT; CONSUMERS; RICHNESS; CHANNELS; CHOICE; USAGE</t>
  </si>
  <si>
    <t>Purpose - Complex decision-making is often supported not by single messages but by multichannel communication packages that need to be evaluated in their own right. The purpose of this paper is to present a new analytic approach to this package evaluation task combining textual analysis, functional analysis ( FA) and media synchronicity theory. Design/methodology/approach - The authors combine textual analysis, FA and media synchronicity and demonstrate this in a single case analysis of a multichannel communication package offering mortgage information. Findings - When applied to a mortgage communication package for consumers, the evaluation reveals significant problems concerning the contents and timing of mortgage information and the channels chosen to convey it. Research limitations/implications - This paper outlines a new direction for evaluating multichannel consumer information, in that it does not focus on user channel preferences but on channel requirements stemming from the communicative task to be performed. Practical implications - This paper enables designers to optimize the design of multichannel communication packages and its individual components to support customer's decision-making processes with regards to complex products. Social implications - Improving information to guide complex decision-making processes leads to better informed consumers. Originality/value - Research into effective multichannel communication within marketing is in its infancy. This paper offers a new perspective by focusing on channel requirements stemming from the communicative task rather than consumers' channel preferences.</t>
  </si>
  <si>
    <t>[Herijgers, M. L. C.; Maat, Henk L. W. Pander] Univ Utrecht, Utrecht Inst Linguist OTS, Dept Language Literature &amp; Commun, Utrecht, Netherlands</t>
  </si>
  <si>
    <t>Utrecht University</t>
  </si>
  <si>
    <t>Herijgers, MLC (corresponding author), Univ Utrecht, Utrecht Inst Linguist OTS, Dept Language Literature &amp; Commun, Utrecht, Netherlands.</t>
  </si>
  <si>
    <t>m.herijgers@uu.nl</t>
  </si>
  <si>
    <t>0265-2323</t>
  </si>
  <si>
    <t>1758-5937</t>
  </si>
  <si>
    <t>INT J BANK MARK</t>
  </si>
  <si>
    <t>Int. J. Bank Mark.</t>
  </si>
  <si>
    <t>10.1108/IJBM-12-2014-0173</t>
  </si>
  <si>
    <t>V0S4T</t>
  </si>
  <si>
    <t>WOS:000216517800011</t>
  </si>
  <si>
    <t>Geraghty, K; Sonmezer, E; Maron, M; Ruble, D</t>
  </si>
  <si>
    <t>Geraghty, Kevin; Sonmezer, Eric; Maron, Matthew; Ruble, Daniel</t>
  </si>
  <si>
    <t>360i Generates Nearly $1 Billion in Revenue for Internet Paid-Search Clients</t>
  </si>
  <si>
    <t>INTERFACES</t>
  </si>
  <si>
    <t>advertising; marketing; revenue management; forecasting; data mining; optimization</t>
  </si>
  <si>
    <t>360i manages Internet paid-search advertisements on behalf of some of the largest advertisers in the world. This management requires 360i to develop advertising copy, allocate budgets, and generate bids for a second-price auction across millions of keywords, seasons, geographies, device types, and audience segments. To ensure that it captures the right click each time, 360i built a technology suite that is unique in the industry. This suite includes natural-language processing that combines keywords with the right advertising copy and landing pages to maximize relevance to the consumer. It offers advanced forecasting and optimization to allocate budgets where and when they are needed, and supports predictive bidding, which uses linguistic similarity as a proxy for performance correlation between keywords, to calculate accurate bids for keywords with sparse data. Finally, it delivers performance monitoring that unscrambles an opaque real-time auction to address campaign performance issues before they occur. The system has been a major contributor to 360i's winning multiple awards. Most importantly, the application of advanced operations research techniques has generated nearly $1 billion in incremental revenue for 360i's paid-search clients.</t>
  </si>
  <si>
    <t>[Geraghty, Kevin] 360i, Adv Analyt &amp; Data Sci, Atlanta, GA 30309 USA; [Sonmezer, Eric] 360i, Atlanta, GA 30309 USA; [Maron, Matthew; Ruble, Daniel] CubeSmart, Malvern, PA 19355 USA</t>
  </si>
  <si>
    <t>Geraghty, K (corresponding author), 360i, Adv Analyt &amp; Data Sci, Atlanta, GA 30309 USA.</t>
  </si>
  <si>
    <t>kquant@gmail.com; eric.sonmezer@360i.com; mmaron@cubesmart.com; druble@cubesmart.com</t>
  </si>
  <si>
    <t>0092-2102</t>
  </si>
  <si>
    <t>1526-551X</t>
  </si>
  <si>
    <t>Interfaces</t>
  </si>
  <si>
    <t>10.1287/inte.2016.0879</t>
  </si>
  <si>
    <t>EO1VA</t>
  </si>
  <si>
    <t>WOS:000396484800004</t>
  </si>
  <si>
    <t>Kaiser, C; Bodendorf, F</t>
  </si>
  <si>
    <t>Kaiser, Carolin; Bodendorf, Freimut</t>
  </si>
  <si>
    <t>Mining consumer dialog in online forums</t>
  </si>
  <si>
    <t>Text mining; Social networks; Data analysis; Internet; Consumer behaviour; Information exchange; Digital communication systems</t>
  </si>
  <si>
    <t>AGREEMENT; REVIEWS</t>
  </si>
  <si>
    <t>Purpose - The paper's aim is to mine and analyze opinion formation on the basis of consumer dialogs in online forums. Design/methodology/approach - The study identifies opinions, communication relationships, and dialog acts of forum users using different text mining methods. Utilizing this data, social networks can be derived and analyzed to detect influential users and opinion tendencies. The approach is applied to sample online forums discussing the iPhone. Findings - Combining text mining and social network analysis enables the study of opinion formation and yields encouraging results. Out of the four methods employed for text mining, support vector machines performed best. Research limitations/implications - The data set applied here is fairly small. More threads on different products will be considered in future work to improve validation. Practical implications - The approach represents a valuable instrument for online market research. It enables companies to recognize opportunities and risks and to initiate appropriate marketing actions. Originality/value - This work is one of the first studies that combine communication content, relationships and dialog acts for analyzing opinion formation.</t>
  </si>
  <si>
    <t>[Kaiser, Carolin; Bodendorf, Freimut] Univ Erlangen Nurnberg, Dept Informat Syst, Nurnberg, Germany</t>
  </si>
  <si>
    <t>University of Erlangen Nuremberg</t>
  </si>
  <si>
    <t>Kaiser, C (corresponding author), Univ Erlangen Nurnberg, Dept Informat Syst, Nurnberg, Germany.</t>
  </si>
  <si>
    <t>carolin.kaiser@wiso.uni-erlangen.de</t>
  </si>
  <si>
    <t>10.1108/10662241211235653</t>
  </si>
  <si>
    <t>990DO</t>
  </si>
  <si>
    <t>WOS:000307611400002</t>
  </si>
  <si>
    <t>Wang, Y</t>
  </si>
  <si>
    <t>Wang, Yan</t>
  </si>
  <si>
    <t>Brand crisis communication through social media A dialogue between brand competitors on Sina Weibo</t>
  </si>
  <si>
    <t>CORPORATE COMMUNICATIONS</t>
  </si>
  <si>
    <t>Advertising campaign; Brand crisis communication; Micro-blog message; Sina Weibo</t>
  </si>
  <si>
    <t>RESPONSE STRATEGIES; MESSAGES; APOLOGY; MODEL</t>
  </si>
  <si>
    <t>Purpose - The purpose of this paper is to investigate how companies make use of social media communication to turn crises into opportunities and how consumers respond to this brand management strategy, and evaluate the effects of this kind of advertising campaign. Design/methodology/approach - This study uses the textual analysis method to examine the verbal fight between two brand competitors on Sina Weibo. An interpretative analysis approach is adopted to analyze a series of micro-blog messages and relevant responses and comments. A statistical analysis is conducted to reveal the public opinion on this case. Findings - he brand crisis due to trademark dispute has been successfully turned into an advertising campaign, which received eager and favorable responses from the consumers. In the name of making apologies, the company in crisis availed itself of the Weibo platform to make a veiled protest against the verdict of the Court. The technique acting cute was proved to be effective in diminishing the negative effect of a brand crisis and winning public sympathy and support. Research limitations/implications - he research findings may provide insights into the interplay between brand advertising and corporate crisis communication on the platform of social media. Practical implications - This study can inform practitioners of useful techniques to deal with brand crises via social media. Originality/value - The value of this study lies not only in its contribution to the body of knowledge on online crisis management with a case of Chinese companies, but also in its validation of the interplay between crisis communication and advertising.</t>
  </si>
  <si>
    <t>[Wang, Yan] Univ Int Business &amp; Econ, Sch Int Studies, Beijing, Peoples R China</t>
  </si>
  <si>
    <t>University of International Business &amp; Economics</t>
  </si>
  <si>
    <t>Wang, Y (corresponding author), Univ Int Business &amp; Econ, Sch Int Studies, Beijing, Peoples R China.</t>
  </si>
  <si>
    <t>wyan603@sina.com</t>
  </si>
  <si>
    <t>Wang, Yan/0000-0003-1116-5049</t>
  </si>
  <si>
    <t>Fundamental Research Funds for the Central Universities in UIBE [14YB18]; Humanities and Social Sciences Fund of the Ministry of Education of China [14YJC740010]</t>
  </si>
  <si>
    <t>Fundamental Research Funds for the Central Universities in UIBE; Humanities and Social Sciences Fund of the Ministry of Education of China(Ministry of Education, China)</t>
  </si>
  <si>
    <t>This study is sponsored by the Fundamental Research Funds for the Central Universities in UIBE (Grant No. 14YB18), and also supported by the Humanities and Social Sciences Fund of the Ministry of Education of China(Grant No. 14YJC740010). The author is grateful to Michael Goodman and Christina Genest for their helpful comments on an earlier version of this paper.</t>
  </si>
  <si>
    <t>1356-3289</t>
  </si>
  <si>
    <t>1758-6046</t>
  </si>
  <si>
    <t>CORP COMMUN</t>
  </si>
  <si>
    <t>Corp. Commun.</t>
  </si>
  <si>
    <t>10.1108/CCIJ-10-2014-0065</t>
  </si>
  <si>
    <t>DU1PB</t>
  </si>
  <si>
    <t>WOS:000381979400004</t>
  </si>
  <si>
    <t>Dahka, ZY; Hajiheydari, N; Rouhani, S</t>
  </si>
  <si>
    <t>Dahka, Zohreh Yousefi; Hajiheydari, Nastaran; Rouhani, Saeed</t>
  </si>
  <si>
    <t>User response to e-WOM in social networks: how to predict a content influence in Twitter</t>
  </si>
  <si>
    <t>INTERNATIONAL JOURNAL OF INTERNET MARKETING AND ADVERTISING</t>
  </si>
  <si>
    <t>electronic word-of-mouth; e-WOM; social media; e-retailing; content influence; data mining; Twitter; text mining</t>
  </si>
  <si>
    <t>WORD-OF-MOUTH; REVIEWS; IMPACT; DYNAMICS; SALES; MEDIA; COMMUNICATION; CONSUMERS; MOVIES</t>
  </si>
  <si>
    <t>The purpose of this research is to find influential factors on electronic word-of-mouth effectiveness for e-retailers in Twitter social media, applying data mining and text mining techniques and through R programming language. The relationship between using hashtag, mention, media and link in the tweet content, length of the content, the time of being posted and the number of followers and followings with the influence of e-WOM is analysed. 48,129 tweets about two of the most famous American e-retailers, Amazon and eBay, are used as samples; results show a strong relationship between the number of followers, followings, the length of the content and the effectiveness of e-WOM and weaker relevance between having media and mention with e-WOM effectiveness on Twitter. Findings of this paper would help e-retailing marketers and managers to know their influential customers in social media channels for viral marketing purpose and advertising campaigns.</t>
  </si>
  <si>
    <t>[Dahka, Zohreh Yousefi; Rouhani, Saeed] Univ Tehran, Fac Management, Tehran, Iran; [Hajiheydari, Nastaran] Univ Sheffield, Sheffield Univ Management Sch, Sheffield, England</t>
  </si>
  <si>
    <t>University of Tehran; University of Sheffield</t>
  </si>
  <si>
    <t>Hajiheydari, N (corresponding author), Univ Sheffield, Sheffield Univ Management Sch, Sheffield, England.</t>
  </si>
  <si>
    <t>usefie.z@ut.ac.ir; n.hajiheydari@sheffield.ac.uk; srouhani@ut.ac.ir</t>
  </si>
  <si>
    <t>INDERSCIENCE ENTERPRISES LTD</t>
  </si>
  <si>
    <t>GENEVA</t>
  </si>
  <si>
    <t>WORLD TRADE CENTER BLDG, 29 ROUTE DE PRE-BOIS, CASE POSTALE 856, CH-1215 GENEVA, SWITZERLAND</t>
  </si>
  <si>
    <t>1477-5212</t>
  </si>
  <si>
    <t>1741-8100</t>
  </si>
  <si>
    <t>INT J INTERNET MARK</t>
  </si>
  <si>
    <t>Int. J. Internet Marketing Advertising</t>
  </si>
  <si>
    <t>10.1504/IJIMA.2020.106041</t>
  </si>
  <si>
    <t>6R8XM</t>
  </si>
  <si>
    <t>WOS:000892580100005</t>
  </si>
  <si>
    <t>Tsao, HY; Campbell, CL; Sands, S; Ferraro, C; Mavrommatis, A; Lu, S</t>
  </si>
  <si>
    <t>Tsao, Hsiu-Yuan (Jody); Campbell, Colin L.; Sands, Sean; Ferraro, Carla; Mavrommatis, Alexis; Lu, Steven (Qiang)</t>
  </si>
  <si>
    <t>A machine-learning based approach to measuring constructs through text analysis</t>
  </si>
  <si>
    <t>Machine learning; Text mining; Construct measurement; Text scraping</t>
  </si>
  <si>
    <t>SENTIMENT ANALYSIS</t>
  </si>
  <si>
    <t>Purpose This paper aims to develop a novel and generalizable machine-learning based method of measuring established marketing constructs through passive analysis of consumer-generated textual data. The authors term this method scale-directed text analysis. Design/methodology/approach The method first develops a dictionary of words related to specific dimensions of a construct that is used to assess textual data from any source for a specific meaning. The method explicitly recognizes both specific words and the strength of their underlying sentiment. Findings Results calculated using this new approach are statistically equivalent to responses to traditional marketing scale items. These results demonstrate the validity of the authors' methodology and show its potential to complement traditional survey approaches to assessing marketing constructs. Originality/value Scale-directed text analysis goes beyond traditional methods of conducting simple sentiment analysis and word frequency or percentage counts. It combines the richness of traditional textual and sentiment analysis with the theoretical structure and analytical rigor provided by traditional marketing scales, all in an automatic process.</t>
  </si>
  <si>
    <t>[Tsao, Hsiu-Yuan (Jody)] Natl Chung Hsing Univ, Taichung, Taiwan; [Campbell, Colin L.] Univ San Diego, Dept Mkt, Sch Business, San Diego, CA 92110 USA; [Sands, Sean; Ferraro, Carla] Swinburne Univ Technol, Dept Management &amp; Mkt, Melbourne, Vic, Australia; [Mavrommatis, Alexis] ESADE Business Sch, Dept Mkt, Barcelona, Spain; [Lu, Steven (Qiang)] Univ Sydney, Business Sch, Sydney, NSW, Australia</t>
  </si>
  <si>
    <t>National Chung Hsing University; University of San Diego; Swinburne University of Technology; Universitat Ramon Llull; Escuela Superior de Administracion y Direccion de Empresas (ESADE); University of Sydney</t>
  </si>
  <si>
    <t>Campbell, CL (corresponding author), Univ San Diego, Dept Mkt, Sch Business, San Diego, CA 92110 USA.</t>
  </si>
  <si>
    <t>Mavrommatis, Alexis/HLH-5824-2023; Campbell, Colin/AAF-4998-2021</t>
  </si>
  <si>
    <t>Campbell, Colin/0000-0002-6218-0866</t>
  </si>
  <si>
    <t>NOV 23</t>
  </si>
  <si>
    <t>10.1108/EJM-01-2019-0084</t>
  </si>
  <si>
    <t>LB7AL</t>
  </si>
  <si>
    <t>WOS:000501757500001</t>
  </si>
  <si>
    <t>Amado, A; Cortez, P; Rita, P; Moro, S</t>
  </si>
  <si>
    <t>Amado, Alexandra; Cortez, Paulo; Rita, Paulo; Moro, Sergio</t>
  </si>
  <si>
    <t>Research trends on Big Data in Marketing: A text mining and topic modeling based literature analysis</t>
  </si>
  <si>
    <t>EUROPEAN RESEARCH ON MANAGEMENT AND BUSINESS ECONOMICS</t>
  </si>
  <si>
    <t>Big data; Marketing; Literature analysis; Research trends; Text mining</t>
  </si>
  <si>
    <t>BUSINESS INTELLIGENCE; ANALYTICS</t>
  </si>
  <si>
    <t>Given the research interest on Big Data in Marketing, we present a research literature analysis based on a text mining semi-automated approach with the goal of identifying the main trends in this domain. In particular, the analysis focuses on relevant terms and topics related with five dimensions: Big Data, Marketing, Geographic location of authors' affiliation (countries and continents), Products, and Sectors. A total of 1560 articles published from 2010 to 2015 were scrutinized. The findings revealed that research is bipartite between technological and research domains, with Big Data publications not clearly aligning cutting edge techniques toward Marketing benefits. Also, few inter-continental co-authored publications were found. Moreover, findings show that research in Big Data applications to Marketing is still in an embryonic stage, thus making it essential to develop more direct efforts toward business for Big Data to thrive in the Marketing arena. (c) 2017 AEDEM. Published by Elsevier Espana, S.L.U.</t>
  </si>
  <si>
    <t>[Amado, Alexandra] Inst Univ Lisboa ISCTE IUL, Av Forcas Armadas, P-1649026 Lisbon, Portugal; [Cortez, Paulo; Moro, Sergio] Univ Minho, ALGORITMI Res Ctr, Dept Informat Syst, Campus Azurem, P-4800058 Guimaraes, Portugal; [Rita, Paulo] Inst Univ Lisboa ISCTE IUL, CIS IUL, Av Forcas Armadas, P-1649026 Lisbon, Portugal; [Rita, Paulo] Univ Nova Lisboa, NOVA Informat Management Sch NOVA IMS, Campus Campolide, P-1070312 Lisbon, Portugal; [Moro, Sergio] Inst Univ Lisboa ISCTE IUL, ISTAR IUL, Av Forcas Armadas, P-1649026 Lisbon, Portugal</t>
  </si>
  <si>
    <t>Instituto Universitario de Lisboa; Universidade do Minho; Instituto Universitario de Lisboa; Universidade Nova de Lisboa; Instituto Universitario de Lisboa</t>
  </si>
  <si>
    <t>Moro, S (corresponding author), Univ Minho, ALGORITMI Res Ctr, Dept Informat Syst, Campus Azurem, P-4800058 Guimaraes, Portugal.;Moro, S (corresponding author), Inst Univ Lisboa ISCTE IUL, ISTAR IUL, Av Forcas Armadas, P-1649026 Lisbon, Portugal.</t>
  </si>
  <si>
    <t>sergio.moro@iscte.pt</t>
  </si>
  <si>
    <t>Rita, Paulo/T-2950-2017; Moro, Sérgio/N-9124-2015; Cortez, Paulo/A-2674-2008</t>
  </si>
  <si>
    <t>Rita, Paulo/0000-0001-6050-9958; Moro, Sérgio/0000-0002-4861-6686; Cortez, Paulo/0000-0002-7991-2090</t>
  </si>
  <si>
    <t>2444-8834</t>
  </si>
  <si>
    <t>2444-8842</t>
  </si>
  <si>
    <t>EUR RES MANAG BUS EC</t>
  </si>
  <si>
    <t>EUR. RES. MANAG. BUS.ECON.</t>
  </si>
  <si>
    <t>JAN-APR</t>
  </si>
  <si>
    <t>10.1016/j.iedeen.2017.06.002</t>
  </si>
  <si>
    <t>Business; Economics; Management</t>
  </si>
  <si>
    <t>GD1TZ</t>
  </si>
  <si>
    <t>WOS:000430285500001</t>
  </si>
  <si>
    <t>Ordenes, FV; Zhang, SY</t>
  </si>
  <si>
    <t>Ordenes, Francisco Villarroel; Zhang, Shunyuan</t>
  </si>
  <si>
    <t>From words to pixels: text and image mining methods for service research</t>
  </si>
  <si>
    <t>Deep learning; Computer vision; Machine learning; Text mining; Service research; Image mining</t>
  </si>
  <si>
    <t>SYSTEMS; INFORMATION; SENTIMENT; TRANSPORTATION; REVIEWS; KNOWLEDGE; INSIGHTS; FEATURES; COLOR; STYLE</t>
  </si>
  <si>
    <t>Purpose The purpose of this paper is to describe and position the state-of-the-art of text and image mining methods in business research. By providing a detailed conceptual and technical review of both methods, it aims to increase their utilization in service research. Design/methodology/approach On a first stage, the authors review business literature in marketing, operations and management concerning the use of text and image mining methods. On a second stage, the authors identify and analyze empirical papers that used text and image mining methods in services journals and premier business. Finally, avenues for further research in services are provided. Findings The manuscript identifies seven text mining methods and describes their approaches, processes, techniques and algorithms, involved in their implementation. Four of these methods are positioned similarly for image mining. There are 39 papers using text mining in service research, with a focus on measuring consumer sentiment, experiences, and service quality. Due to the nonexistent use of image mining service journals, the authors review their application in marketing and management, and suggest ideas for further research in services. Research limitations/implications - This manuscript focuses on the different methods and their implementation in service research, but it does not offer a complete review of business literature using text and image mining methods. Practical implications - The results have a number of implications for the discipline that are presented and discussed. The authors provide research directions using text and image mining methods in service priority areas such as artificial intelligence, frontline employees, transformative consumer research and customer experience. Originality/value The manuscript provides an introduction to text and image mining methods to service researchers and practitioners interested in the analysis of unstructured data. This paper provides several suggestions concerning the use of new sources of data (e.g. customer reviews, social media images, employee reviews and emails), measurement of new constructs (beyond sentiment and valence) and the use of more recent methods (e.g. deep learning).</t>
  </si>
  <si>
    <t>[Ordenes, Francisco Villarroel] Univ Massachusetts, Dept Mkt, Amherst, MA 01003 USA; [Zhang, Shunyuan] Harvard Univ, Cambridge, MA 02138 USA</t>
  </si>
  <si>
    <t>University of Massachusetts System; University of Massachusetts Amherst; Harvard University</t>
  </si>
  <si>
    <t>Ordenes, FV (corresponding author), Univ Massachusetts, Dept Mkt, Amherst, MA 01003 USA.</t>
  </si>
  <si>
    <t>fvillarroelo@isenberg.umass.edu</t>
  </si>
  <si>
    <t>NOV 29</t>
  </si>
  <si>
    <t>10.1108/JOSM-08-2019-0254</t>
  </si>
  <si>
    <t>JM9OL</t>
  </si>
  <si>
    <t>WOS:000496535300005</t>
  </si>
  <si>
    <t>Moisander, J; Konkkola, S; Laine, PM</t>
  </si>
  <si>
    <t>Moisander, Johanna; Konkkola, Saara; Laine, Pikka-Maaria</t>
  </si>
  <si>
    <t>Consumer workers as immaterial labour in the converging media markets: three value-creation practices</t>
  </si>
  <si>
    <t>Consumer agency; consumer workers; immaterial labour; media convergence; practice theory; service-dominant logic</t>
  </si>
  <si>
    <t>CO-CREATION; PARTICIPATION; STRATEGY</t>
  </si>
  <si>
    <t>This paper takes a practice-based approach to consumer studies and focuses on the strategic and productive roles that consumers play as immaterial labour or consumer workers in the converging media markets. Based on a case study of a print media organization and its customers, the aim is to discuss the collaborative practices through which value is created in the market. By means of a textual analysis of online and interview data, three value-creation practices are abstracted and illustrated: constructing a sense of belonging and collective identity, mutual helping and peer support, and building pride and self-respect. Overall, the paper suggests that in global media environments, consumer-customers are playing increasingly significant strategic roles in the practices and processes through which value is co-created in the market. It is therefore concluded that the idea of consumers, and media audiences in particular, as recipients of communication and targets of marketing activities needs to be problematized and the dynamic strategic roles that consumers currently play in the market need to be acknowledged and actively incorporated into the business praxis of media corporations.</t>
  </si>
  <si>
    <t>[Moisander, Johanna; Konkkola, Saara] Aalto Univ, Sch Econ, Helsinki, Finland; [Laine, Pikka-Maaria] Univ Lapland, Rovaniemi, Finland</t>
  </si>
  <si>
    <t>Aalto University; University of Lapland</t>
  </si>
  <si>
    <t>Moisander, J (corresponding author), Aalto Univ, Sch Econ, Dept Commun, POB 21210, Aalto 00076, Finland.</t>
  </si>
  <si>
    <t>johanna.moisander@aalto.fi</t>
  </si>
  <si>
    <t>Moisander, Johanna K/G-2357-2013</t>
  </si>
  <si>
    <t>Moisander, Johanna K/0000-0003-4561-7154</t>
  </si>
  <si>
    <t>10.1111/j.1470-6431.2012.01107.x</t>
  </si>
  <si>
    <t>WOS:000314751300014</t>
  </si>
  <si>
    <t>You, WJ; Xia, M; Liu, L; Liu, D</t>
  </si>
  <si>
    <t>You, Weijia; Xia, Mu; Liu, Lu; Liu, Dan</t>
  </si>
  <si>
    <t>Customer knowledge discovery from online reviews</t>
  </si>
  <si>
    <t>ELECTRONIC MARKETS</t>
  </si>
  <si>
    <t>Customer knowledge management; Customer satisfaction; Text mining; Ordinal regression</t>
  </si>
  <si>
    <t>WORD-OF-MOUTH; SATISFACTION; CONSUMER; ANTECEDENTS; SALES; DETERMINANTS; EXPECTATION; INTENTIONS; REPUTATION; INTERNET</t>
  </si>
  <si>
    <t>The explosive growth of Chinese electronic market has made it possible for companies to better understand consumers' opinion towards their products in a timely fashion through their online reviews. This study proposes a framework for extracting knowledge from online reviews through text mining and econometric analysis. Specifically, we extract product features, detect topics, and identify determinants of customer satisfaction. An experiment on the online reviews from a Chinese leading B2C (Business-to-Customer) website demonstrated the feasibility of the proposed method. We also present some findings about the characteristics of Chinese reviewers.</t>
  </si>
  <si>
    <t>[Xia, Mu] Santa Clara Univ, Dept OMIS, Leavey Sch Business, Santa Clara, CA 95053 USA; [You, Weijia] Beijing Forestry Univ, Sch Econ &amp; Management, Beijing 100083, Peoples R China; [Liu, Lu; Liu, Dan] Beihang Univ, Sch Econ &amp; Management, Beijing 100191, Peoples R China</t>
  </si>
  <si>
    <t>Santa Clara University; Beijing Forestry University; Beihang University</t>
  </si>
  <si>
    <t>Xia, M (corresponding author), Santa Clara Univ, Dept OMIS, Leavey Sch Business, Santa Clara, CA 95053 USA.</t>
  </si>
  <si>
    <t>mxia@scu.edu</t>
  </si>
  <si>
    <t>SPRINGER HEIDELBERG</t>
  </si>
  <si>
    <t>HEIDELBERG</t>
  </si>
  <si>
    <t>TIERGARTENSTRASSE 17, D-69121 HEIDELBERG, GERMANY</t>
  </si>
  <si>
    <t>1019-6781</t>
  </si>
  <si>
    <t>1422-8890</t>
  </si>
  <si>
    <t>ELECTRON MARK</t>
  </si>
  <si>
    <t>Electron. Mark.</t>
  </si>
  <si>
    <t>10.1007/s12525-012-0098-y</t>
  </si>
  <si>
    <t>021ES</t>
  </si>
  <si>
    <t>WOS:000309868700002</t>
  </si>
  <si>
    <t>Zhao, XG; Zhang, H; Shen, H; Zhou, YD</t>
  </si>
  <si>
    <t>Zhao, Xiaogang; Zhang, Hao; Shen, Hai; Zhou, Yadong</t>
  </si>
  <si>
    <t>Research on the positioning method of online community users from the perspective of precision marketing</t>
  </si>
  <si>
    <t>Precision marketing; Online community; User positioning; Combination algorithm</t>
  </si>
  <si>
    <t>NETWORK; MODEL; IDENTIFICATION; INTENTION</t>
  </si>
  <si>
    <t>In precision marketing for online communities, the existing text-based methods of user positioning cannot position new users rapidly, and they have low positioning efficiency when there is a large number of users. This research proposes a systematic method for the positioning of online community users. In this method, text mining and clustering algorithms are combined to cluster users, and then the user clusters are effectively matched with users' basic attributes through a multinomial logistic regression model. By this means, efficient positioning under the circumstances of a rapid increase in new users and a large number of users can be achieved. Calculation results from a real world example show that this method can effectively solve the problems found in traditional user positioning methods and provides a productive new approach to community user positioning. The study also offers suggestions for user classification management from the perspective of precision marketing.</t>
  </si>
  <si>
    <t>[Zhao, Xiaogang; Zhang, Hao; Shen, Hai] Xian Int Studies Univ, Business Sch, Xian, Peoples R China; [Zhou, Yadong] Xi An Jiao Tong Univ, MOE Key Lab Intelligent Networks &amp; Network Secur, Xian, Peoples R China</t>
  </si>
  <si>
    <t>Xi'an International Studies University; Xi'an Jiaotong University</t>
  </si>
  <si>
    <t>Zhang, H (corresponding author), Xian Int Studies Univ, Business Sch, Xian, Peoples R China.</t>
  </si>
  <si>
    <t>kevinfme@163.com; 1479822425@qq.com; shenhai@xisu.edu.cn; ydzhou@xjtu.edu.cn</t>
  </si>
  <si>
    <t>National Natural Science Foundation of China [61572397, 71402138]; Foundation of the Ministry of Education of China [17YJC630016, 19YJC630014]; Foundation of Education Department of Shaanxi Provincial Government of China [18JK0647]; Foundation of Xi'an International Studies University [SSZD2019015]</t>
  </si>
  <si>
    <t>National Natural Science Foundation of China(National Natural Science Foundation of China (NSFC)); Foundation of the Ministry of Education of China(Ministry of Education, China); Foundation of Education Department of Shaanxi Provincial Government of China; Foundation of Xi'an International Studies University</t>
  </si>
  <si>
    <t>The authors would like to thank the Editor-in-Chief, the Associate Editor, and the three anonymous referees for their helpful comments and constructive guidance. The authors gratefully acknowledge financial support from the National Natural Science Foundation of China (61572397 and 71402138), the Foundation of the Ministry of Education of China (17YJC630016 and 19YJC630014), the Foundation of Education Department of Shaanxi Provincial Government of China (18JK0647) and the Foundation of Xi'an International Studies University (SSZD2019015).</t>
  </si>
  <si>
    <t>10.1007/s10660-021-09512-w</t>
  </si>
  <si>
    <t>WI4GY</t>
  </si>
  <si>
    <t>WOS:000708322000001</t>
  </si>
  <si>
    <t>Guerreiro, J; Rita, P; Trigueiros, D</t>
  </si>
  <si>
    <t>Guerreiro, Joao; Rita, Paulo; Trigueiros, Duarte</t>
  </si>
  <si>
    <t>A Text Mining-Based Review of Cause-Related Marketing Literature</t>
  </si>
  <si>
    <t>JOURNAL OF BUSINESS ETHICS</t>
  </si>
  <si>
    <t>Cause-related marketing; Text mining; Topic models</t>
  </si>
  <si>
    <t>CORPORATE SOCIAL-RESPONSIBILITY; CONSUMER CHOICE; FIRM SIZE; IDENTITY; BUSINESS; CSR; RESPONSES; STRATEGY; INDUSTRY; COMPANY</t>
  </si>
  <si>
    <t>Cause-related marketing (C-RM) has risen to become a popular strategy to increase business value through profit-motivated giving. Despite the growing number of articles published in the last decade, no comprehensive analysis of the most discussed constructs of cause-related marketing is available. This paper uses an advanced Text Mining methodology (a Bayesian contextual analysis algorithm known as Correlated Topic Model, CTM) to conduct a comprehensive analysis of 246 articles published in 40 different journals between 1988 and 2013 on the subject of cause-related marketing. Text Mining also allows quantitative analyses to be performed on the literature. For instance, it is shown that the most prominent long-term topics discussed since 1988 on the subject are brand-cause fit, law and Ethics, and corporate and social identification, while the most actively discussed topic presently is sectors raising social taboos and moral debates. The paper has two goals: first, it introduces the technique of CTM to the Marketing area, illustrating how Text Mining may guide, simplify, and enhance review processes while providing objective building blocks (topics) to be used in a review; second, it applies CTM to the C-RM field, uncovering and summarizing the most discussed topics. Mining text, however, is not aimed at replacing all subjective decisions that must be taken as part of literature review methodologies.</t>
  </si>
  <si>
    <t>[Guerreiro, Joao; Rita, Paulo] ISCTE Univ Inst Lisbon, Business Res Unit BRU IUL, Lisbon, Portugal; [Trigueiros, Duarte] Univ Macau, Macau, Peoples R China</t>
  </si>
  <si>
    <t>Instituto Universitario de Lisboa; University of Macau</t>
  </si>
  <si>
    <t>Guerreiro, J (corresponding author), ISCTE Univ Inst Lisbon, Business Res Unit BRU IUL, Lisbon, Portugal.</t>
  </si>
  <si>
    <t>joao.guerreiro@iscte.pt; paulo.rita@iscte.pt; dtrigueiros@umac.mo</t>
  </si>
  <si>
    <t>Rita, Paulo/T-2950-2017; Guerreiro, João/O-1283-2019; TRIGUEIROS, DUARTE/J-6737-2012</t>
  </si>
  <si>
    <t>Rita, Paulo/0000-0001-6050-9958; Guerreiro, João/0000-0001-6286-1437; TRIGUEIROS, DUARTE/0000-0002-3619-4615</t>
  </si>
  <si>
    <t>0167-4544</t>
  </si>
  <si>
    <t>1573-0697</t>
  </si>
  <si>
    <t>J BUS ETHICS</t>
  </si>
  <si>
    <t>J. Bus. Ethics</t>
  </si>
  <si>
    <t>10.1007/s10551-015-2622-4</t>
  </si>
  <si>
    <t>Business; Ethics</t>
  </si>
  <si>
    <t>Business &amp; Economics; Social Sciences - Other Topics</t>
  </si>
  <si>
    <t>EB3RU</t>
  </si>
  <si>
    <t>WOS:000387284300008</t>
  </si>
  <si>
    <t>Chang, SY; Bodolica, V; Hsu, HH; Lu, HP</t>
  </si>
  <si>
    <t>Chang, Sheng-Yen; Bodolica, Virginia; Hsu, Huei-Hsia; Lu, Hsi-Peng</t>
  </si>
  <si>
    <t>What people talk about online and what they intend to do: related perspectives from text mining and path analysis</t>
  </si>
  <si>
    <t>EURASIAN BUSINESS REVIEW</t>
  </si>
  <si>
    <t>Online consumer behavior; Electronic word-of-mouth; Big data; Text mining; Consumption value theory; Wearable devices</t>
  </si>
  <si>
    <t>WORD-OF-MOUTH; SOCIAL MEDIA; CONSUMPTION VALUE; PERCEIVED VALUE; CONSUMER INNOVATIVENESS; BRAND; BEHAVIOR; VALUES; INFORMATION; PREDICTION</t>
  </si>
  <si>
    <t>Nowadays, it remains unclear whether the accumulation of Internet buzz can accurately predict customer preferences and buying intentions. We study two related perspectives with regard to what people talk about online and what they intend to do in the adoption phase to offer advice to companies aiming to excel in online marketing efforts. Drawing on the consumption value theory, we examine buyers' discussions about and intention to use wearable devices for a sample of consumers in Taiwan. A framework is advanced to explore the results of big data analysis employing text-mining techniques (i.e., what people talk about) and survey-based research using structural equation modelling (i.e., what people intend to do). Functional, emotional and conditional values surfaced as the highest Internet buzzes of wearable devices. Conversely, emotional, epistemic and functional values emerged as the most influential drivers of customers' adoption intention. Our findings suggest that different value dimensions are relevant at different points of the purchase-related decision-making process. Some values animate Internet discussions that pertain to the pre-purchase information search stage, and others appear significant during the formation of people's purchase intentions. We discuss the theoretical and practical implications of our study and provide suggestions for future research.</t>
  </si>
  <si>
    <t>[Chang, Sheng-Yen; Lu, Hsi-Peng] NTUST, Grad Inst Management, 43 Keelung Rd,Sec 4, Taipei 106335, Taiwan; [Bodolica, Virginia] Amer Univ Sharjah, Sch Business Adm, Dept Management, Said T Khoury Chair Leadership Studies, POB 26666, Sharjah, U Arab Emirates; [Hsu, Huei-Hsia] CUST, Dept Informat Management, 245 Acad Rd Sec 3, Taipei 115, Taiwan</t>
  </si>
  <si>
    <t>American University of Sharjah</t>
  </si>
  <si>
    <t>Bodolica, V (corresponding author), Amer Univ Sharjah, Sch Business Adm, Dept Management, Said T Khoury Chair Leadership Studies, POB 26666, Sharjah, U Arab Emirates.</t>
  </si>
  <si>
    <t>vchang@neuftek.com; virginia.bodolica@hec.ca; shevy@cc.cust.edu.tw; Hsipeng@cs.ntust.edu.tw</t>
  </si>
  <si>
    <t>1309-4297</t>
  </si>
  <si>
    <t>2147-4281</t>
  </si>
  <si>
    <t>EURASIAN BUS REV</t>
  </si>
  <si>
    <t>Eurasian Bus. Rev.</t>
  </si>
  <si>
    <t>10.1007/s40821-022-00221-4</t>
  </si>
  <si>
    <t>JUN 2022</t>
  </si>
  <si>
    <t>2L5PV</t>
  </si>
  <si>
    <t>WOS:000817070500001</t>
  </si>
  <si>
    <t>Dincer, H; Bozaykut-Buk, T; Emir, S; Yuksel, S; Ashill, N</t>
  </si>
  <si>
    <t>Dincer, Hasan; Bozaykut-Buk, Tuba; Emir, Senol; Yuksel, Serhat; Ashill, Nicholas</t>
  </si>
  <si>
    <t>Using the fuzzy multicriteria decision making approach to evaluate brand equity: a study of privatized firms</t>
  </si>
  <si>
    <t>Branding; Fuzzy sets; Brand equity; Brand name; Corporate branding; Brand performance; Brand management; Knowledge extraction; Text mining; Fuzzy logic</t>
  </si>
  <si>
    <t>CUSTOMER-BASED BRAND; PRODUCT INNOVATION; PERFORMANCE EVALUATION; FINANCIAL PERFORMANCE; STRATEGY-DEVELOPMENT; IMPACT; CATEGORIZATION; PREFERENCE; MODEL; DETERMINANTS</t>
  </si>
  <si>
    <t>Purpose The purpose of this paper is to present a multidimensional evaluation of brand equity performance incorporating dimensions adopted from the balance scorecard (BSC) approach to business performance. Design/methodology/approach In this study, text mining is used for automatic extraction of valuable information from textual data such as the financial reports of firms. Instead of expert opinions, linguistic scales built upon outcomes of text mining are used as inputs for decision-making. The proposed model combines fuzzy DEMATEL (FDEMATEL), fuzzy ANP (FANP), fuzzy TOPSIS (FTOPSIS) and fuzzy VIKOR (FVIKOR) methods for weighting criteria and ranking alternatives. Findings Using data from five privatized firms in Turkey, the study's findings demonstrate that the customer is the most important dimension of brand equity performance evaluation. Cash flow and brand loyalty are identified as the most important criteria in the measurement of brand equity performance. Practical implications Findings highlight the importance of firms taking action to increase consumer perceptions, attitudes and behaviors in the privatization processes. For this purpose, privatized firms need to understand the expectations of customers to increase customer satisfaction and loyalty and therefore improve brand equity. Originality/value The paper contributes to literature in several important ways. First, by adopting the BSC approach, it proposes a holistic and a multidimensional model for measuring brand equity performance. Second, the study offers a novel methodology using a hybrid multi-criteria decision-making model designed for the fuzzy environment. Third, the study uses the knowledge extraction tool of text mining in the fuzzy decision-making process. Finally, the study evaluates the brand equity performance of privatized firms in an emerging country context.</t>
  </si>
  <si>
    <t>[Dincer, Hasan; Bozaykut-Buk, Tuba; Yuksel, Serhat] Istanbul Medipol Univ, Sch Business, Istanbul, Turkey; [Emir, Senol] Istanbul Univ, Dept Econ, Istanbul, Turkey; [Ashill, Nicholas] Amer Univ Sharjah, Dept Mkt &amp; Informat Syst, Sharjah, U Arab Emirates</t>
  </si>
  <si>
    <t>Istanbul Medipol University; Istanbul University; American University of Sharjah</t>
  </si>
  <si>
    <t>Yuksel, S (corresponding author), Istanbul Medipol Univ, Sch Business, Istanbul, Turkey.</t>
  </si>
  <si>
    <t>hdincer@medipol.edu.tr; tbozaykut@medipol.edu.tr; senol.emir@istanbul.edu.tr; serhat.yuksel@gmail.com; nashill@aus.edu</t>
  </si>
  <si>
    <t>Dincer, Hasan/GPX-1316-2022; emir, şenol/AAC-6545-2020; Bozaykut-Buk, Tuba/AAB-6095-2020; Ashill, Nicholas/AAC-6789-2021; Yüksel, Serhat/W-1689-2017</t>
  </si>
  <si>
    <t>Dincer, Hasan/0000-0002-8072-031X; emir, şenol/0000-0002-6762-9351; Yüksel, Serhat/0000-0002-9858-1266; Ashill, Nicholas/0000-0002-7868-6175</t>
  </si>
  <si>
    <t>10.1108/JPBM-09-2018-2037</t>
  </si>
  <si>
    <t>WOS:000565539000006</t>
  </si>
  <si>
    <t>Wolburg, JM; Venger, O</t>
  </si>
  <si>
    <t>Wolburg, Joyce M.; Venger, Olesya</t>
  </si>
  <si>
    <t>REGULATING SIN ACROSS CULTURES A Comparison of Alcohol Ads in Ukrainian and American Magazines</t>
  </si>
  <si>
    <t>MESSAGE STRATEGY WHEEL; ADVERTISING RESEARCH</t>
  </si>
  <si>
    <t>Using text analysis, this study compares the alcohol advertising strategy in Ukraine and the United States within the context of regulatory, historical, cultural, and economic factors. Results showed that Ukrainian magazine ads contained a larger number of violations than the American ads, which complied with the letter of the law, if not the spirit. The message strategies also told different cultural stories that reflect the different ideologies for the two countries, which means that specialized advertising approaches are needed for each country. American ads situate alcohol as part of normal life, whereas Ukrainian ads demonstrate conspicuous consumption and celebrate the change to a market economy. They must not only sell the product but also teach Ukrainians how to be part of the consumer culture.</t>
  </si>
  <si>
    <t>[Wolburg, Joyce M.] Marquette Univ, Diederich Coll Commun, Dept Advertising &amp; Publ Relat, Milwaukee, WI 53233 USA; [Venger, Olesya] Univ Penn, Annenberg Sch Commun, Philadelphia, PA 19104 USA</t>
  </si>
  <si>
    <t>Marquette University; University of Pennsylvania</t>
  </si>
  <si>
    <t>Wolburg, JM (corresponding author), Marquette Univ, Diederich Coll Commun, Dept Advertising &amp; Publ Relat, Milwaukee, WI 53233 USA.</t>
  </si>
  <si>
    <t>M E SHARPE INC</t>
  </si>
  <si>
    <t>ARMONK</t>
  </si>
  <si>
    <t>80 BUSINESS PARK DR, ARMONK, NY 10504 USA</t>
  </si>
  <si>
    <t>10.2753/JOA0091-3367380402</t>
  </si>
  <si>
    <t>529EF</t>
  </si>
  <si>
    <t>WOS:000272498000002</t>
  </si>
  <si>
    <t>Zhang, JR</t>
  </si>
  <si>
    <t>Zhang, Jurui</t>
  </si>
  <si>
    <t>What's yours is mine: exploring customer voice on Airbnb using text-mining approaches</t>
  </si>
  <si>
    <t>JOURNAL OF CONSUMER MARKETING</t>
  </si>
  <si>
    <t>Text-mining; Sharing economy; Topic modelling; Airbnb; Consumer reviews</t>
  </si>
  <si>
    <t>USER-GENERATED CONTENT; WORD-OF-MOUTH; SHARING ECONOMY; REVIEWS; SATISFACTION; TRAVELER</t>
  </si>
  <si>
    <t>Purpose This paper aims to investigate customers' experiences with Airbnb by text-mining customer reviews posted on the platform and comparing the extracted topics from online reviews between Airbnb and the traditional hotel industry using topic modeling. Design/methodology/approach This research uses text-mining approaches, including content analysis and topic modeling (latent Dirichlet allocation method), to examine 1,026,988 Airbnb guest reviews of 50,933 listings in seven cities in the USA. Findings The content analysis shows that negative reviews are more authentic and credible than positive reviews on Airbnb and that the occurrence of social words is positively related to positive emotion in reviews, but negatively related to negative emotion in reviews. A comparison of reviews on Airbnb and hotel reviews shows unique topics on Airbnb, namely, late check-in, patio and deck view, food in kitchen, help from host, door lock/key, sleep/bed condition and host response. Research limitations/implications - The topic modeling result suggests that Airbnb guests want to get to know and connect with the local community; thus, help from hosts on ways they can authentically experience the local community would be beneficial. In addition, the results suggest that customers emphasize their interaction with hosts; thus, to improve customer satisfaction, Airbnb hosts should interact with guests and respond to guests' inquiries quickly. Practical implications - Hotel managers should design marketing programs that fulfill customers' desire for authentic and local experiences. The results also suggest that peer-to-peer accommodation platforms should improve online review systems to facilitate authentic reviews and help guests have a smooth check-in process. Originality/value This study is one of the first to examine consumer reviews in detail in the sharing economy and compare topics from consumer reviews between Airbnb and hotels.</t>
  </si>
  <si>
    <t>[Zhang, Jurui] Univ Massachusetts, Dept Mkt, Boston, MA 02125 USA</t>
  </si>
  <si>
    <t>University of Massachusetts System; University of Massachusetts Boston</t>
  </si>
  <si>
    <t>Zhang, JR (corresponding author), Univ Massachusetts, Dept Mkt, Boston, MA 02125 USA.</t>
  </si>
  <si>
    <t>jurui.zhang@umb.edu</t>
  </si>
  <si>
    <t>0736-3761</t>
  </si>
  <si>
    <t>2052-1200</t>
  </si>
  <si>
    <t>J CONSUM MARK</t>
  </si>
  <si>
    <t>J. Consum. Mark.</t>
  </si>
  <si>
    <t>10.1108/JCM-02-2018-2581</t>
  </si>
  <si>
    <t>IR5YD</t>
  </si>
  <si>
    <t>WOS:000481514300012</t>
  </si>
  <si>
    <t>Donthu, N; Lim, WM; Kumar, S; Pattnaik, D</t>
  </si>
  <si>
    <t>Donthu, Naveen; Lim, Weng Marc; Kumar, Satish; Pattnaik, Debidutta</t>
  </si>
  <si>
    <t>The Journal of Advertising's Production and Dissemination of Advertising Knowledge: A 50th Anniversary Commemorative Review</t>
  </si>
  <si>
    <t>MATCH-UP HYPOTHESIS; PUBLICATION PRODUCTIVITY; SOCIAL-RESPONSIBILITY; CELEBRITY ENDORSERS; CONSUMER RESPONSES; BRAND ATTITUDE; MEDIATING ROLE; IMPACT; SPONSORSHIP; MODEL</t>
  </si>
  <si>
    <t>The Journal of Advertising (JA) is a leading journal devoted to the development of advertising theory and practice. In celebration of JA's 50th anniversary, this article presents an in-depth retrospective of the journal and compares it with the other leading advertising journals, such as Journal of Advertising Research (JAR), International Journal of Advertising (IJA), and Journal of Current Issues and Research in Advertising (JCIRA). To do so, this article conducts a bibliometric review using performance analysis and natural language processing (NLP) as a means for co-word analysis on bibliometric information retrieved from Scopus. Using performance analysis, this article demonstrates that JA is the leading advertising journal in terms of research influence (h-index) and impact (g-index), as the journal receives the highest average and total citations despite publishing 11% less than its closest peers (JAR and IJA). Using NLP as a means for co-word analysis, this article reveals eight clusters or themes (1972-2020) that avail in JA's body of knowledge (i.e., advertising appeals, advertising involvement, advertising credibility, advertising brands, advertising impact, advertising modeling and strategies, advertising communication and engagement, and advertising response) as well as nine clusters or themes (2000-2020) that reflect the four leading advertising journals' collective contributions to the body of advertising knowledge (i.e., community advertising, responsible advertising, digital and social media advertising, product placement advertising, advertising impact, advertising credibility and persuasiveness, gamification and signaling in advertising, sponsorship advertising, and attitudes toward advertising). The article concludes with key takeaways and suggestions for prospective authors interested to publish in JA.</t>
  </si>
  <si>
    <t>[Donthu, Naveen] Georgia State Univ, Dept Mkt, POB 3991, Atlanta, GA 30303 USA; [Lim, Weng Marc; Kumar, Satish] Swinburne Univ Technol, Sarawak, Malaysia; [Kumar, Satish; Pattnaik, Debidutta] Malaviya Natl Inst Technol, Jaipur, Rajasthan, India; [Lim, Weng Marc] Swinburne Univ Technol, Melbourne, Vic, Australia; [Pattnaik, Debidutta] Woxsen Univ, Hyderabad, India</t>
  </si>
  <si>
    <t>University System of Georgia; Georgia State University; Swinburne University of Technology; Swinburne University of Technology Sarawak; National Institute of Technology (NIT System); Malaviya National Institute of Technology Jaipur; Swinburne University of Technology</t>
  </si>
  <si>
    <t>Donthu, N (corresponding author), Georgia State Univ, Dept Mkt, POB 3991, Atlanta, GA 30303 USA.</t>
  </si>
  <si>
    <t>Pattnaik, Debidutta/GWU-6164-2022; KUMAR, SATISH/M-8694-2017; Pattnaik, Debidutta/Q-2125-2019</t>
  </si>
  <si>
    <t>KUMAR, SATISH/0000-0001-5200-1476; Pattnaik, Debidutta/0000-0001-6180-0499; Lim, Weng Marc/0000-0001-7196-1923</t>
  </si>
  <si>
    <t>10.1080/00913367.2021.2006100</t>
  </si>
  <si>
    <t>2E0FX</t>
  </si>
  <si>
    <t>WOS:000756519500001</t>
  </si>
  <si>
    <t>Dann, S</t>
  </si>
  <si>
    <t>Dann, Stephen</t>
  </si>
  <si>
    <t>Redefining social marketing with contemporary commercial marketing definitions</t>
  </si>
  <si>
    <t>1st World Social Marketing Conference</t>
  </si>
  <si>
    <t>SEP 29-30, 2008</t>
  </si>
  <si>
    <t>Brighton, ENGLAND</t>
  </si>
  <si>
    <t>Social marketing definition; Marketing definition; Leximancer</t>
  </si>
  <si>
    <t>MANAGEMENT</t>
  </si>
  <si>
    <t>Social marketing is based on the adaptation of the contemporary commercial marketing theory and practice as a means of guiding and aiding social change campaigns. This paper draws on recent developments in commercial marketing theory and prior work in social marketing definitions to create a new definition of social marketing which integrates the commercial definitions of the American Marketing Association (AMA) and Chartered Instituted of Marketing (CIM) with established social marketing definitions from the past thirty years of social marketing conceptual development. The development of the definition is supported through the use of qualitative research technique of text mining which uncovered a core series of principles consistent to the historical definitions of social marketing. Finally, the new definition also introduces clarification of several key subcomponent elements as part of an expanded definition of social marketing. (C) 2009 Elsevier Inc. All rights reserved.</t>
  </si>
  <si>
    <t>Australian Natl Univ, Sch Management Mkt &amp; Int Business, ANU Coll Business &amp; Econ, Canberra, ACT 0200, Australia</t>
  </si>
  <si>
    <t>Australian National University</t>
  </si>
  <si>
    <t>Dann, S (corresponding author), Australian Natl Univ, Sch Management Mkt &amp; Int Business, ANU Coll Business &amp; Econ, LF Crisp Bldg,26,Room 1070, Canberra, ACT 0200, Australia.</t>
  </si>
  <si>
    <t>stephen.dann@anu.edu.au</t>
  </si>
  <si>
    <t>Amir, Fakhrurrazi/B-5990-2011; Dann, Stephen/H-2505-2011</t>
  </si>
  <si>
    <t>Dann, Stephen/0000-0001-7946-3494</t>
  </si>
  <si>
    <t>10.1016/j.jbusres.2009.02.013</t>
  </si>
  <si>
    <t>563LH</t>
  </si>
  <si>
    <t>WOS:000275133000010</t>
  </si>
  <si>
    <t>Kong, DM; Yang, J; Duan, HC; Yang, SY</t>
  </si>
  <si>
    <t>Kong, Demei; Yang, Jun; Duan, Hongchen; Yang, Siyue</t>
  </si>
  <si>
    <t>Helpfulness and economic impact of multidimensional rating systems: Perspective of functional and hedonic characteristics</t>
  </si>
  <si>
    <t>ONLINE PRODUCT REVIEWS; WORD-OF-MOUTH; MODERATING ROLE; USER REVIEWS; INFORMATION; NEGATIVITY; UNCERTAINTY; PERFORMANCE; CONSUMPTION; VARIANCE</t>
  </si>
  <si>
    <t>Nowadays, the multidimensional rating systems are increasingly popular in practice to help consumers evaluate multiattribute products or services. This study aims to examine the helpfulness and economic impact of multidimensional rating systems and the moderating effect of product type (ordinary, premium) from the perspective of product line. To identify the different effects of different product characteristics on consumers' behavior, multidimensional ratings and textual reviews are classified into two different sets according to the product attributes (functional, hedonic). Besides, the effects of review valence are considered simultaneously. Econometric analysis and text mining are conducted on the real data from , a leading Chinese automobile rating platform. Results show that (a) in terms of perceived helpfulness, reviews with positive functional ratings or with negative hedonic ratings are perceived more helpful for ordinary product, whereas reviews with positive hedonic ratings are perceived more helpful for premium product. (b) Regarding product sales, the impacts of functional and hedonic ratings on product sales are inverted U-shape. Furthermore, for ordinary product, variance of functional ratings has a negative effect on product sales, whereas hedonic ratings variance has an opposite impact. Surprisingly, ordinary product consumers tend to pay more attention to the negative hedonic reviews, whereas premium product consumers concentrate more on the negative functional reviews. In summary, various influences of multidimensional reviews and ratings across product type on review helpfulness and product sales are deeply explored in this study, suggesting that firms' online marketing strategies should be contingent on product type and characteristics.</t>
  </si>
  <si>
    <t>[Kong, Demei; Yang, Jun; Duan, Hongchen; Yang, Siyue] Huazhong Univ Sci &amp; Technol, Sch Management, Dept Management Sci &amp; Informat Syst, Wuhan, Peoples R China</t>
  </si>
  <si>
    <t>Huazhong University of Science &amp; Technology</t>
  </si>
  <si>
    <t>Yang, J (corresponding author), Huazhong Univ Sci &amp; Technol, Sch Management, Wuhan 430074, Peoples R China.</t>
  </si>
  <si>
    <t>jun_yang@hust.edu.cn</t>
  </si>
  <si>
    <t>Kong, Demei/0000-0002-0431-3894; yang, Jun/0000-0002-2269-8978</t>
  </si>
  <si>
    <t>10.1002/cb.1796</t>
  </si>
  <si>
    <t>KB7QC</t>
  </si>
  <si>
    <t>WOS:000506684100008</t>
  </si>
  <si>
    <t>Shankar, V; Parsana, S</t>
  </si>
  <si>
    <t>Natural language processing (NLP); Topic modeling; Machine learning; Text analysis; Text mining; Unstructured data; Artificial intelligence; Autoencoder; Marketing</t>
  </si>
  <si>
    <t>NEURAL-NETWORKS; TEXT ANALYSIS; BIG DATA; CONSUMER; PATTERNS; FEATURES; TREES</t>
  </si>
  <si>
    <t>[Shankar, Venkatesh; Parsana, Sohil] Mays Business Sch, Ctr Retailing Studies, College Stn, TX 77843 USA; [Parsana, Sohil] Oracle, College Stn, TX USA</t>
  </si>
  <si>
    <t>Texas A&amp;M University System; Texas A&amp;M University College Station; Mays Business School; Oracle</t>
  </si>
  <si>
    <t>Shankar, V (corresponding author), Mays Business Sch, Ctr Retailing Studies, College Stn, TX 77843 USA.</t>
  </si>
  <si>
    <t>vshankar@mays.tamu.edu</t>
  </si>
  <si>
    <t>10.1007/s11747-022-00840-3</t>
  </si>
  <si>
    <t>6C4NE</t>
  </si>
  <si>
    <t>WOS:000764453500001</t>
  </si>
  <si>
    <t>Yang, T; Dang, YZ; Wu, JN</t>
  </si>
  <si>
    <t>Yang, Tong; Dang, Yanzhong; Wu, Jiangning</t>
  </si>
  <si>
    <t>How to prioritize perceived quality attributes from consumers' perspective? Analysis through social media data</t>
  </si>
  <si>
    <t>Perceived quality; Social media data; Attribute priority; Perception causes; Text mining</t>
  </si>
  <si>
    <t>ONLINE RATINGS; PERFORMANCE; MODEL; IMPACT; CLASSIFICATION; SATISFACTION; PERCEPTIONS; GO</t>
  </si>
  <si>
    <t>Social media data is gaining attention as consumers become accustomed to sharing and finding product perceptions on social media. Perceived quality is consumers' subjective perceptions, and it is important for manufacturers to prioritize perceived quality attributes. However, existing studies mainly use survey data, which is prone to bias, and lack analysis of why perceived quality arises. We propose a three-stage framework to prioritize perceived quality attributes using social media data based on text mining techniques. First, a deep-learning approach is used to identify perceived quality; second, the group perceived quality, attribute importance, and quality category of the attribute are synthetically analyzed to quantify the perceived quality, and perception causes are mined; finally, importance-performance analysis is used to prioritize attributes and a bottom-up cause chart is built. In the case study, an automobile dataset is crawled to apply the proposed framework and the results are validated in a user experiment.</t>
  </si>
  <si>
    <t>[Yang, Tong; Dang, Yanzhong; Wu, Jiangning] Dalian Univ Technol, Inst Syst Engn, 2 Linggong Rd, Dalian 116024, Peoples R China</t>
  </si>
  <si>
    <t>Dalian University of Technology</t>
  </si>
  <si>
    <t>Yang, T (corresponding author), Dalian Univ Technol, Inst Syst Engn, 2 Linggong Rd, Dalian 116024, Peoples R China.</t>
  </si>
  <si>
    <t>yangt014@mail.dlut.edu.cn; yzhdang@dlut.edu.cn; jnwu@dlut.edu.cn</t>
  </si>
  <si>
    <t>Yang, Tong/0000-0001-7166-1154</t>
  </si>
  <si>
    <t>National Natural Science Foundation of China; China Scholarship Council [71871041];  [202106060118]</t>
  </si>
  <si>
    <t xml:space="preserve">National Natural Science Foundation of China(National Natural Science Foundation of China (NSFC)); China Scholarship Council(China Scholarship Council); </t>
  </si>
  <si>
    <t>This work was supported by the National Natural Science Foundation of China [Project No. 71871041], and the China Scholarship Council [202106060118].</t>
  </si>
  <si>
    <t>10.1007/s10660-022-09652-7</t>
  </si>
  <si>
    <t>7U1VO</t>
  </si>
  <si>
    <t>WOS:000911924100001</t>
  </si>
  <si>
    <t>Nahr, N; Heikkila, M</t>
  </si>
  <si>
    <t>Nahr, Nora; Heikkila, Marikka</t>
  </si>
  <si>
    <t>Uncovering the identity of Electronic Markets research through text mining techniques</t>
  </si>
  <si>
    <t>Electronic Markets journal; Core identity; Text mining analysis; Cluster analysis; Unsupervised machine learning; Bibliometric analysis</t>
  </si>
  <si>
    <t>VALUE CO-CREATION; FINANCIAL SERVICES; RISK; TECHNOLOGIES; MANAGEMENT; IMPACT; INNOVATIVENESS; METAANALYSIS; EXPERIENCES; ALGORITHMS</t>
  </si>
  <si>
    <t>As an established academic journal in the e-commerce and digital platforms fields, Electronic Markets (EM) features a diverse range of topics and occupies a significant role in the information systems field. The study investigates EM's topic diversity over the time period 2009-2020 using a text mining analysis and a bibliometric analysis and identifies 28 cluster groups. The analysis reveals that the top three topics are 1) service quality, 2) blockchain and other shared trust building solutions, their impact and credibility, as well as 3) consumer buying behavior and interactions. EM's core identity lies in a balanced set of core themes that bring technological, business or human/ social perspectives to the research of networked business and digital economy. This includes research on digital and smart services, applications, consumer behavior and business models, as well as technology and e-commerce data. Ethical and sustainability related topics are however still less present in EM.</t>
  </si>
  <si>
    <t>[Nahr, Nora] Univ Passau, Chair Informat Syst Informat &amp; IT Serv Management, Innstr 43, D-94032 Passau, Germany; [Heikkila, Marikka] Univ Turku, Sch Econ, Rehtorinpellonkatu 3, Turku 20500, Finland</t>
  </si>
  <si>
    <t>University of Passau; University of Turku</t>
  </si>
  <si>
    <t>Nahr, N (corresponding author), Univ Passau, Chair Informat Syst Informat &amp; IT Serv Management, Innstr 43, D-94032 Passau, Germany.</t>
  </si>
  <si>
    <t>nora.nahr@uni-passau.de; marikka.heikkila@utu.fi</t>
  </si>
  <si>
    <t>Heikkilä, Marikka/AAU-4000-2021</t>
  </si>
  <si>
    <t>Heikkilä, Marikka/0000-0002-7298-7217; , Nora/0000-0002-2859-4088</t>
  </si>
  <si>
    <t>Projekt DEAL</t>
  </si>
  <si>
    <t>Open Access funding enabled and organized by Projekt DEAL.</t>
  </si>
  <si>
    <t>10.1007/s12525-022-00560-0</t>
  </si>
  <si>
    <t>JUL 2022</t>
  </si>
  <si>
    <t>6G4VT</t>
  </si>
  <si>
    <t>WOS:000824995600001</t>
  </si>
  <si>
    <t>Berger, J; Packard, G; Boghrati, R; Hsu, M; Humphreys, A; Luangrath, A; Moore, S; Nave, G; Olivola, C; Rocklage, M</t>
  </si>
  <si>
    <t>Natural language processing; Automated textual analysis; Language</t>
  </si>
  <si>
    <t>REVIEWS; SIZE</t>
  </si>
  <si>
    <t>[Berger, Jonah; Nave, Gideon] Univ Penn, Wharton Sch, Philadelphia, PA 19104 USA; [Packard, Grant] York Univ, Schulich Sch Business, Toronto, ON, Canada; [Boghrati, Reihane] Univ Penn, Wharton Risk Ctr, Philadelphia, PA 19104 USA; [Boghrati, Reihane] Univ Penn, Mkt Dept, Philadelphia, PA 19104 USA; [Hsu, Ming] Univ Calif Berkeley, Berkeley, CA 94720 USA; [Humphreys, Ashlee] Northwestern Univ, Medill Sch Journalism Media &amp; Integrated Mkt Comm, Evanston, IL USA; [Luangrath, Andrea] Univ Iowa, Tippie Coll Business, Iowa City, IA USA; [Moore, Sarah] Univ Alberta, Alberta Sch Business, Edmonton, AB, Canada; [Olivola, Christopher] Carnegie Mellon Univ, Tepper Sch Business, Pittsburgh, PA 15213 USA; [Rocklage, Matthew] Univ Massachusetts, Boston, MA 02125 USA</t>
  </si>
  <si>
    <t>University of Pennsylvania; York University - Canada; University of Pennsylvania; University of Pennsylvania; University of California System; University of California Berkeley; Northwestern University; University of Iowa; University of Alberta; Carnegie Mellon University; University of Massachusetts System; University of Massachusetts Boston</t>
  </si>
  <si>
    <t>10.1007/s11002-022-09635-6</t>
  </si>
  <si>
    <t>4T2XJ</t>
  </si>
  <si>
    <t>WOS:000809285100001</t>
  </si>
  <si>
    <t>Garzaro, DM; Varotto, LF; Carvalho, M; Pedro, SC</t>
  </si>
  <si>
    <t>Garzaro, Daniela Menezes; Varotto, Luis Fernando; Carvalho, Marcelo; Pedro, Samara Carvalho</t>
  </si>
  <si>
    <t>Interactivity and Engagement: A Systematic Review of Academic Production in Marketing</t>
  </si>
  <si>
    <t>REVISTA BRASILEIRA DE MARKETING</t>
  </si>
  <si>
    <t>Systematic literature review; Interactivity; Engagement; Marketing</t>
  </si>
  <si>
    <t>CUSTOMER-BRAND ENGAGEMENT; CONSUMER ENGAGEMENT; SCALE DEVELOPMENT; ONLINE; DRIVERS; LOYALTY; IMPACT; MODEL; CONCEPTUALIZATION; CONSEQUENCES</t>
  </si>
  <si>
    <t>Purpose: This study aimed to identify the current direction of research on interactivity and engagement, specifically in the field of marketing, evaluating in-depth the main themes and methods of studied research, indicating new directions for future research. Method: From journals listed in the Web of Science, a systematic review of the literature was carried out through textual statistics analysis with the Iramuteq software. We conducted an in-depth analysis of 40 articles on the subject of engagement and interactivity. Results: We identified that the theme is studied in several environments, such as online environment, social communities, social media ads, games advertising and mobile telephony. The textual analysis indicates that the most frequent relation is related to the studies of branding. This work also identified that most of the research was carried out in the United States, and the most used approach was quantitative, primarily with the use of structural equation modeling. Theoretical contributions: This work contributes to consolidate the academic research in interactivity and engagement in the field of marketing. It shows that interactivity is directly related to engagement and its cognitive and affective commitment, generating an active relationship with technology, which influences satisfaction, trust and commitment. Originality/relevance: This study presents the most recent studies and presents relevant research gaps on the topic of engagement and interactivity, reinforcing its current relevance and increasing importance in marketing research.</t>
  </si>
  <si>
    <t>[Garzaro, Daniela Menezes; Varotto, Luis Fernando] Nove Julho Univ UNINOVE, Postgrad Program Business Adm, Sao Paulo, SP, Brazil</t>
  </si>
  <si>
    <t>Universidade Nove de Julho</t>
  </si>
  <si>
    <t>Garzaro, DM (corresponding author), Nove Julho Univ UNINOVE, Postgrad Program Business Adm, Sao Paulo, SP, Brazil.</t>
  </si>
  <si>
    <t>garzaro.daniela@gmail.com; lfvarotto@gmail.com; marcelocarvalho.gestor@gmail.com; samara.c.pedro@gmail.com</t>
  </si>
  <si>
    <t>Varotto, Luis Fernando/AAJ-9091-2020</t>
  </si>
  <si>
    <t>Coordenacao de Aperfeicoamento de Pessoal de Nivel Superior - Brasil (CAPES) [001]</t>
  </si>
  <si>
    <t>Coordenacao de Aperfeicoamento de Pessoal de Nivel Superior - Brasil (CAPES)(Coordenacao de Aperfeicoamento de Pessoal de Nivel Superior (CAPES))</t>
  </si>
  <si>
    <t>This study was financed in part by the Coordenacao de Aperfeicoamento de Pessoal de Nivel Superior - Brasil (CAPES) - Finance Code 001</t>
  </si>
  <si>
    <t>UNIV NOVE JULHO</t>
  </si>
  <si>
    <t>SAO PAULO</t>
  </si>
  <si>
    <t>AV FRANCISCO MATARAZZO 612, AGUA BRANCA, SAO PAULO, C05001-100, BRAZIL</t>
  </si>
  <si>
    <t>2177-5184</t>
  </si>
  <si>
    <t>REV BRASIL MARK</t>
  </si>
  <si>
    <t>Rev. Brasil. Mark.</t>
  </si>
  <si>
    <t>10.5585/remark.v18i3.16374</t>
  </si>
  <si>
    <t>KG5AV</t>
  </si>
  <si>
    <t>WOS:000509960500011</t>
  </si>
  <si>
    <t>Swierczynska-Kaczor, U</t>
  </si>
  <si>
    <t>Swierczynska-Kaczor, Urszula</t>
  </si>
  <si>
    <t>Exploring the Relationship Between Viewer Experience and Movie Genre - A Study Based on Text Mining of Online Movie Reviews</t>
  </si>
  <si>
    <t>PROBLEMY ZARZADZANIA-MANAGEMENT ISSUES</t>
  </si>
  <si>
    <t>text mining of online reviews; viewer experience</t>
  </si>
  <si>
    <t>This paper aims to provide insight about viewer experience with movies of different genres: the suspense movie, the western and the comedy. The qualitative and quantitative analyses based on text mining were conducted for online reviews of the three selected movies. The results of text mining were complemented by a qualitative manual analysis of reviews. The results of text mining indicated the spectrum of factors shaping viewer experience at different stages of the consumer journey. These factors relate to, for example, the product features (e.g. the recognized movie director, movie stars, soundtrack, and the historical context of the plot), and different touch points (e.g. movie distribution channel). The categories of viewer experience captured in the study can be assessed as adequate to the genre. The present study is preliminary in nature and is therefore exploratory. The results indicate the potential usefulness of text mining of online reviews as a method constituting the background for studies based on interviewing subjects. The study also points to the importance of looking for interdisciplinary frameworks in the research field of viewer experience.</t>
  </si>
  <si>
    <t>[Swierczynska-Kaczor, Urszula] Polish Natl Film Televis &amp; Theatre Sch Lodz, Fac Film Art Org, Lodz, Poland</t>
  </si>
  <si>
    <t>Swierczynska-Kaczor, U (corresponding author), Polish Natl Film Televis &amp; Theatre Sch Lodz, Targowa 61-63, PL-90323 Lodz, Poland.</t>
  </si>
  <si>
    <t>uswierczynska@filmschool.lodz.pl</t>
  </si>
  <si>
    <t>Swierczynska-Kaczor, Urszula/0000-0001-5368-0247</t>
  </si>
  <si>
    <t>UNIV WARSAW, FAC MANAGEMENT</t>
  </si>
  <si>
    <t>WARSAW</t>
  </si>
  <si>
    <t>SZTURMOWA 1-3, WARSAW, 02-678, POLAND</t>
  </si>
  <si>
    <t>1644-9584</t>
  </si>
  <si>
    <t>2300-8792</t>
  </si>
  <si>
    <t>PROBL ZARZ</t>
  </si>
  <si>
    <t>Probl. Zarz.</t>
  </si>
  <si>
    <t>10.7172/1644-9584.85.9</t>
  </si>
  <si>
    <t>KU8AA</t>
  </si>
  <si>
    <t>WOS:000519933000010</t>
  </si>
  <si>
    <t>Riedel, A; Messenger, D; Fleischman, D; Mulcahy, R</t>
  </si>
  <si>
    <t>Riedel, Aimee; Messenger, Dana; Fleischman, David; Mulcahy, Rory</t>
  </si>
  <si>
    <t>Consumers experiencing vulnerability: a state of play in the literature</t>
  </si>
  <si>
    <t>JOURNAL OF SERVICES MARKETING</t>
  </si>
  <si>
    <t>Well-being; Social marketing; Transformative; Consumers experiencing vulnerability; Systematic review</t>
  </si>
  <si>
    <t>HEALTH-CARE; SERVICE RESEARCH; PERSPECTIVE; CUSTOMERS; SUPPORT; PEOPLE; MARKET</t>
  </si>
  <si>
    <t>Purpose The purpose of this paper is to provide a state-of-the-art review of research on consumers experiencing vulnerability to describe the current situation of the consumers experiencing vulnerability literature and develop an up-to-date synthesised definition of consumers experiencing vulnerability. Design/methodology/approach This systematic review, guided by the PRISMA framework, takes a multi-disciplinary approach to identify 310 articles published between 2010 and 2019 examining consumers experiencing vulnerability. Descriptive analysis of the data is undertaken in combination with a thematic and text mining approach using Leximancer software. Findings A definition of consumers experiencing vulnerability is developed- unique and subjective experiences where characteristics such as states, conditions and/or external factors lead to a consumer experiencing a sense of powerlessness in consumption settings. The findings reveal consumers experiencing vulnerability have often been classified using a uni-dimensional approach (opposed to a multi-dimensional), focussing on one factor of vulnerability, the most prevalent of these being economic and age factors. A lack of research has examined consumers experiencing vulnerability based upon geographical remoteness, gender and sexual exploitation. Originality/value This paper is one of the first to examine consumers experiencing vulnerability using a systematic approach and text mining analysis to synthesise a large set of articles, which subsequently reduces the potential for researchers' interpretative bias. Further, it is the first to generate a data-driven definition of consumers experiencing vulnerability. It provides targeted recommendations to allow further scholarly, policy and practical contributions to this area.</t>
  </si>
  <si>
    <t>[Riedel, Aimee] Univ Sunshine Coast, South Bank Campus, South Brisbane, Australia; [Messenger, Dana] Univ Sunshine Coast, Sunshine Coast, Australia; [Fleischman, David] Univ Sunshine Coast, Sch Business Mkt, Sunshine Coast, Australia; [Mulcahy, Rory] Univ Sunshine Coast, Sch Business, Sunshine Coast, Australia</t>
  </si>
  <si>
    <t>University of the Sunshine Coast; University of the Sunshine Coast; University of the Sunshine Coast; University of the Sunshine Coast</t>
  </si>
  <si>
    <t>Mulcahy, R (corresponding author), Univ Sunshine Coast, Sch Business, Sunshine Coast, Australia.</t>
  </si>
  <si>
    <t>ariedel@usc.edu.au; djm035@student.usc.edu.au; Dfleish@usc.edu.au; rmulcahy@usc.edu.au</t>
  </si>
  <si>
    <t>Riedel, Aimee/S-2114-2019</t>
  </si>
  <si>
    <t>Riedel, Aimee/0000-0003-1776-8561</t>
  </si>
  <si>
    <t>0887-6045</t>
  </si>
  <si>
    <t>J SERV MARK</t>
  </si>
  <si>
    <t>J. Serv. Mark.</t>
  </si>
  <si>
    <t>MAR 28</t>
  </si>
  <si>
    <t>10.1108/JSM-12-2020-0496</t>
  </si>
  <si>
    <t>0E1UN</t>
  </si>
  <si>
    <t>WOS:000683763600001</t>
  </si>
  <si>
    <t>Moon, S; Park, Y; Kim, YS</t>
  </si>
  <si>
    <t>Moon, Sangkil; Park, Yoonseo; Kim, Yong Seog</t>
  </si>
  <si>
    <t>The impact of text product reviews on sales</t>
  </si>
  <si>
    <t>Hedonic products; Online product reviews; Product sales; J-distribution; Text clustering</t>
  </si>
  <si>
    <t>WORD-OF-MOUTH; ONLINE REVIEWS; MARKET-SEGMENTATION; CULTURE; TAKEOFF; CHOICE; MATTER; MODEL; POWER</t>
  </si>
  <si>
    <t>Purpose - The aim of this research is to theorize and demonstrate that analyzing consumers' text product reviews using text mining can enhance the explanatory power of a product sales model, particularly for hedonic products, which tend to generate emotional and subjective product evaluations. Previous research in this area has been more focused on utilitarian products. Design/methodology/approach - Our text clustering-based procedure segments text reviews into multiple clusters in association with consumers' numeric ratings to address consumer heterogeneity in taste preferences and quality valuations and the J-distribution of numeric product ratings. This approach is novel in terms of combining text clustering with numeric product ratings to address consumers' subjective product evaluations. Findings - Using the movie industry as our empirical application, we find that our approach of making use of product text reviews can improve the explanatory power and predictive validity of the box-office sales model. Research limitations/implications - Marketing scholars have actively investigated the impact of consumers' online product reviews on product sales, primarily focusing on consumers' numeric product ratings. Recently, studies have also examined user-generated content. Similarly, this study looks into users' textual product reviews to explain product sales. It remains to be seen how generalizable our empirical results are beyond our movie application. Practical implications - Whereas numeric ratings can indicate how much viewers liked products, consumers' reviews can convey why viewers liked or disliked them. Therefore, our review analysis can help marketers understand what factors make new products succeed or fail. Originality/value - Primarily our approach is suitable to products subjectively evaluated, mostly, hedonic products. In doing so, we consider consumer heterogeneity contained in reviews through our review clusters based on their divergent impacts on sales.</t>
  </si>
  <si>
    <t>[Moon, Sangkil] UNC Charlotte, Belk Coll Business, Dept Mkt, Charlotte, NC 28223 USA; [Park, Yoonseo] Chonbuk Natl Univ, Div Business Adm, Jeonju, South Korea; [Kim, Yong Seog] Utah State Univ, Jon M Huntsman Sch Business, Logan, UT 84322 USA</t>
  </si>
  <si>
    <t>University of North Carolina; University of North Carolina Charlotte; Jeonbuk National University; Utah System of Higher Education; Utah State University</t>
  </si>
  <si>
    <t>Moon, S (corresponding author), UNC Charlotte, Belk Coll Business, Dept Mkt, Charlotte, NC 28223 USA.</t>
  </si>
  <si>
    <t>smoon13@uncc.edu</t>
  </si>
  <si>
    <t>11-12</t>
  </si>
  <si>
    <t>10.1108/EJM-06-2013-0291</t>
  </si>
  <si>
    <t>AY7BH</t>
  </si>
  <si>
    <t>WOS:000347715700012</t>
  </si>
  <si>
    <t>Uzunboylu, N; Melanthiou, Y; Papasolomou, J</t>
  </si>
  <si>
    <t>Uzunboylu, Naziyet; Melanthiou, Yioula; Papasolomou, Joanna</t>
  </si>
  <si>
    <t>Hello Brand, let's take a selfie</t>
  </si>
  <si>
    <t>QUALITATIVE MARKET RESEARCH</t>
  </si>
  <si>
    <t>Branding; Selfie phenomenon; Netnography; Consumer relationships; Social media</t>
  </si>
  <si>
    <t>SOCIAL MEDIA; USER ENGAGEMENT; COMMUNITIES; GRATIFICATIONS; NETNOGRAPHY; MOTIVATIONS; MANAGEMENT; PICTURES; TWITTER; TRUST</t>
  </si>
  <si>
    <t>Purpose It has been suggested that brands and products often assume a role in selfies (Ham, 2014) where the expression of brands and products provokes consumer emotions that bring about greater engagement (Tsai and Men, 2013) and contributes to the interactivity with the brands. This study aims to understand how the selfie phenomenon could mobilize the interactivity between brands and target audiences, in a way that could be used as a marketing tool by companies. Design/methodology/approach A netnographic research methodology was used for the current study because it is a method specifically designed to study online communities (Kozinets, 2010). The experiences of brand selfie postings on Instagram were studied by analyzing users' selfies to predict brand usage. A purposive sample of Instagram users was chosen, and from these, a total of 74 brand selfies were analyzed. Findings This study provided an understanding of consumer behavior and marketing practices in the social marketplace through a detailed exploration of the data using visual and textual analysis. The main finding of this study is that consumers both consume and produce brand meanings in digital platforms; hence, companies should view them not only as passive receivers of messages, but also potential generators and co-creators of brand messages. Originality/value The growing trend in the selfie phenomenon along with social networking sites (hereinafter SNSs) have attracted the attention of both users and marketing experts in terms of consumer-brand relationship (Zhu and Chen, 2015). In line with this current trend, many studies have attempted to understand the influential impact of the selfie phenomenon through SNSs. Studies on the motivation of selfie postings (Pounders et al., 2016) and selfie-posting behavior on SNSs (Kim et al., 2016) have been carried out; however, how brand selfies posted on SNSs appeal to non-users and how they interact with them remain unclear. Consequently, the intention of the current study is to provide some insight in this area.</t>
  </si>
  <si>
    <t>[Uzunboylu, Naziyet; Melanthiou, Yioula; Papasolomou, Joanna] Univ Nicosia, Nicosia, Cyprus</t>
  </si>
  <si>
    <t>University of Nicosia</t>
  </si>
  <si>
    <t>Melanthiou, Y (corresponding author), Univ Nicosia, Nicosia, Cyprus.</t>
  </si>
  <si>
    <t>melanthiou.y@unic.ac.cy</t>
  </si>
  <si>
    <t>Melanthiou, Yioula/D-5609-2014</t>
  </si>
  <si>
    <t>Melanthiou, Yioula/0000-0002-1551-9820</t>
  </si>
  <si>
    <t>1352-2752</t>
  </si>
  <si>
    <t>1758-7646</t>
  </si>
  <si>
    <t>QUAL MARK RES</t>
  </si>
  <si>
    <t>Qual. Mark. Res.</t>
  </si>
  <si>
    <t>JAN 13</t>
  </si>
  <si>
    <t>10.1108/QMR-12-2017-0183</t>
  </si>
  <si>
    <t>JAN 2020</t>
  </si>
  <si>
    <t>LB8EQ</t>
  </si>
  <si>
    <t>WOS:000512300000001</t>
  </si>
  <si>
    <t>Kates, SM; Shaw-Garlock, G</t>
  </si>
  <si>
    <t>The ever entangling web: A study of ideologies and discourses in advertising to women</t>
  </si>
  <si>
    <t>CONSUMER RESEARCH; LITERARY-CRITICISM; LIFE-STYLE; CONSUMPTION; MEANINGS; DECONSTRUCTION; CRITIQUE; MODEL</t>
  </si>
  <si>
    <t>The authors combine discursive textual analysis and the findings from long interviews to understand and theorize about the ideological representations of women in a specific discursive field of advertising: ads in women's magazines. They synthesize findings of previous research with their findings to propose revisions to the current communication model of advertising, explicitly incorporating historical perspective of meaning(s) construction.</t>
  </si>
  <si>
    <t>Griffith Univ, Nathan, Qld 4111, Australia; Univ No British Columbia, Prince George, BC V2L 5P2, Canada</t>
  </si>
  <si>
    <t>Griffith University; University of Northern British Columbia</t>
  </si>
  <si>
    <t>Kates, SM (corresponding author), Griffith Univ, Gold Coast Campus, Nathan, Qld 4111, Australia.</t>
  </si>
  <si>
    <t>PO BOX 1826, CLEMSON, SC 29633-1826 USA</t>
  </si>
  <si>
    <t>10.1080/00913367.1999.10673582</t>
  </si>
  <si>
    <t>237EU</t>
  </si>
  <si>
    <t>WOS:000082643000004</t>
  </si>
  <si>
    <t>Chatterjee, S; Goyal, D; Prakash, A; Sharma, J</t>
  </si>
  <si>
    <t>Chatterjee, Swagato; Goyal, Divesh; Prakash, Atul; Sharma, Jiwan</t>
  </si>
  <si>
    <t>Exploring healthcare/health-product ecommerce satisfaction: A text mining and machine learning application</t>
  </si>
  <si>
    <t>Health-product ecommerce; Text mining; Sentiment; Emotion; Customer satisfaction; Online reviews</t>
  </si>
  <si>
    <t>WORD-OF-MOUTH; CUSTOMER SATISFACTION; ACCESSIBILITY-DIAGNOSTICITY; CONSEQUENCES; EXPERIENCE; EMOTIONS; BEHAVIOR; IMPACT; SALES</t>
  </si>
  <si>
    <t>In the digital era, online channels have become an inevitable part of healthcare services making healthcare/ health-product e-commerce an important area of study. However, the reflections of customer-satisfaction and their difference in various subgroups of this industry is still unexplored. Additionally, extant literature has majorly focused on consumer surveys for customer-satisfaction research ignoring the huge data available online. The current study fills these gaps. With 186,057 reviews on 619 e-commerce firms from 29 subcategories of healthcare/health-product industry posted in a review-website between 2008 and 2018, we used text-mining, machine-learning and econometric techniques to find which core and augmented service aspects and which emotions are more important in which service contexts in terms of reflecting and predicting customer satisfaction. Our study contributes towards the healthcare/health-product marketing and services literature in suggesting an automated and machine-learning-based methodology for insight generation. It also helps healthcare/ health-product e-commerce managers in better e-commerce service design and delivery.</t>
  </si>
  <si>
    <t>[Chatterjee, Swagato] Indian Inst Technol, Vinod Gupta Sch Management, Kharagpur 721302, W Bengal, India; [Goyal, Divesh; Prakash, Atul; Sharma, Jiwan] Indian Inst Technol, Kharagpur 721302, W Bengal, India</t>
  </si>
  <si>
    <t>Indian Institute of Technology System (IIT System); Indian Institute of Technology (IIT) - Kharagpur; Indian Institute of Technology System (IIT System); Indian Institute of Technology (IIT) - Kharagpur</t>
  </si>
  <si>
    <t>Chatterjee, S (corresponding author), Indian Inst Technol, Vinod Gupta Sch Management, Kharagpur 721302, W Bengal, India.</t>
  </si>
  <si>
    <t>swagato@vgsom.iitkgp.ac.in</t>
  </si>
  <si>
    <t>10.1016/j.jbusres.2020.10.043</t>
  </si>
  <si>
    <t>SE4AK</t>
  </si>
  <si>
    <t>WOS:000652015200015</t>
  </si>
  <si>
    <t>Mora, P; Moscarola, J</t>
  </si>
  <si>
    <t>Mora, Pierre; Moscarola, Jean</t>
  </si>
  <si>
    <t>Representations of the emotions associated with a wine purchasing or consumption experience</t>
  </si>
  <si>
    <t>Emotions; feelings; narrative; experiential marketing; wine marketing</t>
  </si>
  <si>
    <t>CONSUMER; BEHAVIOR</t>
  </si>
  <si>
    <t>Wine products possess pronounced cultural and symbolic characteristics. Given how hard it is to differentiate the product's more objective dimensions, it is important to understand the emotions and feelings that accompany wine purchasing, consuming or sharing experiences. The present study uses a writing workshop and literature review to uncover the relationships between the dimensions of the emotions that people feel during an experience of this kind, along with the mode of expression of different consumer groups. It also offers specific analysis of the role played by brands among the different characteristics of emotions. Towards this end, a series of wine-related experiential narratives has been compiled and treated via a structural text analysis approach followed by lexical contents analysis. One of the findings breaks consumers' involvement down into four categories of emotions. Another comes from a content analysis of the narratives that will differentiate among three separate consumer groups. Lastly, suggestions will be made in terms of wider consequences for the field of wine marketing.</t>
  </si>
  <si>
    <t>[Mora, Pierre] BEM Bordeaux Management Sch, Talence, France; [Moscarola, Jean] IIMUS Univ Savoie, Savoie, France</t>
  </si>
  <si>
    <t>Mora, P (corresponding author), BEM Management Sch, 680 Ave Liberat, F-33450 Talence, France.</t>
  </si>
  <si>
    <t>pierre.mora@bem.edu</t>
  </si>
  <si>
    <t>10.1111/j.1470-6431.2010.00900.x</t>
  </si>
  <si>
    <t>663GT</t>
  </si>
  <si>
    <t>WOS:000282872000007</t>
  </si>
  <si>
    <t>He, W; Chee, T; Chong, DZ; Rasnick, E</t>
  </si>
  <si>
    <t>Informat Resources Management Assoc</t>
  </si>
  <si>
    <t>He, Wu; Chee, Thad; Chong, Dazhi; Rasnick, Elizabeth</t>
  </si>
  <si>
    <t>Using Bibliometrics and Text Mining to Explore the Trends of E-Marketing Literature from 2001 to 2010</t>
  </si>
  <si>
    <t>E-MARKETING: CONCEPTS, METHODOLOGIES, TOOLS, AND APPLICATIONS, VOL I</t>
  </si>
  <si>
    <t>COMMERCE</t>
  </si>
  <si>
    <t>This paper describes a hybrid approach, using bibliometrics and text-mining, used to analyze longitudinal trends in the literature of e-marketing research from 2001 to 2010. The abstracts of 888 articles from six leading marketing journals were analyzed. The analysis identifies several core topics and themes of e-marketing research and reveals trends occurring in this growing area. The study reveals that combing bibliometrics with text-mining is a useful way to identify themes and trends for a topic in the literature and can produce meaningful results to help researchers achieve a deeper understanding of an area of interest.</t>
  </si>
  <si>
    <t>[He, Wu; Chee, Thad; Chong, Dazhi; Rasnick, Elizabeth] Old Dominion Univ, Norfolk, VA 23529 USA</t>
  </si>
  <si>
    <t>Old Dominion University</t>
  </si>
  <si>
    <t>He, W (corresponding author), Old Dominion Univ, Norfolk, VA 23529 USA.</t>
  </si>
  <si>
    <t>IGI GLOBAL</t>
  </si>
  <si>
    <t>HERSEY</t>
  </si>
  <si>
    <t>701 E CHOCOLATE AVE, STE 200, HERSEY, PA 17033-1240 USA</t>
  </si>
  <si>
    <t>978-1-4666-1599-1; 978-1-4666-1598-4</t>
  </si>
  <si>
    <t>10.4018/978-1-4666-1598-4.ch021</t>
  </si>
  <si>
    <t>10.4018/978-1-4666-1598-4</t>
  </si>
  <si>
    <t>Business; Computer Science, Information Systems; Communication; Computer Science, Interdisciplinary Applications; Information Science &amp; Library Science</t>
  </si>
  <si>
    <t>Business &amp; Economics; Computer Science; Communication; Information Science &amp; Library Science</t>
  </si>
  <si>
    <t>BJ2HY</t>
  </si>
  <si>
    <t>WOS:000419456400022</t>
  </si>
  <si>
    <t>Shen, CW; Luong, TH; Ho, JT; Djailani, I</t>
  </si>
  <si>
    <t>Shen, Chien-wen; Luong, Thai-ha; Ho, Jung-tsung; Djailani, Irfandi</t>
  </si>
  <si>
    <t>Social media marketing of IT service companies: Analysis using a concept-linking mining approach</t>
  </si>
  <si>
    <t>Concept links; IT service industry; Social media mining; Twitter</t>
  </si>
  <si>
    <t>BUSINESS-TO-BUSINESS; BRAND EQUITY; TWITTER; SENTIMENT; B2B; MICROBLOGS; POPULARITY; CUSTOMERS; IMPACT; POSTS</t>
  </si>
  <si>
    <t>The IT service industry values the experience of social familiarity, which is based on routine interactions with suppliers and customers and is at the frontier of social media marketing. To further understand how IT service companies use social media to engage their customers or potential leads, the objectives of this research are to delineate the differences between IT service companies' use of social media and users' expectations based on knowledge extracted from user-generated content on Twitter. We applied a text mining approach called two-tier concept-linking analysis to extract patterns in Twitter posts from top IT service companies as well as the related tweets from the Twitter users. We further compare the yearly similarities and differences of the key concepts from the company's official account and from the users. Besides, the key concepts between users' expectations and IT service companies' social media use were compared on the basis of first-tier concepts and further elaborated by their corresponding second-tier concepts. Our approach contributes to further understand the socio-cognitive insights underlying the dynamic social media data, from which organizations and individuals in charge can note the objectives they wish to maintain and the marketing gaps they wish to improve on.</t>
  </si>
  <si>
    <t>[Shen, Chien-wen; Luong, Thai-ha; Ho, Jung-tsung; Djailani, Irfandi] Natl Cent Univ, Dept Business Adm, 300 Zhongda Rd, Taoyuan 32001, Taiwan</t>
  </si>
  <si>
    <t>National Central University</t>
  </si>
  <si>
    <t>Shen, CW (corresponding author), Natl Cent Univ, Dept Business Adm, 300 Zhongda Rd, Taoyuan 32001, Taiwan.</t>
  </si>
  <si>
    <t>cwshen@ncu.edu.tw</t>
  </si>
  <si>
    <t>Djailani, Irfandi/GRN-8662-2022</t>
  </si>
  <si>
    <t>Ho, Jung-Tsung/0000-0002-9785-4373</t>
  </si>
  <si>
    <t>Ministry of Science and Technology, Taiwan [MOST 108-2410-H-008-067]</t>
  </si>
  <si>
    <t>Ministry of Science and Technology, Taiwan(Ministry of Science and Technology, Taiwan)</t>
  </si>
  <si>
    <t>This research was supported in part by the Ministry of Science and Technology, Taiwan, under contract #MOST 108-2410-H-008-067.</t>
  </si>
  <si>
    <t>10.1016/j.indmarman.2019.11.014</t>
  </si>
  <si>
    <t>WOS:000579880200045</t>
  </si>
  <si>
    <t>Guo, MZ; Liao, XW; Liu, JP; Zhang, QP</t>
  </si>
  <si>
    <t>Guo, Mengzhuo; Liao, Xiuwu; Liu, Jiapeng; Zhang, Qingpeng</t>
  </si>
  <si>
    <t>Consumer preference analysis: A data-driven multiple criteria approach integrating online information</t>
  </si>
  <si>
    <t>OMEGA-INTERNATIONAL JOURNAL OF MANAGEMENT SCIENCE</t>
  </si>
  <si>
    <t>Multiple criteria decision making; Preference analysis; Preference modeling; E-commerce; Online reviews</t>
  </si>
  <si>
    <t>ADDITIVE VALUE-FUNCTIONS; MULTICRITERIA DECISION-MAKING; ROBUST ORDINAL REGRESSION; HIERARCHY PROCESS; ACCEPTABILITY ANALYSIS; SYSTEM; SET; REVIEWS; RANKING; SUPPORT</t>
  </si>
  <si>
    <t>Multiple criteria approaches can assist the product manager to know the consumer preferences in the context of e-commerce. Consumer preference analysis explains what aspects of a product affect and how they affect a consumer's purchasing decision. This issue plays an important role in e-commerce platforms from its relevance in marketing decisions such as advertisements, recommendations and promotions. In this regard, we propose a data-driven multiple criteria decision aiding (MCDA) approach to integrate online information, such as explicit (e.g., reviews and ratings) and implicit (e.g., clicks and purchases) feedback from consumers. However, MCDA approaches present a critical challenge that even an experienced product manager could find it difficult to pre-define the criteria on which a product is evaluated. To address this issue, our proposed approach first utilizes text-mining techniques to assist the product manager identify the criteria, and then determines and collects the relative importance of the criteria and their values. Given the criteria information, we use a sampling process to provide two indices, the consumer preference index and rank acceptability index. The first index helps in prioritizing the pairwise comparisons of products, while the second one helps in deriving a default ranking list for first-time-registered consumers. We record the products viewed by consumers and generate their preference information in the form of pairwise comparisons for analyses within an aggregation-disaggregation paradigm. We also provide a representative value function to help the product manager gain insight into the preferences. Finally, we describe how a real-world application including the product manager and consumers exploits the proposed approach on an e-commerce platform to take a large step toward aiding more realistic and data-driven multiple criteria decision making. (C) 2019 Elsevier Ltd. All rights reserved.</t>
  </si>
  <si>
    <t>[Guo, Mengzhuo; Liao, Xiuwu; Liu, Jiapeng] Xi An Jiao Tong Univ, Sch Management, Key Lab, Minist Educ Proc Control &amp; Efficiency Engn, Xian 710049, Shaanxi, Peoples R China; [Guo, Mengzhuo; Zhang, Qingpeng] City Univ Hong Kong, Sch Data Sci, Hong Kong, Peoples R China</t>
  </si>
  <si>
    <t>Xi'an Jiaotong University; City University of Hong Kong</t>
  </si>
  <si>
    <t>Liao, XW (corresponding author), Xi An Jiao Tong Univ, Sch Management, Key Lab, Minist Educ Proc Control &amp; Efficiency Engn, Xian 710049, Shaanxi, Peoples R China.</t>
  </si>
  <si>
    <t>liaoxiuwu@mail.xjtu.edu.cn</t>
  </si>
  <si>
    <t>GUO, Mengzhuo/GZK-2134-2022; Zhang, Qingpeng/D-4682-2011</t>
  </si>
  <si>
    <t>GUO, Mengzhuo/0000-0003-3559-733X; Zhang, Qingpeng/0000-0002-6819-0686</t>
  </si>
  <si>
    <t>National Natural Science Foundation of China [91846110, 91546119, 71701160, 71672163]; Youth Innovation Team of Shaanxi Universities Big data and Business Intelligent Innovation Team</t>
  </si>
  <si>
    <t>National Natural Science Foundation of China(National Natural Science Foundation of China (NSFC)); Youth Innovation Team of Shaanxi Universities Big data and Business Intelligent Innovation Team</t>
  </si>
  <si>
    <t>The research is supported by the National Natural Science Foundation of China (#91846110, #91546119, #71701160, #71672163) and the Youth Innovation Team of Shaanxi Universities Big data and Business Intelligent Innovation Team. We are grateful to the anonymous reviewers for their constructive and detailed comments, which helped us improve the previous version of the paper.</t>
  </si>
  <si>
    <t>0305-0483</t>
  </si>
  <si>
    <t>1873-5274</t>
  </si>
  <si>
    <t>OMEGA-INT J MANAGE S</t>
  </si>
  <si>
    <t>Omega-Int. J. Manage. Sci.</t>
  </si>
  <si>
    <t>10.1016/j.omega.2019.05.010</t>
  </si>
  <si>
    <t>MA5HS</t>
  </si>
  <si>
    <t>WOS:000541944700006</t>
  </si>
  <si>
    <t>Ranfagni, S; Milanesi, M; Guercini, S</t>
  </si>
  <si>
    <t>Ranfagni, Silvia; Milanesi, Matilde; Guercini, Simone</t>
  </si>
  <si>
    <t>An online research approach for a dual perspective analysis of brand associations in art museums</t>
  </si>
  <si>
    <t>INTERNATIONAL REVIEW ON PUBLIC AND NONPROFIT MARKETING</t>
  </si>
  <si>
    <t>Art museum; User-generated content; Brand identity; Brand image; Text mining; Digital ethnography</t>
  </si>
  <si>
    <t>MARKETING-RESEARCH; IMAGE; IDENTITY; EQUITY; COMMUNICATION; NETNOGRAPHY; COMMUNITIES; FRAMEWORK; DYNAMICS; STRATEGY</t>
  </si>
  <si>
    <t>The paper develops a research approach that combines digital ethnography with text mining to explore consumers' perception of a brand and the degree of alignment between brand identity and image. In particular, the paper investigates the alignment between the art museum's brand identity and the brand image emerging from visitors' narratives of their experience. The study adopts a mixed methodology based on netnography and text mining techniques. The analysis concerns an art museum's brand, with the case of the Opera del Duomo Museum in Florence. The methodological approach enables a combined investigation of user-generated content in online communities and the company's online brand communication, contributing to identifying branding actions that can be taken to increase the brand alignment. It also enables the measurement of the degree of alignment between museums and visitors among common brand themes. Specific indicators of alignment are provided. A key point is the replicability of the model in other contexts of analysis in which the content produced by consumers in online contexts are relevant and readily available, such as fashion or food.</t>
  </si>
  <si>
    <t>[Ranfagni, Silvia; Milanesi, Matilde; Guercini, Simone] Univ Florence, Dept Econ &amp; Management, Via Pandette 9, I-50127 Florence, Italy</t>
  </si>
  <si>
    <t>University of Florence</t>
  </si>
  <si>
    <t>Milanesi, M (corresponding author), Univ Florence, Dept Econ &amp; Management, Via Pandette 9, I-50127 Florence, Italy.</t>
  </si>
  <si>
    <t>matilde.milanesi@unifi.it</t>
  </si>
  <si>
    <t>Guercini, Simone/AAC-8938-2020</t>
  </si>
  <si>
    <t>Guercini, Simone/0000-0002-7542-6984; Ranfagni, Silvia/0000-0002-1546-3070</t>
  </si>
  <si>
    <t>1865-1984</t>
  </si>
  <si>
    <t>1865-1992</t>
  </si>
  <si>
    <t>INT REV PUB NON MARK</t>
  </si>
  <si>
    <t>Int. Rev. Public Nonprofit Market.</t>
  </si>
  <si>
    <t>10.1007/s12208-022-00332-8</t>
  </si>
  <si>
    <t>9V5FL</t>
  </si>
  <si>
    <t>WOS:000757147200001</t>
  </si>
  <si>
    <t>Tsao, HY; Campbell, C; Sands, S; Mavrommatis, A</t>
  </si>
  <si>
    <t>Tsao, Hsiu-Yuan; Campbell, Colin; Sands, Sean; Mavrommatis, Alexis</t>
  </si>
  <si>
    <t>From mining to meaning: How B2B marketers can leverage text to inform strategy</t>
  </si>
  <si>
    <t>Text -analysis; B2B marketing; Marketing insight; Marketing strategy</t>
  </si>
  <si>
    <t>BIG DATA ANALYTICS; WORD-OF-MOUTH; SOCIAL MEDIA; ONLINE; SENTIMENT; INSIGHTS; MODEL</t>
  </si>
  <si>
    <t>Today's marketers are increasingly faced with the need to collect and interpret data to aid firm strategic decision making. At the same time, there has been an explosion of text-based data and numerous advances in big data that enable marketers to mine the collection and aggregation of text. However, for many marketers there is a need to better understand how textual data can go beyond mere descriptive metrics to instead help solve real marketing problems. With this paper, we take a step in this direction. We first review key concepts and terms that are relevant to understanding how text analysis operates, as well as a new development in custom dictionary cre-ation that expands the topics possible with text analysis. Next, we develop the FTTA grid, a new framework that enables text-derived metrics to inform actionable strategies for marketers. We present two real cases demon-strating how the FTTA grid can be employed in action. Finally, we discuss implications for both academics and marketing practitioners.</t>
  </si>
  <si>
    <t>[Tsao, Hsiu-Yuan] Natl Chung Hsing Univ, Dept Mkt, 145 Xingda Rd, Taichung 402, Taiwan; [Campbell, Colin] Univ San Diego, Sch Business, Dept Mkt, 5998 Alcala Pk, San Diego, CA 92101 USA; [Sands, Sean] Swinburne Univ Technol, Dept Management &amp; Mkt, Hawthorn, Vic 3122, Australia; [Mavrommatis, Alexis] ESADE Business Sch, Dept Mkt, Barcelona, Spain</t>
  </si>
  <si>
    <t>National Chung Hsing University; University of San Diego; Swinburne University of Technology; Universitat Ramon Llull; Escuela Superior de Administracion y Direccion de Empresas (ESADE)</t>
  </si>
  <si>
    <t>Campbell, C (corresponding author), Univ San Diego, Knauss Sch Business, Dept Mkt, San Diego, CA 92101 USA.</t>
  </si>
  <si>
    <t>jodytsao@nchu.edu.tw; colincampbell@sandiego.edu; ssands@swin.edu.au; alexis.mavrommatis@esade.edu</t>
  </si>
  <si>
    <t>Mavrommatis, Alexis/HLH-5824-2023</t>
  </si>
  <si>
    <t>10.1016/j.indmarman.2022.08.007</t>
  </si>
  <si>
    <t>4V4XI</t>
  </si>
  <si>
    <t>WOS:000859481000003</t>
  </si>
  <si>
    <t>Delbaere, M; Michael, B; Phillips, BJ</t>
  </si>
  <si>
    <t>Delbaere, Marjorie; Michael, Brittany; Phillips, Barbara J.</t>
  </si>
  <si>
    <t>Social media influencers: A route to brand engagement for their followers</t>
  </si>
  <si>
    <t>automated textual analysis; brand engagement; social influence; social media marketing</t>
  </si>
  <si>
    <t>WORD-OF-MOUTH; CUSTOMER ENGAGEMENT; DISCLOSURE; INTENTION; BLOGGER; IMPACT</t>
  </si>
  <si>
    <t>Social Media Influencers (SMIs) are micro-celebrities with large followings on social media platforms who engage consumers and hold the potential to promote customer-brand relationships across different product categories. SMIs have an existing relationship of trust with consumers, and consumers seek out the content created by SMIs for valuable information and advice. This study explores the process of brand engagement between consumers and brands in the digital content marketing environment, specifically examining the research question: Do SMIs act as a route to brand engagement for their followers? The context for this study is the beauty community on YouTube; over 60,000 user comments were analyzed through automated text analysis. This study is among the first to provide empirical evidence that SMIs do act as a route to brand engagement through the three dimensions of cognitive processing, affection and activation.</t>
  </si>
  <si>
    <t>[Delbaere, Marjorie; Michael, Brittany; Phillips, Barbara J.] Edwards Sch Business, Dept Management &amp; Mkt, 25 Campus Dr, Saskatoon, SK S7N 4J5, Canada</t>
  </si>
  <si>
    <t>University of Saskatchewan</t>
  </si>
  <si>
    <t>Phillips, BJ (corresponding author), Edwards Sch Business, Dept Management &amp; Mkt, 25 Campus Dr, Saskatoon, SK S7N 4J5, Canada.</t>
  </si>
  <si>
    <t>bphillips@edwards.usask.ca</t>
  </si>
  <si>
    <t>Delbaere, Marjorie/0000-0002-4782-5769</t>
  </si>
  <si>
    <t>10.1002/mar.21419</t>
  </si>
  <si>
    <t>OCT 2020</t>
  </si>
  <si>
    <t>PM3MC</t>
  </si>
  <si>
    <t>WOS:000578537400001</t>
  </si>
  <si>
    <t>Ipeirotis, Panos/O-8700-2018; Pettit, Krista/G-3549-2012; Ipeirotis, Panagiotis G./A-7148-2008; Ipeirotis, Panos/AAB-2041-2020</t>
  </si>
  <si>
    <t>Opoku, RA; Pitt, LF; Abratt, R</t>
  </si>
  <si>
    <t>Opoku, R. A.; Pitt, L. F.; Abratt, R.</t>
  </si>
  <si>
    <t>Positioning in cyberspace: Evaluating bestselling authors' online communicated brand personalities using computer-aided content analysis</t>
  </si>
  <si>
    <t>SOUTH AFRICAN JOURNAL OF BUSINESS MANAGEMENT</t>
  </si>
  <si>
    <t>QUALITATIVE DATA-ANALYSIS; INFORMATION-CONTENT; MARKETING-RESEARCH; UNITED-STATES</t>
  </si>
  <si>
    <t>This study employs a computer-aided text analysis technique to explore whether bestselling authors communicate Aaker's brand personality in the online environment. We argue that content analysis facilitated by a computer is relatively reliable and less tedious than that performed by human coders. We analyse the content of websites on the presumption that this reflects what the author wants to say about him/herself. The study offers a new technique for content analysts and marketing communicators to quantify various aspects of marketing communications and goes a little further towards the evaluation and mapping of websites using correspondence analysis.</t>
  </si>
  <si>
    <t>[Pitt, L. F.] Simon Fraser Univ, Fac Business Adm, Burnaby, BC V5A 1S6, Canada; [Opoku, R. A.] Nova SE Univ, Huizenga Sch Business &amp; Entrepreneurship, Ft Lauderdale, FL 33314 USA; [Opoku, R. A.] Univ Witwatersrand, Johannesburg, South Africa</t>
  </si>
  <si>
    <t>Simon Fraser University; Nova Southeastern University; University of Witwatersrand</t>
  </si>
  <si>
    <t>Abratt, R (corresponding author), Univ Witwatersrand, Johannesburg, South Africa.</t>
  </si>
  <si>
    <t>opoku@kfupm.edu.sa; lpitt@sfu.ca; abratt@huizenga.nova.edu</t>
  </si>
  <si>
    <t>Opoku, Robert/AAS-2965-2021</t>
  </si>
  <si>
    <t>ASSOC PROFESSIONAL MANAGERS SOUTH AFRICIA</t>
  </si>
  <si>
    <t>CENTURION</t>
  </si>
  <si>
    <t>PO BOX 11937, CENTURION, 0046, SOUTH AFRICA</t>
  </si>
  <si>
    <t>0378-9098</t>
  </si>
  <si>
    <t>S AFR J BUS MANAG</t>
  </si>
  <si>
    <t>S. Afr. J. Bus. Manag.</t>
  </si>
  <si>
    <t>10.4102/sajbm.v38i4.591</t>
  </si>
  <si>
    <t>294PY</t>
  </si>
  <si>
    <t>WOS:000255419200003</t>
  </si>
  <si>
    <t>Gensler, S; Volckner, F; Egger, M; Fischbach, K; Schoder, D</t>
  </si>
  <si>
    <t>Gensler, Sonja; Voelckner, Franziska; Egger, Marc; Fischbach, Kai; Schoder, Detlef</t>
  </si>
  <si>
    <t>Listen to Your Customers: Insights into Brand Image Using Online Consumer-Generated Product Reviews</t>
  </si>
  <si>
    <t>Brand image; consumer-generated content; network analysis; online product reviews; text mining</t>
  </si>
  <si>
    <t>WORD-OF-MOUTH; NEGATIVE PUBLICITY; MODERATING ROLE; CONCEPT MAPS; DONT-KNOW; IMPACT; SALES; USER; HELPFULNESS; PERCEPTIONS</t>
  </si>
  <si>
    <t>Online consumer-generated product reviews are a growing phenomenon and have led to the posting of colossal amounts of data by consumers on the Web. These data include consumers' thoughts, opinions, and feelings about brands and offer firms the opportunity to listen in on consumers to get a better understanding of the topics discussed about their brands. Using the human associative memory model as the theoretical framework, the authors introduce an approach to convert online product reviews into meaningful information about brand images using a novel combination of text mining and network analysis methodologies. Following a network-based understanding of brand image, the authors use online product reviews to extract consumers' brand associations and their interconnections as well as to depict and characterize the network of brand associations. In an empirical study, the authors test the approach and illustrate its managerial usefulness. The suggested approach allows managers to effectively monitor and detect strengths and weaknesses of brand image. Moreover, the proposed approach is one of the first attempts to measure brand image using consumer-generated content by applying text mining and network analysis.</t>
  </si>
  <si>
    <t>[Gensler, Sonja] Univ Munster, Fac Business &amp; Econ, Mkt, Munster, Germany; [Voelckner, Franziska] Univ Cologne, Mkt, Cologne, Germany; [Egger, Marc] MIT, 77 Massachusetts Ave, Cambridge, MA 02139 USA; [Fischbach, Kai] Otto Friedrich Univ Bamberg, Informat Syst &amp; Social Networks, Bamberg, Germany; [Schoder, Detlef] Univ Cologne, Inst Broadcasting Econ, Cologne, Germany</t>
  </si>
  <si>
    <t>University of Munster; University of Cologne; Massachusetts Institute of Technology (MIT); Otto Friedrich University Bamberg; University of Cologne</t>
  </si>
  <si>
    <t>Gensler, S (corresponding author), Univ Munster, Fac Business &amp; Econ, Mkt, Munster, Germany.</t>
  </si>
  <si>
    <t>Völckner, Franziska/ABB-9214-2021; Freienberg, Selina/AAV-8829-2021; Fischbach, Kai/AAI-9700-2020; Gensler, Sonja/AGE-2089-2022</t>
  </si>
  <si>
    <t xml:space="preserve">Völckner, Franziska/0000-0003-4835-6199; Fischbach, Kai/0000-0001-5721-5369; </t>
  </si>
  <si>
    <t>10.1080/10864415.2016.1061792</t>
  </si>
  <si>
    <t>DC0QW</t>
  </si>
  <si>
    <t>WOS:000368923800005</t>
  </si>
  <si>
    <t>Humphreys, A; Isaac, MS; Wang, RJH</t>
  </si>
  <si>
    <t>Humphreys, Ashlee; Isaac, Mathew S.; Wang, Rebecca Jen-Hui</t>
  </si>
  <si>
    <t>Construal Matching in Online Search: Applying Text Analysis to Illuminate the Consumer Decision Journey</t>
  </si>
  <si>
    <t>consumer decision journey; construal level; abstract vs; concrete mindsets; online search; processing fluency; goal progress; search queries</t>
  </si>
  <si>
    <t>PSYCHOLOGICAL DISTANCE; PROCESSING FLUENCY; PERCEPTUAL FLUENCY; REGULATORY FIT; CONCRETENESS; LANGUAGE; LEVEL; REPRESENTATION; ORIENTATION; LOCOMOTION</t>
  </si>
  <si>
    <t>As consumers move through their decision journey, they adopt different goals (e.g., transactional vs. informational). In this research, the authors propose that consumer goals can be detected through textual analysis of online search queries and that both marketers and consumers can benefit when paid search results and advertisements match consumer search-related goals. In bridging construal level theory and textual analysis, the authors show that consumers at different stages of the decision journey tend to assume different levels of mental construal, or mindsets (i.e., abstract vs. concrete). They find evidence of a fluency-driven matching effect in online search such that when consumer mindsets are more abstract (more concrete), consumers generate textual search queries that use more abstract (more concrete) language. Furthermore, they are more likely to click on search engine results and ad content that matches their mindset, thereby experiencing more search satisfaction and perceiving greater goal progress. Six empirical studies, including a pilot study, a survey, three lab experiments, and a field experiment involving over 128,000 ad impressions provide support for this construal matching effect in online search.</t>
  </si>
  <si>
    <t>[Humphreys, Ashlee] Northwestern Univ, Medill Sch Journalism Media &amp; Integrated Mkt Comm, Evanston, IL 60208 USA; [Humphreys, Ashlee] Northwestern Univ, Kellogg Sch Management, Evanston, IL 60208 USA; [Isaac, Mathew S.] Seattle Univ, Albers Sch Business &amp; Econ, Seattle, WA USA; [Wang, Rebecca Jen-Hui] Lehigh Univ, Coll Business, Bethlehem, PA USA</t>
  </si>
  <si>
    <t>Northwestern University; Northwestern University; Seattle University; Lehigh University</t>
  </si>
  <si>
    <t>Humphreys, A (corresponding author), Northwestern Univ, Medill Sch Journalism Media &amp; Integrated Mkt Comm, Evanston, IL 60208 USA.;Humphreys, A (corresponding author), Northwestern Univ, Kellogg Sch Management, Evanston, IL 60208 USA.</t>
  </si>
  <si>
    <t>a-humphreys@northwestern.edu; isaacm@seattleu.edu; rwang@lehigh.edu</t>
  </si>
  <si>
    <t>Isaac, Mathew/GOP-0932-2022</t>
  </si>
  <si>
    <t>10.1177/0022243720940693</t>
  </si>
  <si>
    <t>WOS:000718909600005</t>
  </si>
  <si>
    <t>Garcia-Crespo, A; Colomo-Palacios, R; Gomez-Berbis, JM; Ruiz-Mezcua, B</t>
  </si>
  <si>
    <t>Garcia-Crespo, Angel; Colomo-Palacios, Ricardo; Miguel Gomez-Berbis, Juan; Ruiz-Mezcua, Belen</t>
  </si>
  <si>
    <t>SEMO: a framework for customer social networks analysis based on semantics</t>
  </si>
  <si>
    <t>JOURNAL OF INFORMATION TECHNOLOGY</t>
  </si>
  <si>
    <t>social networks; customer relationship management; semantics; emotions; natural language processing</t>
  </si>
  <si>
    <t>SENTIMENT ANALYSIS; EMOTIONS; WEB; PERFORMANCE; TEXT</t>
  </si>
  <si>
    <t>The increasing importance of the Internet in most domains has brought about a paradigm change in consumer relations. The influence of Social Networks has entered the Customer Relationship Management domain under the coined term CRM 2.0. In this context, the need to understand and classify the interactions of customers by means of new platforms has emerged as a challenge for both researchers and professionals worldwide. This is the perfect scenario for the use of SEMO, a platform for Customer Social Networks Analysis based on Semantics and emotion mining. The platform benefits from both semantic annotation and classification and text analysis, relying on techniques from the Natural Language Processing domain. The results of the evaluation of the experimental implementation of SEMO reveal a promising and viable platform from a technical perspective. Journal of Information Technology (2010) 25, 178-188. doi: 10.1057/jit.2010.1 Published online 18 May 2010</t>
  </si>
  <si>
    <t>[Garcia-Crespo, Angel; Colomo-Palacios, Ricardo; Miguel Gomez-Berbis, Juan; Ruiz-Mezcua, Belen] Univ Carlos III Madrid, Dept Comp Sci, Madrid, Spain</t>
  </si>
  <si>
    <t>Universidad Carlos III de Madrid</t>
  </si>
  <si>
    <t>Colomo-Palacios, R (corresponding author), Univ Carlos III Madrid, Dept Comp Sci, Avda Univ 30, Madrid, Spain.</t>
  </si>
  <si>
    <t>ricardo.colomo@uc3m.es</t>
  </si>
  <si>
    <t>Colomo-Palacios, Ricardo/E-5139-2010; Berbís, Juan M Gómez/M-2795-2017; Crespo, Angel García/AAY-4578-2020; RUIZ MEZCUA, BELEN/Q-6537-2017</t>
  </si>
  <si>
    <t>Colomo-Palacios, Ricardo/0000-0002-1555-9726; Crespo, Angel García/0000-0003-4206-7601; RUIZ MEZCUA, BELEN/0000-0003-1993-8325</t>
  </si>
  <si>
    <t>Spanish Ministry of Industry, Tourism, and Commerce [TSI-020400-2009-148, TSI-020100-2008-665, TSI-020400-2009-127]</t>
  </si>
  <si>
    <t>Spanish Ministry of Industry, Tourism, and Commerce(Spanish Government)</t>
  </si>
  <si>
    <t>This work is supported by the Spanish Ministry of Industry, Tourism, and Commerce under the EUREKA project SITIO (TSI-020400-2009-148), SONAR2 (TSI-020100-2008-665) and GO2 (TSI-020400-2009-127).</t>
  </si>
  <si>
    <t>0268-3962</t>
  </si>
  <si>
    <t>1466-4437</t>
  </si>
  <si>
    <t>J INF TECHNOL-UK</t>
  </si>
  <si>
    <t>J. Inf. Technol.</t>
  </si>
  <si>
    <t>10.1057/jit.2010.1</t>
  </si>
  <si>
    <t>612TT</t>
  </si>
  <si>
    <t>WOS:000278927100007</t>
  </si>
  <si>
    <t>Warren, NL; Farmer, M; Gu, TY; Warren, C</t>
  </si>
  <si>
    <t>Warren, Nooshin L.; Farmer, Matthew; Gu, Tianyu; Warren, Caleb</t>
  </si>
  <si>
    <t>Marketing Ideas: How to Write Research Articles that Readers Understand and Cite</t>
  </si>
  <si>
    <t>citations; methods; readability; relevance; text analysis; writing</t>
  </si>
  <si>
    <t>GRAMMATICAL TRANSFORMATIONS; READABILITY; IMPACT; CITATIONS; CONCRETENESS; PSYCHOLOGY; DIVERSITY; ABSTRACTS; KNOWLEDGE; JOURNALS</t>
  </si>
  <si>
    <t>Academia is a marketplace of ideas. Just as firms market their products with packaging and advertising, scholars market their ideas with writing. Even the best ideas will make an impact only if others understand and build on them. Why, then, is academic writing often difficult to understand? In two experiments and a text analysis of 1,640 articles in premier marketing journals, this research shows that scholars write unclearly in part because they forget that they know more about their research than readers, a phenomenon called the curse of knowledge. Knowledge, or familiarity with one's own research, exacerbates three practices that make academic writing difficult to understand: abstraction, technical language, and passive writing. When marketing scholars know more about a research project, they use more abstract, technical, and passive writing to describe it. Articles with more abstract, technical, and passive writing are harder for readers to understand and are less likely to be cited. The authors call for scholars to overcome the curse of knowledge and provide two tools-a website (writingclaritycalculator.com) and a tutorial-to help them recognize and repair unclear writing so they can write articles that are more likely to make an impact.</t>
  </si>
  <si>
    <t>[Warren, Nooshin L.; Farmer, Matthew; Warren, Caleb] Univ Arizona, Eller Coll Management, Mkt, Tucson, AZ 85721 USA; [Gu, Tianyu] Univ Utah, David Eccles Sch Business, Mkt, Salt Lake City, UT 84112 USA</t>
  </si>
  <si>
    <t>University of Arizona; Utah System of Higher Education; University of Utah</t>
  </si>
  <si>
    <t>Warren, NL (corresponding author), Univ Arizona, Eller Coll Management, Mkt, Tucson, AZ 85721 USA.</t>
  </si>
  <si>
    <t>nwarren@email.arizona.edu</t>
  </si>
  <si>
    <t>10.1177/00222429211003560</t>
  </si>
  <si>
    <t>WOS:000680517700001</t>
  </si>
  <si>
    <t>Astanti, RD; Sutanto, IC; Ai, TJ</t>
  </si>
  <si>
    <t>Astanti, Ririn Diar; Sutanto, Ivana Carissa; Ai, The Jin</t>
  </si>
  <si>
    <t>Complaint management model of manufacturing products using text mining and potential failure identification</t>
  </si>
  <si>
    <t>TQM JOURNAL</t>
  </si>
  <si>
    <t>Complaint; Text mining; Failure mode effect analysis; Continuous improvement</t>
  </si>
  <si>
    <t>SYSTEM; BEHAVIOR; REVIEWS</t>
  </si>
  <si>
    <t>Purpose This paper aims to propose a framework on complaint management system for quality management by applying the text mining method and potential failure identification that can support organization learning (OL). Customer complaints in the form of email text is the input of the framework, while the most frequent complaints are visualized using a Pareto diagram. The company can learn from this Pareto diagram and take action to improve their process. Design/methodology/approach The first main part of the framework is creating a defect database from potential failure identification, which is the initial part of the failure mode and effect analysis technique. The second main part is the text mining of customer email complaints. The last part of the framework is matching the result of text mining with the defect database and presenting in the form of a Pareto diagram. After the framework is proposed, a case study is conducted to illustrate the applicability of the proposed method. Findings By using the defect database, the framework can interpret the customer email complaints into the list of most defect complained by customer using a Pareto diagram. The results of the Pareto diagram, based on the results of text mining of consumer complaints via email, can be used by a company to learn from complaint and to analyze the potential failure mode. This analysis helps company to take anticipatory action for avoiding potential failure mode happening in the future. Originality/value The framework on complaint management system for quality management by applying the text mining method and potential failure identification is proposed for the first time in this paper.</t>
  </si>
  <si>
    <t>[Astanti, Ririn Diar; Sutanto, Ivana Carissa; Ai, The Jin] Univ Atma Jaya Yogyakarta, Dept Ind Engn, Yogyakarta, Indonesia</t>
  </si>
  <si>
    <t>Universitas Atma Jaya Yogyakarta</t>
  </si>
  <si>
    <t>Astanti, RD (corresponding author), Univ Atma Jaya Yogyakarta, Dept Ind Engn, Yogyakarta, Indonesia.</t>
  </si>
  <si>
    <t>ririn.astanti@uajy.ac.id</t>
  </si>
  <si>
    <t>Ai, The Jin/0000-0002-5946-5027</t>
  </si>
  <si>
    <t>Lembaga Penelitian dan Pengabdian pada Masyarakat, Universitas Atma Jaya Yogyakarta</t>
  </si>
  <si>
    <t>The authors thank the editor and the anonymous referees for their valuable comments and suggestions to improve the presentation of this paper. This work is partially funded by Lembaga Penelitian dan Pengabdian pada Masyarakat, Universitas Atma Jaya Yogyakarta.</t>
  </si>
  <si>
    <t>1754-2731</t>
  </si>
  <si>
    <t>1754-274X</t>
  </si>
  <si>
    <t>TQM J</t>
  </si>
  <si>
    <t>TQM J.</t>
  </si>
  <si>
    <t>10.1108/TQM-05-2021-0145</t>
  </si>
  <si>
    <t>6T9ZX</t>
  </si>
  <si>
    <t>WOS:000715330400001</t>
  </si>
  <si>
    <t>Fang, JM; Hu, LX; Liu, XQ; Prybutok, VR</t>
  </si>
  <si>
    <t>Fang, Jiaming; Hu, Lixue; Liu, Xiangqian; Prybutok, Victor R.</t>
  </si>
  <si>
    <t>Impact of air quality on online restaurant review comprehensiveness</t>
  </si>
  <si>
    <t>Online reviews; Review diagnosticity; Emotional arousal; Air quality; Review comprehensiveness</t>
  </si>
  <si>
    <t>WORD-OF-MOUTH; PSYCHOLOGICAL DISTANCE; PERCEIVED HELPFULNESS; EMOTIONAL AROUSAL; CONSUMER REVIEWS; PRODUCT REVIEWS; CORE AFFECT; POLLUTION; VALENCE; INTENSITY</t>
  </si>
  <si>
    <t>Comprehensiveness is one of the most important textual content features of online review and exhibits significant impacts on consumer's buying decisions. This paper explores the effect of air quality on review comprehensiveness by using a large-scale daily restaurant review dataset. By applying panel data and text mining method, we report an emotion-based underlying mechanism for the link between ambient air pollution levels and review comprehensiveness. Specifically, we show that air pollution levels significantly decrease review comprehensiveness, and emotion arousal mediates the relationship. Besides, our analyses reveal that the effect of the changing natural environment on reviews is asymmetrical, such that the negative relationship between air pollution levels and emotional arousal is stronger among novice reviewers. This research extends our current understanding of air pollution's psychological and behavioral effects on review writers and suggests the importance of integrating air quality information into online review management strategies.</t>
  </si>
  <si>
    <t>[Fang, Jiaming; Hu, Lixue; Liu, Xiangqian] Univ Elect Sci &amp; Technol China, Sch Management &amp; Econ, Chengdu, Sichuan, Peoples R China; [Prybutok, Victor R.] Univ North Texas, Coll Business, Denton, TX 76201 USA</t>
  </si>
  <si>
    <t>University of Electronic Science &amp; Technology of China; University of North Texas System; University of North Texas Denton</t>
  </si>
  <si>
    <t>Fang, JM (corresponding author), Univ Elect Sci &amp; Technol China, Sch Management &amp; Econ, Chengdu, Sichuan, Peoples R China.</t>
  </si>
  <si>
    <t>jmfang@uestc.edu.cn; 827855280@qq.com; 1796462852@qq.com; Victor.Prybutok@unt.edu</t>
  </si>
  <si>
    <t>Fang, Jiaming/0000-0002-1806-8017</t>
  </si>
  <si>
    <t>National Natural Science Foundation of China [71571029]</t>
  </si>
  <si>
    <t>The authors acknowledge the support of the National Natural Science Foundation of China [Project 71571029].</t>
  </si>
  <si>
    <t>10.1007/s10660-020-09445-w</t>
  </si>
  <si>
    <t>NOV 2020</t>
  </si>
  <si>
    <t>5W8QD</t>
  </si>
  <si>
    <t>WOS:000589577500003</t>
  </si>
  <si>
    <t>Singh, SN; Hillmer, S; Wang, Z</t>
  </si>
  <si>
    <t>Singh, Surendra N.; Hillmer, Steve; Wang, Ze</t>
  </si>
  <si>
    <t>Efficient Methods for Sampling Responses from Large-Scale Qualitative Data</t>
  </si>
  <si>
    <t>consumer-generated media; consumer-generated content; customer feedback on the Web; text mining; qualitative comments; large-scale qualitative data sets; sampling open-ended questions</t>
  </si>
  <si>
    <t>The World Wide Web contains a vast corpus of consumer-generated content that holds invaluable insights for improving the product and service offerings of firms. Yet the typical method for extracting diagnostic information from online content-text mining-has limitations. As a starting point, we propose analyzing a sample of comments before initiating text mining. Using a combination of real data and simulations, we demonstrate that a sampling procedure that selects respondents whose comments contain a large amount of information is superior to the two most popular sampling methods-simple random sampling and stratified random sampling-in gaining insights from the data. In addition, we derive a method that determines the probability of observing diagnostic information repeated a specific number of times in the population, which will enable managers to base sample size decisions on the trade-off between obtaining additional diagnostic information and the added expense of a larger sample. We provide an illustration of one of the methods using a real data set from a website containing qualitative comments about staying at a hotel and demonstrate how sampling qualitative comments can be a useful first step in text mining.</t>
  </si>
  <si>
    <t>[Singh, Surendra N.; Hillmer, Steve] Univ Kansas, Sch Business, Lawrence, KS 66045 USA; [Wang, Ze] Univ Cent Florida, Coll Business Adm, Orlando, FL 32816 USA; [Singh, Surendra N.] Univ Kansas, Sch Med, Lawrence, KS 66045 USA</t>
  </si>
  <si>
    <t>University of Kansas; State University System of Florida; University of Central Florida; University of Kansas; University of Kansas Medical Center</t>
  </si>
  <si>
    <t>Singh, SN (corresponding author), Univ Kansas, Sch Business, Lawrence, KS 66045 USA.</t>
  </si>
  <si>
    <t>ssingh@ku.edu; hillmer@ku.edu; zwang@bus.ucf.edu</t>
  </si>
  <si>
    <t>10.1287/mksc.1100.0632</t>
  </si>
  <si>
    <t>769KB</t>
  </si>
  <si>
    <t>WOS:000291010200012</t>
  </si>
  <si>
    <t>Ahmad, F; Guzman, F</t>
  </si>
  <si>
    <t>Ahmad, Fayez; Guzman, Francisco</t>
  </si>
  <si>
    <t>Perceived injustice and brand love: the effectiveness of sympathetic vs empathetic responses to address consumer complaints of unjust specific service encounters</t>
  </si>
  <si>
    <t>Brand love; Perceived injustice; Service encounter; Willingness to punish; Empathy; Sympathy</t>
  </si>
  <si>
    <t>EMOTIONAL RESPONSES; PROCEDURAL JUSTICE; MODERATING ROLE; CUSTOMERS; RECOVERY; WILLINGNESS; PERCEPTIONS; SATISFACTION; ANTECEDENTS; INTENTION</t>
  </si>
  <si>
    <t>PurposeNegative online consumer reviews represent different forms of injustice. The effect of different types of injustice experienced in a service encounter on a brand is unknown. This study aims to investigate the effect and cause of different forms of injustice on brand love. It also explores which type of responses are more effective to mitigate their damaging effect. Design/methodology/approachOne text mining, using SAS enterprise miner, and three experimental studies were conducted. ANOVA and mediation and moderation analyses were conducted to test the hypotheses. FindingsNegative reviews specific to procedural injustice are more damaging than reviews specific to distributive or interactional injustice experienced in a service encounter. The underlying reason behind this differential effect is that perceived procedural injustice influences consumers more to punish the brand, resulting in a greater negative effect on brand love. To counter the damage, a sympathetic, rather than empathetic, brand response is more effective. Originality/valueThis study contributes to justice theory and brand love literature by providing evidence that procedural injustice triggers the highest level of willingness to punish and thus the lowest level of brand love. Consequently, willingness to punish, rather than emotion, is found to be the underlying reason behind procedural injustice having the strongest negative effect on brand love.</t>
  </si>
  <si>
    <t>[Ahmad, Fayez] Appalachian State Univ, Dept Mkt &amp; Supply Chain Management, Boone, NC 28608 USA; [Guzman, Francisco] Univ North Texas, Dept Mkt, Denton, TX USA</t>
  </si>
  <si>
    <t>University of North Carolina; Appalachian State University; University of North Texas System; University of North Texas Denton</t>
  </si>
  <si>
    <t>Ahmad, F (corresponding author), Appalachian State Univ, Dept Mkt &amp; Supply Chain Management, Boone, NC 28608 USA.</t>
  </si>
  <si>
    <t>ahmadf@appstate.edu; francisco.guzman@unt.edu</t>
  </si>
  <si>
    <t>10.1108/JPBM-06-2022-4035</t>
  </si>
  <si>
    <t>7S9JM</t>
  </si>
  <si>
    <t>WOS:000911067100001</t>
  </si>
  <si>
    <t>Mahr, D; Stead, S; Odekerken-Schroder, G</t>
  </si>
  <si>
    <t>Mahr, Dominik; Stead, Susan; Odekerken-Schroeder, Gaby</t>
  </si>
  <si>
    <t>Making sense of customer service experiences: a text mining review</t>
  </si>
  <si>
    <t>Customer experience; Multisensory; Sensory; Leximancer; Text mining; Review; Servicescape; Service research</t>
  </si>
  <si>
    <t>DOMINANT LOGIC; VALUE CREATION; BRAND-EXPERIENCE; DESIGN; CONCEPTUALIZATION; MUSIC; PROPOSITIONS; PERSPECTIVES; CONSUMPTION; INNOVATION</t>
  </si>
  <si>
    <t>Purpose - The purpose of this paper is to systematically review the concepts and theories underlying customer service experience (CSE) and its underlying five dimensions (physical, social, cognitive, affective and sensorial). In this research, the contribution of the sensorial dimension to CSE research is emphasized. Senses are especially important in forming perceptions within servicescapes that are typically rich in sensory stimuli. Design/methodology/approach - This study systematically identifies 258 articles published between 1994 and 2018 in services and marketing journals. The analysis uses a text mining approach with the Leximancer software to extract research concepts and their relationships. Findings - The results demonstrate a shift from CSE research focused on brands and products toward value and interaction, around three focal areas: service system architecture, with its value creation processes; servicescape, with an increasingly digital interaction interface and outcome measures, with a stronger focus on emotional and relational metrics. In CSE research, the physical, social and cognitive dimensions are mostly researched in the focal areas of servicescape and outcome measures. Although important in practice, the sensorial dimension is the least investigated CSE dimension in service marketing research. Text mining insights demonstrate rich opportunities for sensorial research, particularly in studies on servicescape. Practical implications - The synthesis will inform managers and service providers which elements of CSE are most relevant to customers when forming perceptions. These insights help service providers to control, manage and design (multi)-sensory stimuli that influence how customers will make sense of the servicescape. Originality/value - This research is one of the first studies to examine the conceptual structure of CSE with a text mining approach that systematically analyzes a large set of articles, therein reducing the potential for researchers' interpretative bias. The paper provides an assessment of the role of the largely neglected but crucial sensorial dimension, and offers future research suggestions into this emerging topic.</t>
  </si>
  <si>
    <t>[Mahr, Dominik] Maastricht Univ, Serv Sci Factory, Maastricht, Netherlands; [Mahr, Dominik; Stead, Susan; Odekerken-Schroeder, Gaby] Maastricht Univ, Dept Mkt &amp; Supply Chain Management, Maastricht, Netherlands</t>
  </si>
  <si>
    <t>Maastricht University; Maastricht University</t>
  </si>
  <si>
    <t>Mahr, D (corresponding author), Maastricht Univ, Serv Sci Factory, Maastricht, Netherlands.;Mahr, D (corresponding author), Maastricht Univ, Dept Mkt &amp; Supply Chain Management, Maastricht, Netherlands.</t>
  </si>
  <si>
    <t>d.mahr@maastrichtuniversity.nl; s.stead@maastrichtuniversity.nl</t>
  </si>
  <si>
    <t>Odekerken-Schröder, Gaby/AAJ-7367-2020</t>
  </si>
  <si>
    <t>10.1108/JSM-10-2018-0295</t>
  </si>
  <si>
    <t>HX7YO</t>
  </si>
  <si>
    <t>WOS:000467622600008</t>
  </si>
  <si>
    <t>Krefeld-Schwalb, A; Scheibehenne, B</t>
  </si>
  <si>
    <t>Krefeld-Schwalb, Antonia; Scheibehenne, Benjamin</t>
  </si>
  <si>
    <t>Tighter nets for smaller fishes? Mapping the development of statistical practices in consumer research between 2008 and 2020</t>
  </si>
  <si>
    <t>Experimental research methods; False-positive results; Review</t>
  </si>
  <si>
    <t>QUESTIONABLE RESEARCH PRACTICES; PSYCHOLOGICAL-RESEARCH; PUBLICATION BIAS; REPLICABILITY; PREVALENCE; METAANALYSIS; REPLICATION; SCIENCE; CRISIS; SIZES</t>
  </si>
  <si>
    <t>During the last decade, confidence in many social sciences, including consumer research, has been undermined by doubts about the replicability of empirical research findings. These doubts have led to increased calls to improve research practices and adopt new measures to increase the replicability of published work from various stakeholders such as funding agencies, journals, and scholars themselves. Despite these demands, it is unclear to which the research published in the leading consumer research journals has adhered to these calls for change. This article provides the first systematic empirical analysis of this question by surveying three crucial statistics of published consumer research over time: sample sizes, effect sizes, and the distribution of published p values. The authors compile a hand-coded sample of N = 258 articles published between 2008 and 2020 in the Journal of Consumer Psychology, the Journal of Consumer Research, and the Journal of Marketing Research. An automated text analysis across all publications in these three journals corroborates the representativeness of the hand-coded sample. Results reveal a substantial increase in sample sizes above and beyond the use of online samples along with a decrease in reported effect sizes. Effect and samples sizes are highly correlated which at least partially explains the reduction in reported effect sizes.</t>
  </si>
  <si>
    <t>[Krefeld-Schwalb, Antonia] Erasmus Univ, Rotterdam Sch Management, Rotterdam, Netherlands; [Scheibehenne, Benjamin] Karlsruhe Inst Technol, Karlsruhe, Germany</t>
  </si>
  <si>
    <t>Erasmus University Rotterdam; Helmholtz Association; Karlsruhe Institute of Technology</t>
  </si>
  <si>
    <t>Krefeld-Schwalb, A (corresponding author), Erasmus Univ, Rotterdam Sch Management, Rotterdam, Netherlands.</t>
  </si>
  <si>
    <t>krefeldschwalb@rsm.nl</t>
  </si>
  <si>
    <t>Krefeld-Schwalb, Antonia/B-6062-2019</t>
  </si>
  <si>
    <t>Krefeld-Schwalb, Antonia/0000-0001-8698-8344</t>
  </si>
  <si>
    <t>Swiss National Science Foundation [172806]</t>
  </si>
  <si>
    <t>Swiss National Science Foundation(Swiss National Science Foundation (SNSF))</t>
  </si>
  <si>
    <t>The authors gratefully acknowledge funding from the Swiss National Science Foundation (Project No 172806).</t>
  </si>
  <si>
    <t>10.1007/s11002-022-09662-3</t>
  </si>
  <si>
    <t>DEC 2022</t>
  </si>
  <si>
    <t>7F2PS</t>
  </si>
  <si>
    <t>WOS:000901696700001</t>
  </si>
  <si>
    <t>Danner, H; Thogersen, J</t>
  </si>
  <si>
    <t>Danner, Hannah; Thogersen, John</t>
  </si>
  <si>
    <t>Does online chatter matter for consumer behaviour? A priming experiment on organic food</t>
  </si>
  <si>
    <t>associative network; consumer choices; organic food; priming; salience; text mining</t>
  </si>
  <si>
    <t>WILLINGNESS-TO-PAY; ATTITUDE ACCESSIBILITY; ANIMAL-WELFARE; CONSUMPTION; CHOICE; SALIENCE; STRENGTH; PURCHASE; MODEL; METAANALYSIS</t>
  </si>
  <si>
    <t>Consumers are increasingly sharing their opinions on societal issues and products online. We studied the implications of such online word-of-mouth for consumer judgement and decision-making. The case used is organic food, which is the most successful among the currently emerging, sustainability-differentiated food product categories. We first analysed the online discussion on organic food by conducting a text-mining study of reader comments (N = 63,379) from the comments section of a major German online news outlet. Topics therein are discussed with differing frequency, thereby indicating the salience of the various issues to online readers and consumers. One organic food topic of high salience (animal welfare) and one of low salience (biodiversity) were selected to investigate the behavioural relevance of salient online topics in a subsequent priming experiment (online survey of German consumers; N = 1,118). In particular, we tested whether the relative online salience of the two topics used as primes influenced the likelihood of choosing organic instead of conventional eggs and milk in a choice experiment and the acceptance of policies supporting organic farming. Although ineffective for the choice of milk, the priming worked as hypothesized regarding the choice of eggs and policy acceptance. Priming the topic with high online salience is more effective at promoting pro-organic behaviour than priming the topic with low online salience. Priming effects also depended on prime strength, attitude strength and experience with buying organic food. We discuss how insights from text mining of online word-of-mouth can be employed to promote sustainable consumption behaviour.</t>
  </si>
  <si>
    <t>[Danner, Hannah] Tech Univ Munich, TUM Sch Management, Chair Mkt &amp; Consumer Res, Alte Akad 16, D-85354 Freising Weihenstephan, Germany; [Thogersen, John] Aarhus Univ, Sch Business &amp; Social Sci, Dept Management, Aarhus V, Denmark</t>
  </si>
  <si>
    <t>Technical University of Munich; Aarhus University</t>
  </si>
  <si>
    <t>Danner, H (corresponding author), Tech Univ Munich, TUM Sch Management, Chair Mkt &amp; Consumer Res, Alte Akad 16, D-85354 Freising Weihenstephan, Germany.</t>
  </si>
  <si>
    <t>hannah.danner@tum.de</t>
  </si>
  <si>
    <t>Thøgersen, John/G-6253-2013</t>
  </si>
  <si>
    <t>Thøgersen, John/0000-0003-0613-8062; Danner, Hannah/0000-0001-8387-0818</t>
  </si>
  <si>
    <t>German Academic Scholarship Foundation</t>
  </si>
  <si>
    <t>This work was supported by the German Academic Scholarship Foundation</t>
  </si>
  <si>
    <t>10.1111/ijcs.12732</t>
  </si>
  <si>
    <t>0O1YM</t>
  </si>
  <si>
    <t>WOS:000672361100001</t>
  </si>
  <si>
    <t>Kowalczyk, CM; Pounders, KR</t>
  </si>
  <si>
    <t>Kowalczyk, Christine M.; Pounders, Kathrynn R.</t>
  </si>
  <si>
    <t>Transforming celebrities through social media: the role of authenticity and emotional attachment</t>
  </si>
  <si>
    <t>Emotional attachment; Social media; Authenticity; Celebrities</t>
  </si>
  <si>
    <t>WORD-OF-MOUTH; HUMAN BRANDS; CONSUMERS; ANTECEDENTS; PERCEPTIONS; STRENGTH; ATTITUDE; TWITTER</t>
  </si>
  <si>
    <t>Purpose - Social media platforms are changing the way consumers and celebrities engage. This research aims to better understand how and why consumers use social media to engage with celebrities, and identify the potential antecedents and outcomes, which may result from these online connections. Design/methodology/approach - Both qualitative (two focus groups) and quantitative (survey) methods were used to explore consumer engagement with celebrities on social media. A structural model from the survey data was developed and analyzed. Findings - Textual analysis of the focus groups revealed that consumers follow celebrities on social media to obtain career and personal information about the celebrity. Further, authenticity and emotional attachment were identified as favorable aspects of following celebrities on social media. An empirical study confirmed that the constructs of authenticity and emotional attachment positively influence the outcomes of word-of-mouth and purchase likelihood. Research limitations/implications - The study was limited by the self-identification of a favorite celebrity and social media site. Future research should include empirical testing of specific celebrities featured on a specific social media site and the development of the constructs identified in the focus groups. Practical implications - This research sheds light on the antecedents and outcomes associated with consumer-celebrity engagement on social media. The implications for marketers and advertisers include a better understanding of how celebrities transform themselves and engage with consumers on social media. Originality/value - This paper fulfills an identified need to study authenticity and emotional attachment as they relate to celebrities and consumers' engagements on social media.</t>
  </si>
  <si>
    <t>[Kowalczyk, Christine M.] East Carolina Univ, Dept Mkt &amp; Supply Chain Management, Greenville, NC 27858 USA; [Pounders, Kathrynn R.] Univ Texas Austin, Stan Richards Sch Advertising &amp; Publ Relat, Austin, TX 78712 USA</t>
  </si>
  <si>
    <t>University of North Carolina; East Carolina University; University of Texas System; University of Texas Austin</t>
  </si>
  <si>
    <t>Kowalczyk, CM (corresponding author), East Carolina Univ, Dept Mkt &amp; Supply Chain Management, Greenville, NC 27858 USA.</t>
  </si>
  <si>
    <t>kowalczykc@ecu.edu</t>
  </si>
  <si>
    <t>Pounders, Kathrynn/D-5730-2014</t>
  </si>
  <si>
    <t>10.1108/JPBM-09-2015-0969</t>
  </si>
  <si>
    <t>DU9TB</t>
  </si>
  <si>
    <t>WOS:000382559600004</t>
  </si>
  <si>
    <t>Djafarova, E</t>
  </si>
  <si>
    <t>Djafarova, Elmira</t>
  </si>
  <si>
    <t>Why do advertisers use puns? A linguistic perspective</t>
  </si>
  <si>
    <t>JOURNAL OF ADVERTISING RESEARCH</t>
  </si>
  <si>
    <t>FIGURES; PERSUASION; LANGUAGE</t>
  </si>
  <si>
    <t>This article explores the role and interpretation processes of puns in print advertising. The function of punning (wordplay) in advertising varies from double meanings to humorous effects. Textual analysis based on a pragmatic approach (branch of linguistics) demonstrates how advertisements with the use of punning can be interpreted within the context. A combination of qualitative content analysis and pragmatics reveals that the ambiguous meanings of puns can be interpreted by the audience according to their background and inferential knowledge. This article contributes to the theoretical knowledge of advertising and its creativity by applying the linguistic approach to this research area. This study attempts to show how texts can reveal some interesting and important issues within advertising communication, which in its turn can generate some further discussions.</t>
  </si>
  <si>
    <t>[Djafarova, Elmira] Northumbria Univ, Newcastle Business Sch, Newcastle Upon Tyne NE1 8ST, Tyne &amp; Wear, England</t>
  </si>
  <si>
    <t>Newcastle University - UK; Northumbria University</t>
  </si>
  <si>
    <t>Djafarova, E (corresponding author), Northumbria Univ, Newcastle Business Sch, Newcastle Upon Tyne NE1 8ST, Tyne &amp; Wear, England.</t>
  </si>
  <si>
    <t>e.djafarova@unn.ac.uk</t>
  </si>
  <si>
    <t>ADVERTISING RESEARCH FOUNDATION</t>
  </si>
  <si>
    <t>432 PARK AVENUE SOUTH, 6TH FLOOR, NEW YORK, NY 10016 USA</t>
  </si>
  <si>
    <t>0021-8499</t>
  </si>
  <si>
    <t>J ADVERTISING RES</t>
  </si>
  <si>
    <t>J. Advert. Res.</t>
  </si>
  <si>
    <t>10.2501/S0021849908080306</t>
  </si>
  <si>
    <t>310OK</t>
  </si>
  <si>
    <t>WOS:000256538700012</t>
  </si>
  <si>
    <t>Cooper, DA; Yalcin, T; Nistor, C; Macrini, M; Pehlivan, E</t>
  </si>
  <si>
    <t>Cooper, Dylan A.; Yalcin, Taylan; Nistor, Cristina; Macrini, Matthew; Pehlivan, Ekin</t>
  </si>
  <si>
    <t>Privacy considerations for online advertising: a stakeholder's perspective to programmatic advertising</t>
  </si>
  <si>
    <t>Privacy; Google privacy sandbox; Online tracking; Programmatic advertising; Third-party cookies; Unified ID 2; 0; Privacy sandbox</t>
  </si>
  <si>
    <t>PERSONAL DATA; PARADOX; WILLINGNESS; IMPACT; USERS; WEB</t>
  </si>
  <si>
    <t>Purpose Privacy considerations have become a topic with increasing interest from academics, industry leaders and regulators. In response to consumers' privacy concerns, Google announced in 2020 that Chrome would stop supporting third-party cookies in the near future. At the same time, advertising technology companies are developing alternative solutions for online targeting and consumer privacy controls. This paper aims to explore privacy considerations related to online tracking and targeting methods used for programmatic advertising (i.e. third-party cookies, Privacy Sandbox, Unified ID 2.0) for a variety of stakeholders: consumers, AdTech platforms, advertisers and publishers. Design/methodology/approach This study analyzes the topic of internet user privacy concerns, through a multi-pronged approach: industry conversations to collect information, a comprehensive review of trade publications and extensive empirical analysis. This study uses two methods to collect data on consumer preferences for privacy controls: a survey of a representative sample of US consumers and field data from conversations on web-forums created by tech professionals. Findings The results suggest that there are four main segments in the US internet user population. The first segment, consisting of 26% of internet users, is driven by a strong preference for relevant ads and includes consumers who accept the premises of both Privacy Sandbox and Unified ID (UID) 2.0. The second segment (26%) includes consumers who are ambivalent about both sets of premises. The third segment (34%) is driven by a need for relevant ads and a strong desire to prevent advertisers from aggressively collecting data, with consumers who accept the premises of Privacy Sandbox but reject the premises of UID 2.0. The fourth segment (15% of consumers) rejected both sets of premises about privacy control. Text analysis results suggest that the conversation around UID 2.0 is still nascent. Google Sandbox associations seem nominally positive, with sarcasm being an important factor in the sentiment analysis results. Originality/value The value of this paper lies in its multi-method examination of online privacy concerns in light of the recent regulatory legislation (i.e. General Data Protection Regulation and California Consumer Privacy Act) and changes for third-party cookies in browsers such as Firefox, Safari and Chrome. Two alternatives proposed to replace third-party cookies (Privacy Sandbox and Unified ID 2.0) are in the proposal and prototype stage. The elimination of third-party cookies will affect stakeholders, including different types of players in the AdTech industry and internet users. This paper analyzes how two alternative proposals for privacy control align with the interests of several stakeholders.</t>
  </si>
  <si>
    <t>[Cooper, Dylan A.; Yalcin, Taylan; Macrini, Matthew; Pehlivan, Ekin] Calif State Univ Channel Isl, Martin V Smith Sch Business &amp; Econ, Camarillo, CA 93012 USA; [Nistor, Cristina] Chapman Univ, Argyros Sch Business &amp; Econ, Orange, CA USA</t>
  </si>
  <si>
    <t>California State University System; California State University Channel Islands; Chapman University System; Chapman University</t>
  </si>
  <si>
    <t>Pehlivan, E (corresponding author), Calif State Univ Channel Isl, Martin V Smith Sch Business &amp; Econ, Camarillo, CA 93012 USA.</t>
  </si>
  <si>
    <t>ekin.pehlivan@csuci.edu</t>
  </si>
  <si>
    <t>FEB 7</t>
  </si>
  <si>
    <t>10.1108/JCM-04-2021-4577</t>
  </si>
  <si>
    <t>8P4PP</t>
  </si>
  <si>
    <t>WOS:000751385700001</t>
  </si>
  <si>
    <t>Moro, S; Pires, G; Rita, P; Cortez, P; Ramos, RF</t>
  </si>
  <si>
    <t>Moro, Sergio; Pires, Guilherme; Rita, Paulo; Cortez, Paulo; Ramos, Ricardo F.</t>
  </si>
  <si>
    <t>Discovering ethnic minority business research directions using text mining and topic modelling</t>
  </si>
  <si>
    <t>JOURNAL OF RESEARCH IN MARKETING AND ENTREPRENEURSHIP</t>
  </si>
  <si>
    <t>Entrepreneurship; Entrepreneurial marketing; Small business marketing; Ethnic entrepreneurs; Literature analysis; Ethnic entrepreneurship</t>
  </si>
  <si>
    <t>IMMIGRANT ENTREPRENEURSHIP; SOCIAL MEDIA; COMPETITIVENESS; SCIENCE; GROWTH; OPPORTUNITIES; COOPETITION; SEGREGATION; ORIENTATION; PERFORMANCE</t>
  </si>
  <si>
    <t>Purpose This study aims to unveil within the current academic literature the principal directions in the ethnic entrepreneurship and small business marketing research context. Design/methodology/approach An automated literature analysis procedure was undertaken, attempting to cover all literature published on the subject since 1962. A total of 188 articles were analysed using text mining and topic modelling. Findings The results show a lack of framing of ethnic entrepreneurship literature outside the narrower scope of migration. Some core themes were found (e.g. network, diversity) around which several other themes orbit, including both related issues to the ethnic factor (e.g. barriers and minorities) and managerial issues (e.g. marketing and production). Originality/value Ethnic minority business and small business marketing research has seen a growing number of publications. However, a careful review of existing work is missing.</t>
  </si>
  <si>
    <t>[Moro, Sergio] ISTAR IUL, Inst Univ Lisboa ISCTE IUL, Lisbon, Portugal; [Pires, Guilherme] Univ Newcastle, Fac Business &amp; Law, Newcastle Business Sch, Callaghan, NSW, Australia; [Rita, Paulo] Univ Nova Lisboa, NOVA Informat Management Sch NOVA IMS, Lisbon, Portugal; [Cortez, Paulo] Univ Minho, ALGORITMI Res Ctr, Guimaraes, Portugal; [Ramos, Ricardo F.] ESTGOH, Inst Politecn Coimbra, Oliveira Do Hosp, Portugal; [Ramos, Ricardo F.] ISTAR, Inst Univ Lisboa ISCTE IUL, Lisbon, Portugal; [Ramos, Ricardo F.] Univ Autonoma Lisboa, CICEE Ctr Invest Ciencias Econ &amp; Empresariais, Lisbon, Portugal</t>
  </si>
  <si>
    <t>Instituto Universitario de Lisboa; University of Newcastle; Universidade Nova de Lisboa; Universidade do Minho; Instituto Politecnico de Coimbra (IPC); Instituto Universitario de Lisboa</t>
  </si>
  <si>
    <t>Ramos, RF (corresponding author), ESTGOH, Inst Politecn Coimbra, Oliveira Do Hosp, Portugal.;Ramos, RF (corresponding author), ISTAR, Inst Univ Lisboa ISCTE IUL, Lisbon, Portugal.;Ramos, RF (corresponding author), Univ Autonoma Lisboa, CICEE Ctr Invest Ciencias Econ &amp; Empresariais, Lisbon, Portugal.</t>
  </si>
  <si>
    <t>scmoro@gmail.com; Guilherme.Pires@newcastle.edu.au; prita@novaims.unl.pt; pcortez@dsi.uminho.pt; ricardo_ramos@iscte.pt</t>
  </si>
  <si>
    <t>Cortez, Paulo/A-2674-2008</t>
  </si>
  <si>
    <t>Cortez, Paulo/0000-0002-7991-2090</t>
  </si>
  <si>
    <t>1471-5201</t>
  </si>
  <si>
    <t>1471-521X</t>
  </si>
  <si>
    <t>J RES MARK ENTREP</t>
  </si>
  <si>
    <t>J. Res. Mark. Entrep.</t>
  </si>
  <si>
    <t>10.1108/JRME-01-2022-0004</t>
  </si>
  <si>
    <t>OCT 2022</t>
  </si>
  <si>
    <t>7J8WZ</t>
  </si>
  <si>
    <t>WOS:000865094400001</t>
  </si>
  <si>
    <t>Rathee, S; Masters, TM; Yu-Buck, GF</t>
  </si>
  <si>
    <t>Rathee, Shelly; Masters, Tamara M.; Yu-Buck, Grace F.</t>
  </si>
  <si>
    <t>So fun! How fun brand names affect forgiveness of hedonic and utilitarian products</t>
  </si>
  <si>
    <t>Fun brand names; Forgiveness; Inconsistency; Hedonic; Utilitarian; Brand transgression</t>
  </si>
  <si>
    <t>CONSTRUAL-LEVEL; TRANSGRESSION; PERFORMANCE; LANGUAGE; NUMBER</t>
  </si>
  <si>
    <t>Fun brand names created through the use of fun fonts, symbols, unique spelling, and linguistic creativeness are ubiquitous in the marketplace. In this research, we examine when and how fun brand names can influence consumers' willingness to forgive. Specifically, we argue that a fun brand name can buffer against the negative consequences of brand transgression, but only when the product is utilitarian. Relying on an inconsistency-based explanation, we propose that a fun brand name for a utilitarian (vs. hedonic) product induces consumer perceived inconsistency, which activates a concrete mindset, lowers negative emotions, resulting in positive consequences namely, a greater willingness to forgive in the event of a brand transgression. Across one text analysis study and three randomized experiments, we provide evidence for the inconsistency-based account, while also testing alternative explanations. Finally, we provide insights into the effect of fun brand names with utilitarian products and offer implications for marketing strategy and public policy.</t>
  </si>
  <si>
    <t>[Rathee, Shelly] Villanova Univ, Villanova Sch Business, 800 E Lancaster Ave, Villanova, PA 19085 USA; [Masters, Tamara M.] Univ Utah, Eccles Sch Business, Salt Lake City, UT 84112 USA; [Yu-Buck, Grace F.] Univ Maryland Eastern Shore, Sch Business &amp; Technol, Princess Anne, MD 21853 USA</t>
  </si>
  <si>
    <t>Villanova University; Utah System of Higher Education; University of Utah; University System of Maryland; University of Maryland Eastern Shore</t>
  </si>
  <si>
    <t>Rathee, S (corresponding author), Villanova Univ, Villanova Sch Business, 800 E Lancaster Ave, Villanova, PA 19085 USA.</t>
  </si>
  <si>
    <t>shelly.rathee@villanova.edu; tamara.masters@utah.edu; fyu@umes.edu</t>
  </si>
  <si>
    <t>Rathee, Shelly/0000-0002-4403-7775</t>
  </si>
  <si>
    <t>10.1016/j.jbusres.2021.09.041</t>
  </si>
  <si>
    <t>SEP 2021</t>
  </si>
  <si>
    <t>WK2EE</t>
  </si>
  <si>
    <t>WOS:000709543300004</t>
  </si>
  <si>
    <t>Mitra, S; Jenamani, M</t>
  </si>
  <si>
    <t>Brand image; Online consumer review; Aspect-based sentiment analysis; Co-Word network analysis; SWOT; Senti-Concept Mapper</t>
  </si>
  <si>
    <t>SENTIMENT ANALYSIS; ASPECT EXTRACTION; CONCEPT MAPS; TEXT; NETWORKS; METHODOLOGY; EQUITY; WORDS</t>
  </si>
  <si>
    <t>[Mitra, Satanik; Jenamani, Mamata] IIT Kharagpur, Dept Ind &amp; Syst Engn, Kharagpur 721302, W Bengal, India</t>
  </si>
  <si>
    <t>Mitra, S (corresponding author), IIT Kharagpur, Dept Ind &amp; Syst Engn, Kharagpur 721302, W Bengal, India.</t>
  </si>
  <si>
    <t>satanikmitra@iitkgp.ac.in; mj@iem.iitkgp.act.in</t>
  </si>
  <si>
    <t>10.1016/j.jbusres.2020.04.003</t>
  </si>
  <si>
    <t>LN3FO</t>
  </si>
  <si>
    <t>WOS:000532827900016</t>
  </si>
  <si>
    <t>Ramos, RF; Rita, P; Moro, S</t>
  </si>
  <si>
    <t>Ramos, Ricardo F.; Rita, Paulo; Moro, Sergio</t>
  </si>
  <si>
    <t>From institutional websites to social media and mobile applications: A usability perspective</t>
  </si>
  <si>
    <t>Institutional website; Mobile application; Social media; Usability</t>
  </si>
  <si>
    <t>E-COMMERCE; EDUCATION; ADOPTION; TECHNOLOGIES; PERFORMANCE; MANAGEMENT; PRODUCTS</t>
  </si>
  <si>
    <t>Mobile applications (MA) and social media (SM) platforms are changing Internet user behavior. This study aims to unveil within current academic literature, the fields where usability research has been focusing their efforts in the dimensions institutional websites (IW), SM and MA usability, and to suggest possible paths for future studies. Search was performed in peer-review journals, providing 302 published articles between 1994 and 2018. To examine the manuscripts, text mining (TM) was adopted to discover pertinent terms, and to reveal trends, gaps and opportunities for future research. Results show a gap on marketing and nutrition research fields and an increasing interest in the usability principles of SM technology in general. Moreover, many articles are associated with the health and medical area, suggesting a more mature development of these fields. (C) 2019 AEDEM. Published by Elsevier Espana, S.L.U.</t>
  </si>
  <si>
    <t>[Ramos, Ricardo F.; Moro, Sergio] IUL, ISTAR, ISCTE, Av Forcas Armadas, P-1649026 Lisbon, Portugal; [Ramos, Ricardo F.] Univ Autonoma Lisboa, CICEE, Rua Santa Marta,Palacio Condes Redondo 56, P-1169023 Lisbon, Portugal; [Rita, Paulo] Univ Nova Lisboa, NOVA IMS, Campus Campolide, P-1070312 Lisbon, Portugal</t>
  </si>
  <si>
    <t>Ramos, RF (corresponding author), IUL, ISTAR, ISCTE, Av Forcas Armadas, P-1649026 Lisbon, Portugal.</t>
  </si>
  <si>
    <t>ricardo_ramos@iscte.pt</t>
  </si>
  <si>
    <t>Moro, Sérgio/N-9124-2015; Ramos, Ricardo F./GWM-5019-2022; Ramos, Ricardo Filipe/ABF-7857-2020; Rita, Paulo/T-2950-2017</t>
  </si>
  <si>
    <t>Moro, Sérgio/0000-0002-4861-6686; Ramos, Ricardo F./0000-0001-9841-9720; Rita, Paulo/0000-0001-6050-9958</t>
  </si>
  <si>
    <t>SEP-DEC</t>
  </si>
  <si>
    <t>10.1016/j.iedeen.2019.07.001</t>
  </si>
  <si>
    <t>IW0VU</t>
  </si>
  <si>
    <t>WOS:000484683000005</t>
  </si>
  <si>
    <t>Tussyadiah, SP; Park, S</t>
  </si>
  <si>
    <t>Tussyadiah, Iis P.; Park, Sangwon</t>
  </si>
  <si>
    <t>When guests trust hosts for their words: Host description and trust in sharing economy</t>
  </si>
  <si>
    <t>TOURISM MANAGEMENT</t>
  </si>
  <si>
    <t>Airbnb; Sharing economy; Peer-to-peer accommodation; Host self-presentation; Self-marketing; Trustworthiness</t>
  </si>
  <si>
    <t>SOCIAL NETWORK SITES; SELF-PRESENTATION; CONSUMER TRUST; ONLINE; COMMUNICATION; INTENTIONS; DISCLOSURE; REPUTATION; CHALLENGE; IMPACT</t>
  </si>
  <si>
    <t>In order to better understand the dynamics of user behavior in the sharing economy platform, a multi-stage study was conducted on how Airbnb hosts articulate themselves online and how consumers respond to different host self-presentation patterns. First, using text mining techniques on a large dataset consisting descriptions of Airbnb hosts in 14 major cities in the United States, two patterns of host self-presentation were identified. Hosts generally present themselves online as (1) a well-traveled individual, eager to meet new people or (2) an individual of a certain profession. This contributes to the conceptualization of profile as promise framework for online self-presentation in mixed-mode interactions involving peer-to-peer accommodation platform. Second, consumers respond to the two host self-presentation strategies differently, demonstrating higher levels of perceived trustworthiness in and intention to book from well-traveled hosts. This has direct strategic implications for effective self marketing of amateur tourism players as well as for the role of residents as resources in tourism destinations. (C) 2018 Elsevier Ltd. All rights reserved.</t>
  </si>
  <si>
    <t>[Tussyadiah, Iis P.] Univ Surrey, Sch Hospitality &amp; Tourism Management, 56AP02 Austin Pearce Bldg, Guildford GU2 7XH, Surrey, England; [Park, Sangwon] Hong Kong Polytech Univ, Sch Hotel &amp; Tourism Management, 17 Sci Museum Rd, Kowloon, Hong Kong, Peoples R China</t>
  </si>
  <si>
    <t>University of Surrey; Hong Kong Polytechnic University</t>
  </si>
  <si>
    <t>Tussyadiah, SP (corresponding author), Univ Surrey, Sch Hospitality &amp; Tourism Management, 56AP02 Austin Pearce Bldg, Guildford GU2 7XH, Surrey, England.</t>
  </si>
  <si>
    <t>i.tussyadiah@surrey.ac.uk; sangwon.park@polyu.edu.hk</t>
  </si>
  <si>
    <t>Sangwon, Park/AAM-4280-2021; Tussyadiah, Iis/AAK-3216-2021; Park, Sangwon/U-7215-2019</t>
  </si>
  <si>
    <t>Tussyadiah, Iis/0000-0003-0729-1712; Park, Sangwon/0000-0003-3021-1987</t>
  </si>
  <si>
    <t>0261-5177</t>
  </si>
  <si>
    <t>1879-3193</t>
  </si>
  <si>
    <t>TOURISM MANAGE</t>
  </si>
  <si>
    <t>Tourism Manage.</t>
  </si>
  <si>
    <t>10.1016/j.tourman.2018.02.002</t>
  </si>
  <si>
    <t>Environmental Studies; Hospitality, Leisure, Sport &amp; Tourism; Management</t>
  </si>
  <si>
    <t>Environmental Sciences &amp; Ecology; Social Sciences - Other Topics; Business &amp; Economics</t>
  </si>
  <si>
    <t>GC4KT</t>
  </si>
  <si>
    <t>WOS:000429754100026</t>
  </si>
  <si>
    <t>Canziani, BF; Welsh, DHB; Dana, LP; Ramadani, V</t>
  </si>
  <si>
    <t>Canziani, Bonnie F.; Welsh, Dianne H. B.; Dana, Leo-Paul; Ramadani, Veland</t>
  </si>
  <si>
    <t>Claiming a family brand identity: The role of website storytelling</t>
  </si>
  <si>
    <t>CANADIAN JOURNAL OF ADMINISTRATIVE SCIENCES-REVUE CANADIENNE DES SCIENCES DE L ADMINISTRATION</t>
  </si>
  <si>
    <t>brand identity; family; storytelling; website; winery</t>
  </si>
  <si>
    <t>RESOURCE-BASED VIEW; FIRM IMAGE; FAMILINESS; INNOVATION; HERITAGE; WINERIES</t>
  </si>
  <si>
    <t>This study focuses on the creation of a family identity as a central communication objective in business storytelling. We contribute to the field of business website marketing by identifying, through textual analysis of US winery website narratives, how businesses communicate family brand identities. Results show that three claims that are critical for family brand identities-character, temporal continuity, and distinctiveness-do appear in the website texts. Our study provides beginning evidence that family identity does not require family ownership alone but can be built upon complementary narrative elements and tactics, including kinship references and heritage storytelling. Both content and linguistic style of narratives are useful in conveying a family brand identity to an external public for website design. Implications are discussed.</t>
  </si>
  <si>
    <t>[Canziani, Bonnie F.; Welsh, Dianne H. B.] Univ N Carolina, Greensboro, NC USA; [Dana, Leo-Paul] Montpellier Res Management, Montpellier Business Sch, Montpellier, France; [Ramadani, Veland] South East European Univ, Tetovo, North Macedonia</t>
  </si>
  <si>
    <t>University of North Carolina; University of North Carolina Greensboro; Montpellier Business School; Universite de Montpellier</t>
  </si>
  <si>
    <t>Canziani, BF (corresponding author), Univ N Carolina, Bryan Sch Business &amp; Econ 441, 516 Stirling St, Greensboro, NC 27402 USA.</t>
  </si>
  <si>
    <t>bmcanzia@uncg.edu</t>
  </si>
  <si>
    <t>Dana, Leo P/AAX-5289-2020; Dana, Leo-Paul/AAX-3113-2020</t>
  </si>
  <si>
    <t>Dana, Leo P/0000-0002-0806-1911; Dana, Leo-Paul/0000-0002-0806-1911; Canziani, Bonnie/0000-0002-2000-5867</t>
  </si>
  <si>
    <t>0825-0383</t>
  </si>
  <si>
    <t>1936-4490</t>
  </si>
  <si>
    <t>CAN J ADM SCI</t>
  </si>
  <si>
    <t>Can. J. Adm. Sci.</t>
  </si>
  <si>
    <t>10.1002/cjas.1543</t>
  </si>
  <si>
    <t>SEP 2019</t>
  </si>
  <si>
    <t>KS7CW</t>
  </si>
  <si>
    <t>WOS:000485834500001</t>
  </si>
  <si>
    <t>Wilson, RT; Baack, DW</t>
  </si>
  <si>
    <t>Wilson, Rick T.; Baack, Daniel W.</t>
  </si>
  <si>
    <t>An Exploration of Advertorials Used to Attract Foreign Direct Investment</t>
  </si>
  <si>
    <t>TEXT ANALYSIS; PROMOTION; LOCATION; AGENCIES; MODEL</t>
  </si>
  <si>
    <t>Native advertising has attracted a lot of attention among academics interested in the ad format designed to mimic editorial content and provide consumers with often hard-to-find and detailed information. Yet its earlier predecessor, the advertorial, is used more frequently for information dissemination in the economic development and finance sectors. To better understand how advertorials are used today, we use computer-aided text analysis (CATA) to content analyze 843 advertorial pages used by 57 countries to promote themselves as ideal locations for foreign direct investment. Interview data from communication agency personnel involved in advertorial development provides subsequent insight. Our quantitative analysis finds limited differences in how countries promote themselves, but our interviews suggest that the communication agencies used to create the advertorials may explain the homogeneity in the data.</t>
  </si>
  <si>
    <t>[Wilson, Rick T.] Texas State Univ, Dept Mkt, San Marcos, TX 78666 USA; [Baack, Daniel W.] Univ Denver, Dept Mkt, Denver, CO USA</t>
  </si>
  <si>
    <t>Texas State University System; Texas State University San Marcos; University of Denver</t>
  </si>
  <si>
    <t>Wilson, RT (corresponding author), Texas State Univ, 601 Univ Dr, San Marcos, TX 78666 USA.</t>
  </si>
  <si>
    <t>rick.t.wilson@txstate.edu</t>
  </si>
  <si>
    <t>10.1080/10641734.2018.1557090</t>
  </si>
  <si>
    <t>MY8UA</t>
  </si>
  <si>
    <t>WOS:000558693000003</t>
  </si>
  <si>
    <t>Kaminski, JC; Hopp, C</t>
  </si>
  <si>
    <t>Kaminski, Jermain C.; Hopp, Christian</t>
  </si>
  <si>
    <t>Predicting outcomes in crowdfunding campaigns with textual, visual, and linguistic signals</t>
  </si>
  <si>
    <t>SMALL BUSINESS ECONOMICS</t>
  </si>
  <si>
    <t>Startups; Crowdfunding; Pitch; Machine learning; Neural network; Natural language processing</t>
  </si>
  <si>
    <t>ELABORATION LIKELIHOOD MODEL; BUSINESS PLANS; BIG DATA; SUCCESS; GO; ORGANIZATIONS; DETERMINANTS; LEGITIMACY; EVOLUTION; LANGUAGE</t>
  </si>
  <si>
    <t>This paper introduces a neural network and natural language processing approach to predict the outcome of crowdfunding startup pitches using text, speech, and video metadata in 20,188 crowdfunding campaigns. Our study emphasizes the need to understand crowdfunding from an investor's perspective. Linguistic styles in crowdfunding campaigns that aim to trigger excitement or are aimed at inclusiveness are better predictors of campaign success than firm-level determinants. At the contrary, higher uncertainty perceptions about the state of product development may substantially reduce evaluations of new products and reduce purchasing intentions among potential funders. Our findings emphasize that positive psychological language is salient in environments where objective information is scarce and where investment preferences are taste based. Employing enthusiastic language or showing the product in action may capture an individual's attention. Using all technology and design-related crowdfunding campaigns launched on Kickstarter, our study underscores the need to align potential consumers' expectations with the visualization and presentation of the crowdfunding campaign.</t>
  </si>
  <si>
    <t>[Kaminski, Jermain C.] Maastricht Univ, Sch Business &amp; Econ, NL-6211 LM Maastricht, Netherlands; [Hopp, Christian] Rhein Westfal TH Aachen, TIME Res Area, D-52182 Aachen, Germany</t>
  </si>
  <si>
    <t>Maastricht University; RWTH Aachen University</t>
  </si>
  <si>
    <t>Kaminski, JC (corresponding author), Maastricht Univ, Sch Business &amp; Econ, NL-6211 LM Maastricht, Netherlands.</t>
  </si>
  <si>
    <t>j.kaminski@maastrichttmiversity.nl; hopp@time.rwth-aachen.de</t>
  </si>
  <si>
    <t>Kaminski, Jermain/0000-0002-1797-9281</t>
  </si>
  <si>
    <t>RWTH Aachen (Germany) project house ICT Foundations of a Digitized Industry, Economy, and Society; Dr. Werner Jackstadt Stiftung; German Federal Ministry of Education and Research [01IO1702]</t>
  </si>
  <si>
    <t>RWTH Aachen (Germany) project house ICT Foundations of a Digitized Industry, Economy, and Society; Dr. Werner Jackstadt Stiftung; German Federal Ministry of Education and Research(Federal Ministry of Education &amp; Research (BMBF))</t>
  </si>
  <si>
    <t>We wish to thank Kexin Li, Hongzhu Chen, and Julius Scheuber for their help during the data aggregation process. The authors also acknowledge the RWTH Aachen (Germany) project house ICT Foundations of a Digitized Industry, Economy, and Society for supporting this research. C.H. gratefully acknowledges support by the Dr. Werner Jackstadt Stiftung. We further like to thank the German Federal Ministry of Education and Research for supporting the project within the framework of the exploratory research project InnoFinance (01IO1702) and Google Inc. for providing free access to the Cloud Video Intelligence API.</t>
  </si>
  <si>
    <t>0921-898X</t>
  </si>
  <si>
    <t>1573-0913</t>
  </si>
  <si>
    <t>SMALL BUS ECON</t>
  </si>
  <si>
    <t>Small Bus. Econ. Group</t>
  </si>
  <si>
    <t>10.1007/s11187-019-00218-w</t>
  </si>
  <si>
    <t>ND2WT</t>
  </si>
  <si>
    <t>WOS:000561766100006</t>
  </si>
  <si>
    <t>Key, TM; Keel, AL</t>
  </si>
  <si>
    <t>Key, Thomas Martin; Keel, Astrid Lei</t>
  </si>
  <si>
    <t>How executives talk Exploring marketing executive value articulation with computerized text analysis</t>
  </si>
  <si>
    <t>Strategic planning; Artificial intelligence; Strategic marketing; Computerized text analysis; Marketing influence</t>
  </si>
  <si>
    <t>CUSTOMER; OFFICERS; STRATEGY; CORPORATE; BUSINESS; POWER</t>
  </si>
  <si>
    <t>Purpose This paper aims to explore how chief executive officers (CEOs) and C-suite marketing executives (chief marketing officers [CMOs], chief customer officers [CCOs], chief branding officers [CBOs], etc.) talk about marketing concepts to better understand how marketers can more effectively articulate their value and increase their strategic influence within the firm. Design/methodology/approach Artificial intelligence-enabled computerized text analysis was used to identify and weight keywords from 266 CEO and C-suite marketing executive interviews. Custom marketing concept dictionaries were used to gauge overall marketing focus. Findings The analysis revealed opportunities for C-suite marketers to align specific marketing concepts with that of CEOs for increased strategic influence. Comparisons between C-suite marketing roles showed that CMOs are more focused on marketing strategy than specialized C-suite marketing positions, such as CCO and CBO. This points to a potential decrease in strategic impact for marketing executives dependent on the specialization of their position. Originality/value This paper represents the first use of artificial intelligence-enabled computerized text analysis to explore and compare executive speech acts to help increase marketing's influence in the firm. It is also the first to explore differences in marketing concept use between C-suite marketing roles.</t>
  </si>
  <si>
    <t>[Key, Thomas Martin] Univ Colorado, Dept Business, Springs Coll Business, Colorado Springs, CO 80907 USA; [Key, Thomas Martin] Grad Sch Business Adm, Colorado Springs, CO 80907 USA; [Keel, Astrid Lei] Univ La Verne, Dept Mkt &amp; Law, La Verne, CA USA</t>
  </si>
  <si>
    <t>University of Colorado System; University of Colorado at Colorado Springs; University of La Verne</t>
  </si>
  <si>
    <t>Key, TM (corresponding author), Univ Colorado, Dept Business, Springs Coll Business, Colorado Springs, CO 80907 USA.;Key, TM (corresponding author), Grad Sch Business Adm, Colorado Springs, CO 80907 USA.</t>
  </si>
  <si>
    <t>tkey@uccs.edu</t>
  </si>
  <si>
    <t>JAN 31</t>
  </si>
  <si>
    <t>10.1108/EJM-01-2019-0105</t>
  </si>
  <si>
    <t>LB7AK</t>
  </si>
  <si>
    <t>WOS:000512320400001</t>
  </si>
  <si>
    <t>de Ruyter, Ko/AAA-9850-2021; Grewal, Dhruv/B-7264-2013; Wetzels, Martin/AAA-9399-2019</t>
  </si>
  <si>
    <t>Liu, MTC; Liu, YD; Mo, ZY; Ng, KL</t>
  </si>
  <si>
    <t>Liu, Matthew Tingchi; Liu, Yongdan; Mo, Ziying; Ng, Kai Lam</t>
  </si>
  <si>
    <t>Using text mining to track changes in travel destination image: the case of Macau</t>
  </si>
  <si>
    <t>ASIA PACIFIC JOURNAL OF MARKETING AND LOGISTICS</t>
  </si>
  <si>
    <t>Destination image; Online reviews; Tourist-generated content; Text mining</t>
  </si>
  <si>
    <t>Purpose - Travel websites allow tourists to share their thoughts, beliefs and experiences regarding various travel destinations. In this paper, the researchers demonstrated an approach for destination marketing organisations to explore online tourist-generated content and understand tourists' perceptions of the destination image (DI). Specifically, the researchers initiated an investigation examining how the destination image of Macau changed during the period of 2014-2018 based on user-generated content on travel websites. Design/methodology/approach - Web crawlers developed by Python were employed to collect tourists' reviews from both Ctrip and TripAdvisor regarding the theme of Macau attraction. A total of 51,191 reviews (41,352 from Ctrip and 9,839 from TripAdvisor) were collected and analysed using the text-mining technique. Findings - The results reveal that the frequency of casino-related words decreased in reviews by both international and mainland Chinese tourists. Additionally, international and mainland Chinese tourists perceive the DI of Macau differently. Mainland Chinese tourists are more sensitive to new attractions, while international tourists are not. The study also shows that there are differences between the government-projected DI and the tourist-perceived DI. Only the City of Culture and A World Centre of Tourism and Leisure have built recognition with tourists. Originality/value - Given the easy accessibility of online information from various sources, it is important for destination marketing organisations to analyse and monitor different DI perspectives and adjust their branding strategies for greater effectiveness. This study uncovered the online DI of Macau by using text mining and content analysis of two of the largest travel websites. By analysing and comparing the differences and relationships among the frequently used words of tourist-generated content on these websites, the researchers revealed some interesting findings with important marketing implications.</t>
  </si>
  <si>
    <t>[Liu, Matthew Tingchi; Liu, Yongdan; Ng, Kai Lam] Univ Macau, Fac Business Adm, Macau, Peoples R China; [Mo, Ziying] Sun Yat Sen Univ, Int Sch Business &amp; Finance, Guangzhou, Peoples R China</t>
  </si>
  <si>
    <t>University of Macau; Sun Yat Sen University</t>
  </si>
  <si>
    <t>Mo, ZY (corresponding author), Sun Yat Sen Univ, Int Sch Business &amp; Finance, Guangzhou, Peoples R China.</t>
  </si>
  <si>
    <t>mozy5@mail.sysu.edu.cn</t>
  </si>
  <si>
    <t>Liu, Matthew/ABE-7624-2020</t>
  </si>
  <si>
    <t>Liu, Matthew/0000-0002-1820-5691; LIU, Yongdan/0000-0002-3254-7639</t>
  </si>
  <si>
    <t>research committee of University of Macau [MYRG2019-00037-FBA, MYRG2018-00078-FBA, MYRG2016-00048]; Philosophy and Social Science Program of Guangdong Province in China [GD19YGL20]; Fundamental Research Funds for the Central Universities of China (Sun Yat-Sen University) [19wkpy33]; Philosophy and Social Science Program of Zhuhai City in China [2019ZC165]; MOE (Ministry of Education in China) Project of Humanities and Social Sciences [20YJC630105]</t>
  </si>
  <si>
    <t>research committee of University of Macau; Philosophy and Social Science Program of Guangdong Province in China; Fundamental Research Funds for the Central Universities of China (Sun Yat-Sen University); Philosophy and Social Science Program of Zhuhai City in China; MOE (Ministry of Education in China) Project of Humanities and Social Sciences</t>
  </si>
  <si>
    <t>The work was funded by research committee of University of Macau (Ref. No: MYRG2019-00037-FBA; MYRG2018-00078-FBA; MYRG2016-00048); Philosophy and Social Science Program of Guangdong Province in China (GD19YGL20); the Fundamental Research Funds for the Central Universities of China (Sun Yat-Sen University: 19wkpy33); Philosophy and Social Science Program of Zhuhai City in China (2019ZC165), and MOE (Ministry of Education in China) Project of Humanities and Social Sciences (20YJC630105).</t>
  </si>
  <si>
    <t>1355-5855</t>
  </si>
  <si>
    <t>1758-4248</t>
  </si>
  <si>
    <t>ASIA PAC J MARKET LO</t>
  </si>
  <si>
    <t>Asia Pac. J. Market. Logist.</t>
  </si>
  <si>
    <t>JAN 26</t>
  </si>
  <si>
    <t>10.1108/APJML-08-2019-0477</t>
  </si>
  <si>
    <t>PZ8BT</t>
  </si>
  <si>
    <t>WOS:000529386100001</t>
  </si>
  <si>
    <t>Ramos, Ricardo Filipe; Rita, Paulo; Moro, Sergio</t>
  </si>
  <si>
    <t>Are social media and mobile applications threatening retail websites?</t>
  </si>
  <si>
    <t>retail website; social media; mobile application; consumer behaviour; text mining</t>
  </si>
  <si>
    <t>E-COMMERCE; SERVICE QUALITY; ONLINE REVIEWS; CONSUMER SATISFACTION; CUSTOMER SATISFACTION; INTENTION; ADOPTION; APPS; USABILITY; DESIGN</t>
  </si>
  <si>
    <t>The use of mobile applications (MA) and social media (SM) platforms is reshaping the access to the internet. This study aims to analyse if consumers prefer to use a MA/SM platform or a retail website to search for a product or service and what are the reasons supporting their choice. Data was collected through unstructured interviews applied to internet consumers. A total of 770 replies were returned with their perspective analysed through text mining to uncover hidden patterns of knowledge. The outcome revealed that the vital aspect that makes consumers prefer a retail website is due to service quality. The choice for MA/SM platforms is its system quality in the act of searching for a product or service online. The demographic analysis exposed that younger generations prefer MA/SM, suggesting a different future for retail websites.</t>
  </si>
  <si>
    <t>[Ramos, Ricardo Filipe] Escola Super Tecnol &amp; Gestao Oliveira Hosp, Inst Politecn Coimbra, Rua Gen St Costa, P-3400124 Oliveira do Hospital, Portugal; [Ramos, Ricardo Filipe; Moro, Sergio] Inst Univ Lisboa IUL, ISTAR, ISCTE, Ave Forcas Armadas, P-1649026 Lisbon, Portugal; [Ramos, Ricardo Filipe] Univ Autonoma Lisboa, Ctr Invest Ciencias Econ &amp; Empresariais CICEE, Rua St Marta,Palacio Condes Redondo 56, P-1169023 Lisbon, Portugal; [Rita, Paulo] Univ Nova Lisboa, NOVA Informat Management Sch NOVA IMS, Campus Campolide, P-1070312 Lisbon, Portugal</t>
  </si>
  <si>
    <t>Instituto Politecnico de Coimbra (IPC); Instituto Universitario de Lisboa; Universidade Nova de Lisboa</t>
  </si>
  <si>
    <t>Ramos, RF (corresponding author), Escola Super Tecnol &amp; Gestao Oliveira Hosp, Inst Politecn Coimbra, Rua Gen St Costa, P-3400124 Oliveira do Hospital, Portugal.;Ramos, RF (corresponding author), Inst Univ Lisboa IUL, ISTAR, ISCTE, Ave Forcas Armadas, P-1649026 Lisbon, Portugal.;Ramos, RF (corresponding author), Univ Autonoma Lisboa, Ctr Invest Ciencias Econ &amp; Empresariais CICEE, Rua St Marta,Palacio Condes Redondo 56, P-1169023 Lisbon, Portugal.</t>
  </si>
  <si>
    <t>ricardo_ramos@iscte.pt; prita@novaims.unl.pt; scmoro@gmail.com</t>
  </si>
  <si>
    <t>Fundacao para a Ciencia e a Tecnologia (FCT) [UIDB/04466/2020, UIDP/04466/2020, UIDB/04152/2020]</t>
  </si>
  <si>
    <t>Fundacao para a Ciencia e a Tecnologia (FCT)(Fundacao para a Ciencia e a Tecnologia (FCT))</t>
  </si>
  <si>
    <t>The work by Ricardo Filipe Ramos and Sergio Moro was supported by the Fundacao para a Ciencia e a Tecnologia (FCT) within the following (Projects: UIDB/04466/2020 and UIDP/04466/2020). The work by Paulo Rita was supported by the Fundacao para a Ciencia e a Tecnologia (FCT) within the Project: UIDB/04152/2020 - Centro de Investigacao em Gestao de Informacao (MagIC).</t>
  </si>
  <si>
    <t>10.1504/IJIMA.2023.128150</t>
  </si>
  <si>
    <t>7W0WL</t>
  </si>
  <si>
    <t>WOS:000913236300003</t>
  </si>
  <si>
    <t>Liao, CC; Du, PY; Yang, YT; Huang, ZY</t>
  </si>
  <si>
    <t>Liao, Chengcheng; Du, Peiyuan; Yang, Yutao; Huang, Ziyao</t>
  </si>
  <si>
    <t>Carrots or sticks in debt collection services? A voice metrics and text analysis of debt collection calls</t>
  </si>
  <si>
    <t>Financial services; Debt collection calls; Service interaction; Vocal emotion; Survival analysis; Underlying mechanism</t>
  </si>
  <si>
    <t>CONSUMER-BEHAVIOR; ANGRY CUSTOMERS; MORAL HAZARD; EMOTIONS; FEAR; INFORMATION; REPAYMENT; MEDIATION; IMPACT; PERSUASION</t>
  </si>
  <si>
    <t>Purpose Although phone calls are widely used by debt collection services to persuade delinquent customers to repay, few financial services studies have analyzed the unstructured voice and text data to investigate how debt collection call strategies drive customers to repay. Moreover, extant research opens the black box mainly through psychological theories without hard behavioral data of customers. The purpose of our study is to address this research gap. Design/methodology/approach The authors randomly sampled 3,204 debt collection calls from a large consumer finance company in East Asia. To rule out alternative explanations for the findings, such as consumers' previous experience of being persuaded by debt collectors or repeated calls, the authors selected calls made to delinquent customers who had not been delinquent before and were being called by the company for the first time. The authors transformed the unstructured voice and textual data into structured data through automatic speech recognition (ASR), voice mining, natural language processing (NLP) and machine learning analyses. Findings The findings revealed that (1) both moral appeal (carrot) and social warning (stick) strategies decrease repayment time because they arouse mainly happy emotion and fear emotion, respectively; (2) the legal warning (stick) strategy backfires because of decreasing the happy emotion and triggering the anger emotion, which impedes customers' compliance; and (3) in contrast to traditional wisdom, the combination of carrot and stick fails to decrease the repayment time. Originality/value The findings provide a valuable and systematic understanding of the effect of carrot strategies, stick strategies and the combinations of them on repayment time. This study is among the first to empirically analyze the effectiveness of carrot strategies, stick strategies and their joint strategies on repayment time through unstructured vocal and textual data analysis. What's more, the previous studies open the black box through psychological mechanism. The authors firstly elucidate a behavioral mechanism for why consumers behave differently under varying debt collection strategies by utilizing ASR, NLP and vocal emotion analyses.</t>
  </si>
  <si>
    <t>[Liao, Chengcheng; Du, Peiyuan; Yang, Yutao; Huang, Ziyao] Sichuan Univ, Business Sch, Chengdu, Peoples R China</t>
  </si>
  <si>
    <t>Sichuan University</t>
  </si>
  <si>
    <t>Du, PY (corresponding author), Sichuan Univ, Business Sch, Chengdu, Peoples R China.</t>
  </si>
  <si>
    <t>986821459@qq.com</t>
  </si>
  <si>
    <t>National Natural Science Foundation of China [71925003, 72172099]; Funds for Sichuan University to Building a World-class University [SKSYL2019-01]</t>
  </si>
  <si>
    <t>National Natural Science Foundation of China(National Natural Science Foundation of China (NSFC)); Funds for Sichuan University to Building a World-class University</t>
  </si>
  <si>
    <t>The authors acknowledges the support from the National Natural Science Foundation of China (Grant: 71925003; Grand: 72172099) and the support by Funds for Sichuan University to Building a World-class University (Grant: SKSYL2019-01).</t>
  </si>
  <si>
    <t>OCT 18</t>
  </si>
  <si>
    <t>10.1108/JSTP-12-2020-0290</t>
  </si>
  <si>
    <t>WJ3IJ</t>
  </si>
  <si>
    <t>WOS:000697381300001</t>
  </si>
  <si>
    <t>Ballestar, MT; Martin-Llaguno, M; Sainz, J</t>
  </si>
  <si>
    <t>Teresa Ballestar, Maria; Martin-Llaguno, Marta; Sainz, Jorge</t>
  </si>
  <si>
    <t>An artificial intelligence analysis of climate-change influencers' marketing on Twitter</t>
  </si>
  <si>
    <t>artificial intelligence; natural language processing; sentiment analysis; social influencers; social networks; Twitter</t>
  </si>
  <si>
    <t>SENTIMENT ANALYSIS; ENDORSEMENTS</t>
  </si>
  <si>
    <t>Designing marketing strategies with social media influencers are becoming increasingly relevant for setting political agendas. This study focuses on how two representative social influencers, Greta Thunberg and Bill Gates, engage in advising against climate change. The investigation uses 23,294 tweets posted by them or their followers citing them on climate change around the 25th edition of the United Nations Climate Change Conference. This study applies artificial intelligence and natural language processing to analyse the marketing mechanism of social influencers. We scrutinize the sentiment of the messages and then identify and analyse the different networks constructed around them to discern how pervasive a social influencer's message is. The results show that Thunberg and Gates follow different and unconnected strategies to deliver their messages to their followers.</t>
  </si>
  <si>
    <t>[Teresa Ballestar, Maria; Sainz, Jorge] Univ Rey Juan Carlos, Dept Appl Econ, Madrid, Spain; [Martin-Llaguno, Marta] Univ Alicante, Dept Commun &amp; Social Psychol, Alicante, Spain; [Sainz, Jorge] Univ Bath, Inst Policy Res, Bath, Avon, England</t>
  </si>
  <si>
    <t>Universidad Rey Juan Carlos; Universitat d'Alacant; University of Bath</t>
  </si>
  <si>
    <t>Ballestar, MT (corresponding author), Univ Rey Juan Carlos, Dept Appl Econ, Madrid, Spain.</t>
  </si>
  <si>
    <t>teresa.ballestar@urjc.es</t>
  </si>
  <si>
    <t>Ballestar de las Heras, Maria Teresa/0000-0001-8526-7561; Martin Llaguno, Marta/0000-0003-2252-5505</t>
  </si>
  <si>
    <t>Ministerio de Ciencia y Tecnologia</t>
  </si>
  <si>
    <t>Ministerio de Ciencia y Tecnologia(Ministry of Science and Innovation, Spain (MICINN)Spanish Government)</t>
  </si>
  <si>
    <t>10.1002/mar.21735</t>
  </si>
  <si>
    <t>8F5NV</t>
  </si>
  <si>
    <t>WOS:000864375300001</t>
  </si>
  <si>
    <t>Vollero, A; Sardanelli, D; Siano, A</t>
  </si>
  <si>
    <t>Vollero, Agostino; Sardanelli, Domenico; Siano, Alfonso</t>
  </si>
  <si>
    <t>Exploring the role of the Amazon effect on customer expectations: An analysis of user-generated content in consumer electronics retailing</t>
  </si>
  <si>
    <t>ONLINE; SATISFACTION; FACEBOOK; CONSEQUENCES; ANTECEDENTS; SATISFIERS; BEHAVIOR; DIFFER</t>
  </si>
  <si>
    <t>While Amazon's disruption of the retail market has been associated with significant changes in consumer behavior, empirical studies on how interacting with Amazon has changed customers' expectations toward other offline/online retailers remain scarce. Such Amazon-driven perceptions of service attributes are sometimes referred to as the 'Amazon effect'. After clarifying the meaning of the Amazon effect and reviewing the studies on consumer complaints online, this paper aims to identify key triggers for the Amazon effect from consumer comments on social media. Based on natural language processing techniques, a content and sentiment analysis of users' comments drawn from the Facebook pages of three leading consumer electronics retailers in Italy over a two-year span (2016-2018) was used to evaluate the dissatisfaction toward these retailers associated to Amazon-related service attributes. The findings show that there is a wide diffusion of consumer comments and service complaints related to the Amazon effect on consumer electronics retailers, especially regarding price, customer service, in-store staff, and post-purchase support. Compared with corresponding evaluations on the Italian Amazon website, the negative sentiments revealed in consumers' comments on Facebook suggest that the Amazon's service standards have raised consumer expectations and have made consumers less satisfied when they interact with other retailers. We argue the need for further research to better clarify Amazonification in terms of customer impatience and dissatisfaction in general, also going beyond price and logistics issues, which are usually considered as the main constitutive factors.</t>
  </si>
  <si>
    <t>[Vollero, Agostino; Siano, Alfonso] Univ Salerno, Dept Polit &amp; Commun Sci POLICOM, Fisciano, Italy; [Sardanelli, Domenico] Sapienza Univ Rome, Dept Management, Rome, Italy</t>
  </si>
  <si>
    <t>University of Salerno; Sapienza University Rome</t>
  </si>
  <si>
    <t>Vollero, A (corresponding author), Univ Salerno, Dept Polit &amp; Commun Sci POLICOM, Digital Mkt &amp; E Commerce, Fisciano, Italy.</t>
  </si>
  <si>
    <t>avollero@unisa.it; domenico.sardanelli@uniroma1.it; sianoalf@unisa.it</t>
  </si>
  <si>
    <t>Sardanelli, Domenico/ABB-0079-2022; Sardanelli, Domenico/HJG-7538-2022; Vollero, Agostino/B-2338-2012</t>
  </si>
  <si>
    <t>Sardanelli, Domenico/0000-0002-2701-4213; Vollero, Agostino/0000-0003-0282-1761</t>
  </si>
  <si>
    <t>Universita degli Studi di Salerno within the CRUI-CARE Agreement</t>
  </si>
  <si>
    <t>We gratefully acknowledge Emilia Nunzia Maria Gaudio for her insights and help with the data collection, and Dr. Serena Pelosi and Dr. Pierluigi Vitale (University of Salerno) for their help with the sentiment analysis. We wish to thank Professors FranciscoJ. Martinez-Lopez and Steven D'Alessandro, and the participants at the first Digital Marketing &amp; eCommerce Conference (Barcelona, May 25-26, 2020), for the precious suggestions they gave us to improve our research. Open access funding provided by Universita degli Studi di Salerno within the CRUI-CARE Agreement.</t>
  </si>
  <si>
    <t>10.1002/cb.1969</t>
  </si>
  <si>
    <t>TB5EE</t>
  </si>
  <si>
    <t>WOS:000667969600001</t>
  </si>
  <si>
    <t>Decker, R; Trusov, M</t>
  </si>
  <si>
    <t>Consumer behavior; Electronic commerce and internet marketing; Market analysis and response; Preference analysis; Product management; User generated content</t>
  </si>
  <si>
    <t>WORD-OF-MOUTH; CONJOINT-ANALYSIS; SALES; MODEL; CHOICE; IMPACT; QUALITY; DESIGN</t>
  </si>
  <si>
    <t>Today, consumer reviews are available on the Internet for a large number of product categories. The pros and cons expressed in this way uncover individually perceived strengths and weaknesses of the respective products, whereas the usually assigned product ratings represent their overall valuation. The key question at this point is how to turn the available plentitude of individual consumer opinions into aggregate consumer preferences, which can be used, for example, in product development or improvement processes. To solve this problem, an econometric framework is presented that can be applied to the mentioned type of data after having prepared it using natural language processing techniques. The suggested methodology enables the estimation of parameters, which allow inferences on the relative effect of product attributes and brand names on the overall evaluation of the products. Specifically, we discuss options for taking opinion heterogeneity into account. Both the practicability and the benefits of the suggested approach are demonstrated using product review data from the mobile phone market. This paper demonstrates that the review-based results compare very favorably with consumer preferences obtained through conjoint analysis techniques. (C) 2010 Elsevier B.V. All rights reserved.</t>
  </si>
  <si>
    <t>[Decker, Reinhold] Univ Bielefeld, Dept Business Adm &amp; Econ, D-33615 Bielefeld, Germany; [Trusov, Michael] Univ Maryland, Robert H Smith Sch Business, College Pk, MD 20742 USA</t>
  </si>
  <si>
    <t>University of Bielefeld; University System of Maryland; University of Maryland College Park</t>
  </si>
  <si>
    <t>Decker, R (corresponding author), Univ Bielefeld, Dept Business Adm &amp; Econ, Univ Str 25, D-33615 Bielefeld, Germany.</t>
  </si>
  <si>
    <t>rdecker@wiwi.uni-bielefeld.de; mtrusov@rhsmith.umd.edu</t>
  </si>
  <si>
    <t>10.1016/j.ijresmar.2010.09.001</t>
  </si>
  <si>
    <t>703DU</t>
  </si>
  <si>
    <t>WOS:000285955100001</t>
  </si>
  <si>
    <t>Zhu, JJJ; Chang, YC; Ku, CH; Li, SYY; Chen, CJ</t>
  </si>
  <si>
    <t>Zhu, John Jianjun; Chang, Yung-Chun; Ku, Chih-Hao; Li, Stella Yiyan; Chen, Chi-Jen</t>
  </si>
  <si>
    <t>Online critical review classification in response strategy and service provider rating: Algorithms from heuristic processing, sentiment analysis to deep learning</t>
  </si>
  <si>
    <t>Online review; Response strategy; Linguistic feature analysis; Deep learning</t>
  </si>
  <si>
    <t>WORD-OF-MOUTH; HOTEL RESPONSES; RECOVERY; IMPACT; EXPERIENCE; EMOTIONS; FAILURE; LOYALTY; QUALITY; JUSTICE</t>
  </si>
  <si>
    <t>This research proposes and tests mechanisms for defining and identifying the critical online consumer reviews that firms could prioritize to optimize their online response strategies, while incorporating the latest artificial intelligence (AI) technology to deal with the overwhelming volume of information. Three sets of analytical tools are introduced: Heuristic Processing, Linguistic Feature Analysis, and Deep Learning-based Natural Language Processing (NLP), to extract review information. Twelve algorithms to classify critical reviews were developed accordingly and empirically tested for their effectiveness. Our econometric analysis of 110,146 online reviews from a chain operation in hospitality industry over seven years identifies six outstanding algorithms. Firm value rating, comment length, valence, and certain consumer emotions, in addition to past comment-response behavior, are found to be superior in predicting incoming review criticality. However, the service attributes such as urgency to reply and the feasibility of actions to take are not as informative.</t>
  </si>
  <si>
    <t>[Zhu, John Jianjun] New Mexico State Univ, Coll Business, Las Cruces, NM 88003 USA; [Chang, Yung-Chun; Chen, Chi-Jen] Taipei Med Univ, Grad Inst Data Sci, Taipei, Taiwan; [Chang, Yung-Chun] Taipei Med Univ Hosp, Clin Big Data Res Ctr, Taipei, Taiwan; [Ku, Chih-Hao] Lawrence Technol Univ, Monte Ahuja Coll Business, Sch Business &amp; Informat Technol, Dept Informat Syst,Cleveland State Univ, Cleveland, OH USA; [Li, Stella Yiyan] No Arizona Univ, WA Franke Coll Business, Flagstaff, AZ 86011 USA</t>
  </si>
  <si>
    <t>New Mexico State University; Taipei Medical University; Taipei Medical University; Taipei Medical University Hospital; University System of Ohio; Cleveland State University; Northern Arizona University</t>
  </si>
  <si>
    <t>Li, SYY (corresponding author), No Arizona Univ, WA Franke Coll Business, Flagstaff, AZ 86011 USA.</t>
  </si>
  <si>
    <t>johnzhu1@nmsu.edu; changyc@tmu.edu.tw; c.ku17@csuohio.edu; yiyan.li@nau.edu; m946106008@tmu.edu.tw</t>
  </si>
  <si>
    <t>Ku, Chih-Hao/M-9578-2017</t>
  </si>
  <si>
    <t>Ku, Chih-Hao/0000-0002-6346-1299</t>
  </si>
  <si>
    <t>Ministry of Science and Technology of Taiwan [MOST 106-2218-E-038-004-MY2, MOST 107-2410-H-038-017-MY3]; Strategic Research Grant of City University of Hong Kong [7004789]; New Mexico State University</t>
  </si>
  <si>
    <t>Ministry of Science and Technology of Taiwan(Ministry of Science and Technology, Taiwan); Strategic Research Grant of City University of Hong Kong(City University of Hong Kong); New Mexico State University</t>
  </si>
  <si>
    <t>This project is partially supported by the Fulton Research Funding for Fall 2018 of New Mexico State University from the first author; research grant from Ministry of Science and Technology of Taiwan (MOST 106-2218-E-038-004-MY2 and MOST 107-2410-H-038-017-MY3) from the 2nd author; and the Strategic Research Grant of City University of Hong Kong (Project no. 7004789) from the corresponding author.</t>
  </si>
  <si>
    <t>10.1016/j.jbusres.2020.11.007</t>
  </si>
  <si>
    <t>RL7AA</t>
  </si>
  <si>
    <t>WOS:000639120000074</t>
  </si>
  <si>
    <t>Al-Weshah, G</t>
  </si>
  <si>
    <t>Al-Weshah, Ghazi</t>
  </si>
  <si>
    <t>E-Marketing Practices from Jordanian Tourism Agencies Perspectives A Qualitative Evidence</t>
  </si>
  <si>
    <t>INTERNATIONAL JOURNAL OF ONLINE MARKETING</t>
  </si>
  <si>
    <t>E-Mail Marketing; E-Marketing; Internet Marketing; Interviews; Jordan; Qualitative Approach; Social Media; Thematic Analysis; Tourism Agencies</t>
  </si>
  <si>
    <t>The article aims at providing a deep understanding of electronic marketing practices and investigating the current status of e-marketing (benefits, tools, and barriers) in Jordanian tourism agencies. Methodologically, the article adopts a qualitative design to achieve its objectives. In-depth interviews are employed to generate data. The purposive sample is used to choose the target interviewees. Eight executives from different tourism agencies have been selected to conduct the interviews. The qualitative data of each interview have been analyzed using the thematic and textual analysis. Based on a holistic view of the study, the interviews themes have been extracted. The article concludes that cost minimization and time saving are the most important advantages for e-marketing. Moreover, promotional offers information is the most important type of information provided by e-marketing system. Social media and e-mail marketing are the common tools for e-marketing in tourism agencies. However, privacy issues barrier is the major challenge which is encountered by e-marketing practices.</t>
  </si>
  <si>
    <t>[Al-Weshah, Ghazi] Al Balqa Appl Univ, Mkt, Salt, Jordan; [Al-Weshah, Ghazi] Al Balqa Appl Univ, Sci Res, Salt, Jordan</t>
  </si>
  <si>
    <t>Al-Balqa Applied University; Al-Balqa Applied University</t>
  </si>
  <si>
    <t>Al-Weshah, G (corresponding author), Al Balqa Appl Univ, Mkt, Salt, Jordan.;Al-Weshah, G (corresponding author), Al Balqa Appl Univ, Sci Res, Salt, Jordan.</t>
  </si>
  <si>
    <t>weshah120@yahoo.com</t>
  </si>
  <si>
    <t>Al-Weshah, Ghazi A./GYU-9386-2022; Al-Weshah, Ghazi A./E-5512-2017</t>
  </si>
  <si>
    <t>Al-Weshah, Ghazi A./0000-0002-8091-4720</t>
  </si>
  <si>
    <t>HERSHEY</t>
  </si>
  <si>
    <t>701 E CHOCOLATE AVE, STE 200, HERSHEY, PA 17033-1240 USA</t>
  </si>
  <si>
    <t>2156-1753</t>
  </si>
  <si>
    <t>2156-1745</t>
  </si>
  <si>
    <t>INT J ONLINE MARKET</t>
  </si>
  <si>
    <t>Int. J. Online Market</t>
  </si>
  <si>
    <t>JAN-MAR</t>
  </si>
  <si>
    <t>10.4018/IJOM.2018010102</t>
  </si>
  <si>
    <t>GL6VC</t>
  </si>
  <si>
    <t>WOS:000437330100002</t>
  </si>
  <si>
    <t>Nave, M; Rita, P; Guerreiro, J</t>
  </si>
  <si>
    <t>JOURNAL OF HOSPITALITY MARKETING &amp; MANAGEMENT</t>
  </si>
  <si>
    <t>Sentiment analysis; text mining; decision support system; social media; tourist destination</t>
  </si>
  <si>
    <t>WORD-OF-MOUTH; ONLINE; TOURISM; PERCEPTIONS; FEEDBACK; REVIEWS; HOTELS</t>
  </si>
  <si>
    <t>[Nave, Marta; Guerreiro, Joao] Inst Univ Lisboa ISCTE IUL, Business Res Unit BRU IUL, Lisbon, Portugal; [Rita, Paulo] Inst Univ Lisboa ISCTE IUL, CIS IUL, Lisbon, Portugal; [Rita, Paulo] Univ Nova Lisboa, NOVA Informat Management Sch NOVA IMS, Lisbon, Portugal; [Guerreiro, Joao] Inst Univ Lisboa ISCTE IUL, Informat Sci Technol &amp; Architecture Res Ctr ISTAR, Lisbon, Portugal</t>
  </si>
  <si>
    <t>Instituto Universitario de Lisboa; Instituto Universitario de Lisboa; Universidade Nova de Lisboa; Instituto Universitario de Lisboa</t>
  </si>
  <si>
    <t>Guerreiro, J (corresponding author), Inst Univ Lisboa ISCTE IUL, Ave Forcas Armadas, P-1649026 Lisbon, Portugal.</t>
  </si>
  <si>
    <t>joao.guerreiro@iscte-iul.pt</t>
  </si>
  <si>
    <t>Guerreiro, João/O-1283-2019; Rita, Paulo/T-2950-2017</t>
  </si>
  <si>
    <t>Guerreiro, João/0000-0001-6286-1437; Rita, Paulo/0000-0001-6050-9958</t>
  </si>
  <si>
    <t>1936-8623</t>
  </si>
  <si>
    <t>1936-8631</t>
  </si>
  <si>
    <t>J HOSP MARKET MANAG</t>
  </si>
  <si>
    <t>J. Hosp. Market. Manag.</t>
  </si>
  <si>
    <t>10.1080/19368623.2018.1435327</t>
  </si>
  <si>
    <t>Business; Hospitality, Leisure, Sport &amp; Tourism; Management</t>
  </si>
  <si>
    <t>GI5XY</t>
  </si>
  <si>
    <t>WOS:000434445100004</t>
  </si>
  <si>
    <t>Oh, S; Park, MJ; Kim, TY; Shin, J</t>
  </si>
  <si>
    <t>Oh, Sungwon; Park, Min Jae; Kim, Tae You; Shin, Jiho</t>
  </si>
  <si>
    <t>Marketing strategies for fintech companies: text data analysis of social media posts</t>
  </si>
  <si>
    <t>ERRC; Fintech; GloVe; Social media; Text data analytics</t>
  </si>
  <si>
    <t>TRANSFORMATION; SENTIMENT</t>
  </si>
  <si>
    <t>PurposeThis study aimed to present the methodology of the text data analysis to establish marketing strategies for fintech companies in a practical way. Specifically, the methodology was presented to convert customers' review data, which consisted of the text data (unstructured data), to the numerical data (structured data) by using a text mining algorithm Global Vectors for Word Representation, abbreviated as GloVe; additionally, the authors presented the methodology to deploy the numerical data for marketing strategies with eliminate-reduce-raise-create (ERRC) value factor analytics.Design/methodology/approachFirst, the authors defined the background, features and contents of fintech services based on a review of related literature review. Additionally, they examined business strategies, the importance of social media for fintech services and fintech technology trends based on the literature review. Next, they analyzed the similarity between fintech-related keywords, which represent the trends in fintech services, and the text data related to fintech corporations and their services posted on Facebook and Twitter, which are two of the most popular social media globally, during the period 2017-2019. The similarity was then quantified and categorized in terms of the representative global fintech companies and the status of each fintech service sector. Furthermore, the similarity was visualized, and value elements were rebuilt using ERRC strategy analytics.FindingsThis study is meaningful in that it quantifies the degree of similarity between customers' responses, experiences and expectations regarding the rapidly growing global fintech firms' services and trends in fintech services.Originality/valueThis study suggests a practical way to apply in business by providing a method for transforming unstructured text data into structured numerical data it is measurable. It is expected that this study can be used as the basis for exploring sustainable development strategies for the fintech industry.</t>
  </si>
  <si>
    <t>[Oh, Sungwon; Shin, Jiho] Business Sch Lausanne, Dept Big Data MBA, Chavannes, Switzerland; [Park, Min Jae] Ajou Univ, Dept E business, Suwon, South Korea; [Kim, Tae You] Catholic Univ Korea Songsin Campus, Dept Healthcare &amp; Artificial Intelligence, Seoul, South Korea</t>
  </si>
  <si>
    <t>Ajou University</t>
  </si>
  <si>
    <t>Park, MJ (corresponding author), Ajou Univ, Dept E business, Suwon, South Korea.</t>
  </si>
  <si>
    <t>sungwon.oh@bsl-lausanne.ch; geglove@ajou.ac.kr; taeyoukim@catholic.ac.kr; jiho.shin@bsl-lausanne.ch</t>
  </si>
  <si>
    <t>Oh, Sungwon/0000-0003-4176-2944; Park, Min Jae/0000-0002-9380-2744</t>
  </si>
  <si>
    <t>Ministry of Education of the Republic of Korea; National Research Foundation of Korea;  [NRF-2021S1A5A8065886]</t>
  </si>
  <si>
    <t xml:space="preserve">Ministry of Education of the Republic of Korea(Ministry of Education (MOE), Republic of Korea); National Research Foundation of Korea(National Research Foundation of Korea); </t>
  </si>
  <si>
    <t>Funding: This work was supported by the Ministry of Education of the Republic of Korea and the National Research Foundation of Korea (NRF-2021S1A5A8065886).</t>
  </si>
  <si>
    <t>JAN 17</t>
  </si>
  <si>
    <t>10.1108/MD-09-2021-1183</t>
  </si>
  <si>
    <t>9X7JG</t>
  </si>
  <si>
    <t>WOS:000885629600001</t>
  </si>
  <si>
    <t>Huang, GX; Liang, H</t>
  </si>
  <si>
    <t>eWOM; Textual features; Computational text mining; Trustworthiness; Review valence; Content concreteness</t>
  </si>
  <si>
    <t>WORD-OF-MOUTH; NEGATIVITY BIAS; INFORMATION; HELPFULNESS; CREDIBILITY; TRUST; ATTRIBUTES; VALENCE; IMPACT; CUES</t>
  </si>
  <si>
    <t>[Huang, Guanxiong] City Univ Hong Kong, Run Run Shaw Creat Media Ctr, Dept Media &amp; Commun, Kowloon Tong, M5084,18 Tat Hong Ave, Hong Kong, Peoples R China; [Liang, Hai] Chinese Univ Hong Kong, New Asia Coll, Sch Journalism &amp; Commun, Shatin, Room 424,Humanities Bldg, Hong Kong, Peoples R China</t>
  </si>
  <si>
    <t>City University of Hong Kong; Chinese University of Hong Kong</t>
  </si>
  <si>
    <t>Huang, GX (corresponding author), City Univ Hong Kong, Run Run Shaw Creat Media Ctr, Dept Media &amp; Commun, Kowloon Tong, M5084,18 Tat Hong Ave, Hong Kong, Peoples R China.</t>
  </si>
  <si>
    <t>g.huang@cityu.edu.hk; hailiang@cuhk.edu.hk</t>
  </si>
  <si>
    <t>Liang, Hai/F-3797-2015; Liang, Hai/AAB-2150-2020</t>
  </si>
  <si>
    <t>Liang, Hai/0000-0003-1779-9552; Liang, Hai/0000-0003-1779-9552</t>
  </si>
  <si>
    <t>10.1016/j.jbusres.2020.12.052</t>
  </si>
  <si>
    <t>QK0EN</t>
  </si>
  <si>
    <t>WOS:000620055100001</t>
  </si>
  <si>
    <t>Mathaisel, DFX; Comm, CL</t>
  </si>
  <si>
    <t>Political marketing; Analytics; Text mining; Natural language processing; Visualization story arcs</t>
  </si>
  <si>
    <t>VISUALIZATION; TWITTER</t>
  </si>
  <si>
    <t>Social media played a significant role in past Presidential elections, and it is very likely that this form of communication will continue to influence political campaigns. Can analytics uncover the linguistic plot arcs and resulting sentiment or emotion in political text? This paper examines how natural language processing (NLP) and data visualization tools and methods in analytics can play a key role in marketing political candidates. Using publicly available text messages, the authors employ NLP techniques to transform the text observations from the past campaigns of Hillary Clinton, Barack Obama, and Donald Trump into a linguistic corpus and story arc visualizations. The methodology includes the use of Syuzhet and Latent Dirichlet Allocation (LDA) models. The resulting data visualizations reveal the story arcs associated with the candidate's communications, and they provide a means to analyze the unbiased political sentiment or hidden emotion in the text. In an analysis of the results, the authors found distinctly different story arcs and vocabulary usage among the three Presidential candidates. The contribution to the literature is a methodology for extracting the story and the resulting sentiment from text messages for marketing campaigns. The authors suggest that the techniques used in this paper can assist future research on marketing other products or services that utilize computer-mediated communications.</t>
  </si>
  <si>
    <t>[Mathaisel, Dennis F. X.] Babson Coll, Management Sci, Babson Pk, MA 02457 USA; [Comm, Clare L.] Univ Massachusetts Lowell, Mkt, Lowell, MA 01854 USA</t>
  </si>
  <si>
    <t>Babson College; University of Massachusetts System; University of Massachusetts Lowell</t>
  </si>
  <si>
    <t>Mathaisel, DFX (corresponding author), Babson Coll, Management Sci, Babson Pk, MA 02457 USA.</t>
  </si>
  <si>
    <t>Mathaisel@babson.edu</t>
  </si>
  <si>
    <t>Mathaisel, Dennis/0000-0001-9093-9844</t>
  </si>
  <si>
    <t>10.1057/s41270-020-00097-1</t>
  </si>
  <si>
    <t>QL2XK</t>
  </si>
  <si>
    <t>WOS:000606315300002</t>
  </si>
  <si>
    <t>Wang, X; Bendle, NT; Mai, F; Cotte, J</t>
  </si>
  <si>
    <t>Wang, Xin (Shane); Bendle, Neil T.; Mai, Feng; Cotte, June</t>
  </si>
  <si>
    <t>The Journal of Consumer Research at 40: A Historical Analysis</t>
  </si>
  <si>
    <t>topic modeling; Journal of Consumer Research; historical analysis; citation analysis</t>
  </si>
  <si>
    <t>This article reviews 40 years of the Journal of Consumer Research (JCR). Using text mining, we uncover the key phrases associated with consumer research. We use a topic modeling procedure to uncover 16 topics that have been featured in the journal since its inception and to show the trends in topics over time. For example, we highlight the decline in family decision-making research and the flourishing of social identity and influence research since the journal's inception. A citation analysis shows which JCR articles have had the most impact and compares the topics in top-cited articles with all JCR journal articles. We show that methodological and consumer culture articles tend to be heavily cited. We conclude by investigating the scholars who have been the top contributors to the journal across the four decades of its existence. And to better understand which schools have contributed most to the knowledge of consumer research over this history, we provide an analysis of where these top-performing scholars were trained. Our approach shows that the JCR archives can be an excellent source of data for scholars trying to understand the complicated, challenging, and dynamic field of consumer research.</t>
  </si>
  <si>
    <t>[Wang, Xin (Shane); Bendle, Neil T.; Cotte, June] Univ Western Ontario, Ivey Business Sch, Mkt, London, ON N6G 0N1, Canada; [Mai, Feng] Univ Cincinnati, Lindner Coll Business, Cincinnati, OH 45221 USA</t>
  </si>
  <si>
    <t>Western University (University of Western Ontario); University System of Ohio; University of Cincinnati</t>
  </si>
  <si>
    <t>Wang, X (corresponding author), Univ Western Ontario, Ivey Business Sch, Mkt, 1255 Western Rd, London, ON N6G 0N1, Canada.</t>
  </si>
  <si>
    <t>xwang@ivey.ca; nbendle@ivey.ca; maifg@mail.uc.edu; jcot-te@ivey.ca</t>
  </si>
  <si>
    <t>Bendle, Neil/AAZ-6717-2021; , June Cotte/HKW-4643-2023</t>
  </si>
  <si>
    <t>Bendle, Neil/0000-0002-8557-5983; Cotte, June/0000-0003-0770-8338; Mai, Feng/0000-0001-6897-8935</t>
  </si>
  <si>
    <t>10.1093/jcr/ucv009</t>
  </si>
  <si>
    <t>WOS:000356596900002</t>
  </si>
  <si>
    <t>Tackett, T</t>
  </si>
  <si>
    <t>Tackett, Teresa</t>
  </si>
  <si>
    <t>A Textual Analysis of Gender Diversity and Creativity in Award-Winning Agencies' Self-Representations</t>
  </si>
  <si>
    <t>WORK; WOMEN; LABOR; TIME</t>
  </si>
  <si>
    <t>Gender disparity continues to permeate the advertising industry, with only 11% of creative directors in agencies being women. This study uses textual analysis to examine how Ad Age's Agency A-List annual award recipients' websites are encoded with messages of deep-level diversity attributes (e.g., attitude, beliefs, values) despite lacking surface-level diversity attributes (e.g., gender) among the agency winners' creative teams. Forty-eight agency webpages were analyzed using constant comparative data analysis, illuminating award-winning agencies' communicative processes to position their advertising teams' creativity on their websites. Themes included (a) positioning the team as experts; (b) championing disruption; (c) committing to change; and (d) seeking and rewarding grandiosity.</t>
  </si>
  <si>
    <t>[Tackett, Teresa] Univ Alabama, Coll Commun &amp; Informat Sci, Advertising &amp; Publ Relat, Reese Phifer Hall 404A, Tuscaloosa, AL 35487 USA; [Tackett, Teresa] Univ North Carolina Chapel Hill, Media &amp; Commun, Chapel Hill, NC USA</t>
  </si>
  <si>
    <t>University of Alabama System; University of Alabama Tuscaloosa; University of North Carolina; University of North Carolina Chapel Hill; University of North Carolina School of Medicine</t>
  </si>
  <si>
    <t>Tackett, T (corresponding author), Univ Alabama, Coll Commun &amp; Informat Sci, Advertising &amp; Publ Relat, Reese Phifer Hall 404A, Tuscaloosa, AL 35487 USA.</t>
  </si>
  <si>
    <t>ttackett@ua.edu</t>
  </si>
  <si>
    <t>10.1080/10641734.2022.2155890</t>
  </si>
  <si>
    <t>7V3YJ</t>
  </si>
  <si>
    <t>WOS:000912752900001</t>
  </si>
  <si>
    <t>Lee, M; Jeong, M; Lee, J</t>
  </si>
  <si>
    <t>Lee, Minwoo; Jeong, Miyoung; Lee, Jongseo</t>
  </si>
  <si>
    <t>Roles of negative emotions in customers' perceived helpfulness of hotel reviews on a user-generated review website A text mining approach</t>
  </si>
  <si>
    <t>INTERNATIONAL JOURNAL OF CONTEMPORARY HOSPITALITY MANAGEMENT</t>
  </si>
  <si>
    <t>Consumer decision-making; Sentiment analysis; Negative emotions; Online hotel reviews; Review helpfulness; Tripadvisor.com</t>
  </si>
  <si>
    <t>WORD-OF-MOUTH; COMPUTER-MEDIATED COMMUNICATION; ONLINE CONSUMER REVIEWS; PRODUCT REVIEWS; SERVICE QUALITY; IMPACT; TOURISM; CREDIBILITY; DECISION; SALES</t>
  </si>
  <si>
    <t>Purpose - This paper aims to explore how emotional expressions embedded in online hotel reviews influence consumers' helpfulness perceptions. In particular, this study develops and tests hypotheses analyzing empirical data with a text-mining method in the context of hotels to investigate how review valence influences the perceived helpfulness of online hotel reviews and to examine the role of negative emotional expressions embedded in online consumer reviews with respect to perceived helpfulness. Design/methodology/approach - This study collected 520,668 online reviews involving 488 hotels in New York City (NYC) on Tripadvisor.com. Of these reviews, 69,202 reviews (13.29 per cent) that had received helpfulness votes were analyzed by a text mining method and negative binomial regression. Findings - This study demonstrates that negative reviews are considered more helpful than positive reviews when potential customers read online hotel reviews for their future stay. However, when intensively negative emotions were expressed, the degree of helpfulness regarding negative reviews was diminished. Originality/value - While emotional expressions prevail in online consumer reviews, surprisingly little attention has been devoted to the consequences of emotional expressions in consumers' information processing and decision-making. Due to the nature of service, given the inseparability of production and consumption, which often hinders the execution of flawless service, consumers tend to be more dependent on reviews to minimize any potential failures they may encounter later on. Therefore, this study fills a gap by demonstrating that negative reviews and emotional expressions play a more crucial role in consumers' information processing and decision-making.</t>
  </si>
  <si>
    <t>[Lee, Minwoo] Univ Massachusetts, Dept Hospitality &amp; Tourism Management, Amherst, MA 01003 USA; [Jeong, Miyoung] Univ South Carolina, Dept Hotel Restaurant &amp; Tourism Management, Columbia, SC USA; [Lee, Jongseo] Yonsei Univ, Dept Integrated Technol, Incheon, South Korea</t>
  </si>
  <si>
    <t>University of Massachusetts System; University of Massachusetts Amherst; University of South Carolina System; University of South Carolina Columbia; Yonsei University</t>
  </si>
  <si>
    <t>Lee, M (corresponding author), Univ Massachusetts, Dept Hospitality &amp; Tourism Management, Amherst, MA 01003 USA.</t>
  </si>
  <si>
    <t>minwoolee@som.umass.edu</t>
  </si>
  <si>
    <t>Lee, Minwoo/G-4035-2014</t>
  </si>
  <si>
    <t>Lee, Minwoo/0000-0002-4939-2936; Jeong, Miyoung/0000-0001-9008-0996</t>
  </si>
  <si>
    <t>0959-6119</t>
  </si>
  <si>
    <t>1757-1049</t>
  </si>
  <si>
    <t>INT J CONTEMP HOSP M</t>
  </si>
  <si>
    <t>Int. J. Contemp. Hosp. Manag.</t>
  </si>
  <si>
    <t>10.1108/IJCHM-10-2015-0626</t>
  </si>
  <si>
    <t>EQ5IC</t>
  </si>
  <si>
    <t>WOS:000398115300007</t>
  </si>
  <si>
    <t>Pandey, A; Tripathi, S</t>
  </si>
  <si>
    <t>Pandey, Arpita; Tripathi, Sanjeev</t>
  </si>
  <si>
    <t>To go or to let it go: A regulatory focus perspective on Bundle Consumption</t>
  </si>
  <si>
    <t>JOURNAL OF SERVICE RESEARCH</t>
  </si>
  <si>
    <t>bundle consumption; regulatory focus; information processing; construal level; field experiment; text mining</t>
  </si>
  <si>
    <t>PREVENTION; PROMOTION; FIT; DECISION; SUCCESS</t>
  </si>
  <si>
    <t>Despite the widespread reliance on service bundles across industries (examples include theater season-tickets, vacation packages, and annual sports passes), the impact of consumer-specific factors on the post-purchase consumptions of such bundles has received limited academic attention. Drawing on regulatory focus theory, we show that a consumer's regulatory orientation influences the consumption of service bundles, and that the impacts are mediated by construal level. Using six studies (including a field study and a quasi-field experiment using Twitter data) we illustrate that prevention-focused individuals demonstrate concrete construal and are better able to resolve the ambiguity in allocating costs and benefits to individual bundle components, leading to higher consumption. By examining the role of a consumer's regulatory orientation, our work advances the theoretical understanding of consumer behavior in response to the bundling of services. We make an important methodological contribution by demonstrating how text-mining can be innovatively utilized to analyze consumer posts on Twitter to infer regulatory focus and understand service bundle consumption. Our studies provide practical guidance to managers seeking to infer (using publicly available Twitter data and consumer-provided inputs during purchase) and prime (using advertisements and nudges) regulatory focus to understand/influence service consumption.</t>
  </si>
  <si>
    <t>[Pandey, Arpita] Indian Inst Management Bangalore, Bengaluru, India; [Tripathi, Sanjeev] Indian Inst Management, C106,Prabandh Shikhar,Rau Pithampur Rd, Indore 453556, Madhya Pradesh, India</t>
  </si>
  <si>
    <t>Indian Institute of Management (IIM System); Indian Institute of Management Bangalore; Indian Institute of Management (IIM System); Indian Institute of Management Indore</t>
  </si>
  <si>
    <t>Tripathi, S (corresponding author), Indian Inst Management, C106,Prabandh Shikhar,Rau Pithampur Rd, Indore 453556, Madhya Pradesh, India.</t>
  </si>
  <si>
    <t>sanjeevt@iimidr.ac.in</t>
  </si>
  <si>
    <t>Tripathi, Sanjeev/0000-0003-1507-5761</t>
  </si>
  <si>
    <t>1094-6705</t>
  </si>
  <si>
    <t>1552-7379</t>
  </si>
  <si>
    <t>J SERV RES-US</t>
  </si>
  <si>
    <t>J. Serv. Res.</t>
  </si>
  <si>
    <t>10.1177/10946705211067101</t>
  </si>
  <si>
    <t>8C9JH</t>
  </si>
  <si>
    <t>WOS:000765276400001</t>
  </si>
  <si>
    <t>Lugmayr, A; Grueblbauer, J</t>
  </si>
  <si>
    <t>Lugmayr, Artur; Grueblbauer, Johanna</t>
  </si>
  <si>
    <t>Review of information systems research for media industry-recent advances, challenges, and introduction of information systems research in the media industry</t>
  </si>
  <si>
    <t>Media industry; Media business; Broadcasting; Social media; Print industry; Information technology</t>
  </si>
  <si>
    <t>Global media reports clearly show a tremendous increase in spending on Information Technology (IT) and Information Systems (IS) in the media sector. Two main trends are currently visible. First, as stated in McKinsey &amp; Company's Global Media Report, consumers continuously shift from spending on traditional media products towards rapidly-increasing spending on digital services and media products-consumer patterns have rapidly changed. Second, as stated in Gartner's reports about the media industry, spending on IT services in the media industry increases gradually, and as a whole, themedia industry is the third-largest spender on IT, after banking/ finance and manufacturing. Third, as reported by both authors in their works, several facets of the media industry have undergone extreme changes, including business models, declining revenue, content models, management, economics and public funding. The aim of this study is to investigate research work related to IS in the media industry, in particular in the management and economic areas. To conduct this study, we investigated a large corpus of studies that have been contributed to IS research within the Association for Information Systems (AIS) within the past decades. We utilised advanced text mining methods to identify contributions and thematic areas. Our results clearly indicate that there is a significant downward trend of research works dealing with media industry aspects. This trend was a surprise to us, as it contradicts the emergence of new digital technologies which became key drivers in the media industry after 2009. We conclude this article by giving research directions, illustrating the opportunities and importance of investigating media industries within the context of IS, and introducing the research field of Information Systems in the eMedia Industry.</t>
  </si>
  <si>
    <t>[Lugmayr, Artur] Curtin Univ, Perth, WA, Australia; [Grueblbauer, Johanna] St Poelten Univ Appl Sci, St Polten, Austria</t>
  </si>
  <si>
    <t>Curtin University</t>
  </si>
  <si>
    <t>Lugmayr, A (corresponding author), Curtin Univ, Perth, WA, Australia.</t>
  </si>
  <si>
    <t>artur.lugmayr@curtin.edu.au</t>
  </si>
  <si>
    <t>Lugmayr, Artur/AAY-7738-2020</t>
  </si>
  <si>
    <t>10.1007/s12525-016-0239-9</t>
  </si>
  <si>
    <t>EP3VZ</t>
  </si>
  <si>
    <t>WOS:000397311100005</t>
  </si>
  <si>
    <t>Rabassa, V; Sabri, O; Spaletta, C</t>
  </si>
  <si>
    <t>Rabassa, Valerie; Sabri, Ouidade; Spaletta, Claire</t>
  </si>
  <si>
    <t>Conversational commerce: Do biased choices offered by voice assistants' technology constrain its appropriation?</t>
  </si>
  <si>
    <t>TECHNOLOGICAL FORECASTING AND SOCIAL CHANGE</t>
  </si>
  <si>
    <t>Conversational commerce; Voice assistant; Algorithm; Technology appropriation; Biased choice</t>
  </si>
  <si>
    <t>INFORMATION-TECHNOLOGY; USER ACCEPTANCE; EXPERIENCE; MOTIVATION; DIFFUSION; FRAMEWORK; SEARCH; PERSPECTIVE; EMPOWERMENT; ENGAGEMENT</t>
  </si>
  <si>
    <t>Conversational commerce, which relies on algorithm-based voice assistants, is still an emerging technology that changes how consumers shop. Based on natural language processing (NLP) technology and artificial intelligence (AI) systems, consumers can now purchase products and services online by making use of voice assistants such as Google Assistant, Amazon's Alexa, and Apple's Siri. However, the economic literature and international organization reports have identified some problems with conversational commerce technology that may constrain its appropriation, demonstrating that algorithm-based voice assistants can lead to exclusionary conduct and nonoptimal choices for consumers. In that context, the research explores consumers' perception of conversational commerce and product choice offers delivered by voice assistants. The paper considers how algorithmbased voice assistants can lead to perceived biased offers and identifies different strategies that could be implemented by consumers to overcome the negative side effects of algorithms and support their appropriation. The study has strong implications for policymakers and conversational commerce platform owners.</t>
  </si>
  <si>
    <t>[Rabassa, Valerie] Leonard da Vinci Business Sch, Paris La Def, 12 Ave Leonard da Vinci, F-92400 Courbevoie, France; [Sabri, Ouidade; Spaletta, Claire] IAE Paris, Sorbonne Business Sch, GREGOR, 12 Rue Jean de Baif, F-75013 Paris, France</t>
  </si>
  <si>
    <t>Rabassa, V (corresponding author), Leonard da Vinci Business Sch, Paris La Def, 12 Ave Leonard da Vinci, F-92400 Courbevoie, France.;Sabri, O (corresponding author), IAE Paris, Sorbonne Business Sch, GREGOR, 12 Rue Jean de Baif, F-75013 Paris, France.</t>
  </si>
  <si>
    <t>valerie@rabassa.fr; sabri.iae@univ-paris1.fr</t>
  </si>
  <si>
    <t>0040-1625</t>
  </si>
  <si>
    <t>1873-5509</t>
  </si>
  <si>
    <t>TECHNOL FORECAST SOC</t>
  </si>
  <si>
    <t>Technol. Forecast. Soc. Chang.</t>
  </si>
  <si>
    <t>10.1016/j.techfore.2021.121292</t>
  </si>
  <si>
    <t>Business; Regional &amp; Urban Planning</t>
  </si>
  <si>
    <t>Business &amp; Economics; Public Administration</t>
  </si>
  <si>
    <t>WM9EV</t>
  </si>
  <si>
    <t>WOS:000711381400002</t>
  </si>
  <si>
    <t>Loureiro, SMC; Guerreiro, J; Eloy, S; Langaro, D; Panchapakesan, P</t>
  </si>
  <si>
    <t>Correia Loureiro, Sandra Maria; Guerreiro, Joao; Eloy, Sara; Langaro, Daniela; Panchapakesan, Padma</t>
  </si>
  <si>
    <t>Understanding the use of Virtual Reality in Marketing: A text mining-based review</t>
  </si>
  <si>
    <t>Virtual Reality; Simulated realities; Marketing; Text mining</t>
  </si>
  <si>
    <t>SOCIAL MEDIA; INFORMATION-TECHNOLOGY; ATMOSPHERIC QUALITIES; AUGMENTED REALITY; STORE ATMOSPHERE; MODERATING ROLE; PRODUCT DESIGN; CO-CREATION; EXPERIENCE; INTERACTIVITY</t>
  </si>
  <si>
    <t>The current study intends to highlight the most relevant studies in simulated realities with special attention to VR and marketing, showing how studies have evolved over time and discussing the findings. A text-mining approach using a Bayesian statistical topic model called latent Dirichlet allocation is employed to conduct a comprehensive analysis of 150 articles from 115 journals, all indexed in Web of Science. The findings reveal seven relevant topics, as well as the number of articles published over time, the authors most cited in VR papers and the leading journals in each topic. The article also provides theoretical and practical implications and suggestions for further research.</t>
  </si>
  <si>
    <t>[Correia Loureiro, Sandra Maria; Guerreiro, Joao; Langaro, Daniela] Inst Univ Lisboa ISCTE IUL, Mkt Operat &amp; Gen Management Dept, Ave Forcas Armadas, P-1649026 Lisbon, Portugal; [Correia Loureiro, Sandra Maria; Guerreiro, Joao; Langaro, Daniela] Business Res Unit BRU UNIDE, Ave Forcas Armadas, P-1649026 Lisbon, Portugal; [Eloy, Sara] Inst Univ Lisboa ISCTE IUL, Dept Architecture &amp; Urban Planning, Sch Technol &amp; Architecture, Ave Forcas Armadas, P-1649026 Lisbon, Portugal; [Eloy, Sara] Technol &amp; Architecture Res Ctr ISTAR IUL, Ave Forcas Armadas, P-1649026 Lisbon, Portugal; [Panchapakesan, Padma] Taylors Univ Lakeside, Sch Hospitality Tourism &amp; Events, Fac Social Sci &amp; Leisure Management, Selangor, Malaysia</t>
  </si>
  <si>
    <t>Instituto Universitario de Lisboa; Instituto Universitario de Lisboa; Instituto Universitario de Lisboa; Instituto Universitario de Lisboa; Taylor's University</t>
  </si>
  <si>
    <t>Loureiro, SMC (corresponding author), Inst Univ Lisboa ISCTE IUL, Mkt Operat &amp; Gen Management Dept, Ave Forcas Armadas, P-1649026 Lisbon, Portugal.;Loureiro, SMC (corresponding author), Business Res Unit BRU UNIDE, Ave Forcas Armadas, P-1649026 Lisbon, Portugal.</t>
  </si>
  <si>
    <t>sandramloureiro@netcabo.pt; joao.guerreiro@iscte-iul.pt; sara.eloy@iscte-iul.pt</t>
  </si>
  <si>
    <t>Guerreiro, João/O-1283-2019; Loureiro, Sandra Maria Correia/B-5180-2010; Eloy, Sara/K-6031-2019; Langaro, Daniela/C-4317-2015; Eloy, Sara/I-4866-2012</t>
  </si>
  <si>
    <t>Guerreiro, João/0000-0001-6286-1437; Loureiro, Sandra Maria Correia/0000-0001-8362-4430; Langaro, Daniela/0000-0002-1246-0720; Panchapakesan, Padma/0000-0001-5574-4566; Eloy, Sara/0000-0003-2980-3686</t>
  </si>
  <si>
    <t>Fundacao para a Ciencia e a Tecnologia [UID/GES/00315/2013]</t>
  </si>
  <si>
    <t>This research is supported by a grant from the Fundacao para a Ciencia e a Tecnologia (UID/GES/00315/2013).</t>
  </si>
  <si>
    <t>10.1016/j.jbusres.2018.10.055</t>
  </si>
  <si>
    <t>IC4NL</t>
  </si>
  <si>
    <t>WOS:000470942500047</t>
  </si>
  <si>
    <t>Hu, F; Trivedi, R; Teichert, T</t>
  </si>
  <si>
    <t>Hu, Feng; Trivedi, Rohit; Teichert, Thorsten</t>
  </si>
  <si>
    <t>Using hotel reviews to assess hotel frontline employees' roles and performances</t>
  </si>
  <si>
    <t>User-generated content; Front office; Service personnel; Text mining; Importance-performance analysis</t>
  </si>
  <si>
    <t>SERVICE ENCOUNTERS; SATISFACTION; CUSTOMERS; QUALITY; MODEL; HOSPITALITY; TECHNOLOGY; INNOVATION; PRODUCT</t>
  </si>
  <si>
    <t>Purpose This study aims to explore how marketers can use text mining to analyze actors, actions and performance effects of service encounters by building on the role theory. This enables hotel managers to use introduced methodology to measure and monitor frontline employees' role behavior and optimize their service. Design/methodology/approach The authors' approach links text mining and importance-performance analysis with role theory's conceptual foundations taking into account the hotel industry's specifics to assess the effect of frontline hotel employees' actions on consumer satisfaction and to derive specific management implications for the hospitality sector. Findings This study identifies different actors involved in hotel frontline interactions revealing distinct role behaviors that characterize consumers' perspectives of service encounters with different role types associated with front-office employees. This research also identifies role performance related to role behavior to improve service encounters. Practical implications Customer-employee interactions can be assessed by user-generated contents (UGC). Performance evaluations relate to frontline employee roles associated with distinct role scripts, whereby different hotel segments require tailored role designs. Insights of this study can be used for service optimization, market positioning as well as for improving human resource management practices in the hotel industry. Originality/value This study contributes to the service encounter literature by applying role theory in the text mining of UGC to assess frontline employees as actors and the effects of their actions on service quality delivery.</t>
  </si>
  <si>
    <t>[Hu, Feng] Zhejiang Normal Univ, Coll Econ &amp; Management, Jinhua, Zhejiang, Peoples R China; [Hu, Feng; Trivedi, Rohit; Teichert, Thorsten] Univ Hamburg, Chair Mkt &amp; Innovat, Hamburg, Germany; [Trivedi, Rohit] Univ Bradford, Fac Management &amp; Law, Bradford, W Yorkshire, England</t>
  </si>
  <si>
    <t>Zhejiang Normal University; University of Hamburg; University of Bradford</t>
  </si>
  <si>
    <t>Hu, F (corresponding author), Zhejiang Normal Univ, Coll Econ &amp; Management, Jinhua, Zhejiang, Peoples R China.;Hu, F (corresponding author), Univ Hamburg, Chair Mkt &amp; Innovat, Hamburg, Germany.</t>
  </si>
  <si>
    <t>hufeng@zjnu.cn</t>
  </si>
  <si>
    <t>Science Foundation of Ministry of Education, PR China [21YJA630031]</t>
  </si>
  <si>
    <t>Science Foundation of Ministry of Education, PR China(Ministry of Education, China)</t>
  </si>
  <si>
    <t>This research is supported in part by Science Foundation of Ministry of Education, PR China (Grant No. 21YJA630031).</t>
  </si>
  <si>
    <t>APR 4</t>
  </si>
  <si>
    <t>10.1108/IJCHM-04-2021-0491</t>
  </si>
  <si>
    <t>0F8YZ</t>
  </si>
  <si>
    <t>WOS:000759633500001</t>
  </si>
  <si>
    <t>Leone, RP; Robinson, LM; Bragge, J; Somervuori, O</t>
  </si>
  <si>
    <t>Leone, Robert P.; Robinson, Larry M.; Bragge, Johanna; Somervuori, Outi</t>
  </si>
  <si>
    <t>A citation and profiling analysis of pricing research from 1980 to 2010</t>
  </si>
  <si>
    <t>Price; Pricing; Pricing strategy; Citation analysis; Marketing journal impact; Research profiling</t>
  </si>
  <si>
    <t>MARKETING JOURNALS; SPECIAL-ISSUE; BIBLIOMETRICS; PRODUCTIVITY</t>
  </si>
  <si>
    <t>This paper identifies the body of literature related to pricing that exists in 20 marketing or business journals contained in the Social Sciences Citation Index (SSCI) between January 1980 and June 2010. During this 30-year period we found over 38,800 citations were made to 1945 articles that dealt with some aspect of pricing. Based on these data, we identify individual articles, authors, and institutions that have contributed most to this body of literature. We study what subjects within the domain of pricing have received most attention, and how these topics have evolved in three year periods. In addition, we use text mining and information visualization tools to identify networks of researchers who collaborate on pricing articles. We identify institutional affiliations within the networks and highlight most frequent subjects of articles written by researchers in each network. Our results show pricing is an important topic in the marketing domain. (C) 2011 Elsevier Inc. All rights reserved.</t>
  </si>
  <si>
    <t>[Leone, Robert P.] Texas Christian Univ, MJ Neeley Sch Business, Ft Worth, TX 76129 USA; [Robinson, Larry M.] Ohio State Univ, Fisher Coll Business, Columbus, OH 43210 USA; [Bragge, Johanna; Somervuori, Outi] Aalto Univ, Sch Econ, Helsinki 00100, Finland</t>
  </si>
  <si>
    <t>Texas Christian University; University System of Ohio; Ohio State University; Aalto University</t>
  </si>
  <si>
    <t>Leone, RP (corresponding author), Texas Christian Univ, MJ Neeley Sch Business, 375 Dan Rogers Hall,TCU Box 298530, Ft Worth, TX 76129 USA.</t>
  </si>
  <si>
    <t>r.leone@tcu.edu; robinson_878@cob.osu.edu; johanna.bragge@aalto.fi; outi.somervuori@aalto.fi</t>
  </si>
  <si>
    <t>Bragge, Johanna/C-6227-2008</t>
  </si>
  <si>
    <t>Bragge, Johanna/0000-0002-4084-3104</t>
  </si>
  <si>
    <t>10.1016/j.jbusres.2011.04.007</t>
  </si>
  <si>
    <t>966OM</t>
  </si>
  <si>
    <t>WOS:000305847300017</t>
  </si>
  <si>
    <t>Jun, S; Park, S; Jang, D</t>
  </si>
  <si>
    <t>Jun, Sunghae; Park, Sangsung; Jang, Dongsik</t>
  </si>
  <si>
    <t>A Technology Valuation Model Using Quantitative Patent Analysis: A Case Study of Technology Transfer in Big Data Marketing</t>
  </si>
  <si>
    <t>EMERGING MARKETS FINANCE AND TRADE</t>
  </si>
  <si>
    <t>Symposium on Emerging Stock and Bond Markets - Performance and Volatility / Financial-Econometrics-Group Conference</t>
  </si>
  <si>
    <t>NOV 28-29, 2013</t>
  </si>
  <si>
    <t>Deakin Univ, Ctr Financial Econometr, Geelong, AUSTRALIA</t>
  </si>
  <si>
    <t>Financial Econometr Grp</t>
  </si>
  <si>
    <t>Deakin Univ, Ctr Financial Econometr</t>
  </si>
  <si>
    <t>big data marketing; patent analysis; social network analysis; technology clustering; technology transfer; technology valuation</t>
  </si>
  <si>
    <t>SOCIAL NETWORK ANALYSIS</t>
  </si>
  <si>
    <t>Technology valuation (TV) is an important issue in management of technology (MOT). We use TV results for technology transfer, research and development (R&amp;D) planning, and technology marketing. Diverse TV studies have been applied to MOT. Most of them were dependent on domain experts' knowledge, so their TV results could be subjective and unstable. To solve this problem, we propose an objective TV model using quantitative patent analysis. In this article, we consider text mining, social network analysis, technology clustering, and descriptive statistics in constructing our TV model. To verify the performance of our model, we perform a case study of technology transfer in big data marketing.</t>
  </si>
  <si>
    <t>[Jun, Sunghae] Cheongju Univ, Dept Stat, Cheongju, South Korea; [Park, Sangsung] Korea Univ, Dept Intellectual Property, Seoul 136701, South Korea; [Jang, Dongsik] Korea Univ, Sch Ind Management Engn, Seoul 136701, South Korea</t>
  </si>
  <si>
    <t>Cheongju University; Korea University; Korea University</t>
  </si>
  <si>
    <t>Park, S (corresponding author), Korea Univ, Dept Intellectual Property, 145 Anam Ro, Seoul 136701, South Korea.</t>
  </si>
  <si>
    <t>hanyul@korea.ac.kr</t>
  </si>
  <si>
    <t>4 PARK SQUARE, MILTON PARK, ABINGDON OX14 4RN, OXFORDSHIRE, ENGLAND</t>
  </si>
  <si>
    <t>1540-496X</t>
  </si>
  <si>
    <t>1558-0938</t>
  </si>
  <si>
    <t>EMERG MARK FINANC TR</t>
  </si>
  <si>
    <t>Emerg. Mark. Financ. Trade</t>
  </si>
  <si>
    <t>10.1080/1540496X.2015.1061387</t>
  </si>
  <si>
    <t>Business; Economics; International Relations</t>
  </si>
  <si>
    <t>Business &amp; Economics; International Relations</t>
  </si>
  <si>
    <t>CQ4RH</t>
  </si>
  <si>
    <t>WOS:000360591800010</t>
  </si>
  <si>
    <t>Yoon, SH; Kim, HW</t>
  </si>
  <si>
    <t>Yoon, Sang-Hyeak; Kim, Hee-Woong</t>
  </si>
  <si>
    <t>What content and context factors lead to selection of a video clip? The heuristic route perspective</t>
  </si>
  <si>
    <t>Mobile context; Video clip; Sentiment analysis; Heuristic route; Order effect; Bandwagon effect; Machine learning; Text mining</t>
  </si>
  <si>
    <t>SOCIAL-INFLUENCE; ONLINE VIDEOS; POPULARITY; ATTENTION; VALENCE; AROUSAL; MODEL; PERFORMANCE; BANDWAGON; EMOTION</t>
  </si>
  <si>
    <t>The popularity of watching video clips on mobile devices is rapidly increasing. The providers of such video services have developed mobile capabilities and have worked to increase their video selections. This study investigates the effect of the factors of preview content (the thumbnail and the title) and context (the popularity cue and the serial position) on video selection in a mobile context by adopting dual process theory and the model of attention capture and transfer. We performed a logit transformation on the dependent variable, and then applied generalized least squares (GLS) regression to analyze 206,221 logs and 323 thumbnails and titles of a video service. Image and text- mining techniques were used to ascertain the level of valence and response to content. This study has four main findings: (1) low valence but high arousal of a thumbnail has a positive effect on video selection; (2) high valence and arousal by a title has a positive effect on video selection; (3) the upper serial position of a video clip and a high popularity cue have a positive effect on the video selection; and (4) the length and recency of a video have a positive effect on the video selection. The results of this study suggest practical implications to help the programming and marketing strategy of the video service as well.</t>
  </si>
  <si>
    <t>[Yoon, Sang-Hyeak; Kim, Hee-Woong] Yonsei Univ, Grad Sch Informat, 50 Yonsei Ro, Seoul 03722, South Korea</t>
  </si>
  <si>
    <t>Yonsei University</t>
  </si>
  <si>
    <t>Kim, HW (corresponding author), Yonsei Univ, Grad Sch Informat, 50 Yonsei Ro, Seoul 03722, South Korea.</t>
  </si>
  <si>
    <t>scottyoon@yonsei.ac.kr; kimhw@yonsei.ac.kr</t>
  </si>
  <si>
    <t>Yoon, Sang-Hyeak/AAS-7231-2021</t>
  </si>
  <si>
    <t>Yoon, Sang-Hyeak/0000-0002-0182-6109</t>
  </si>
  <si>
    <t>10.1007/s10660-019-09355-6</t>
  </si>
  <si>
    <t>IS9PE</t>
  </si>
  <si>
    <t>WOS:000482479500007</t>
  </si>
  <si>
    <t>Li, XW; Xu, M; Zeng, WJ; Tse, YK; Chan, HK</t>
  </si>
  <si>
    <t>Li, Xinwei; Xu, Mao; Zeng, Wenjuan; Tse, Ying Kei; Chan, Hing Kai</t>
  </si>
  <si>
    <t>Exploring customer concerns on service quality under the COVID-19 crisis: A social media analytics study from the retail industry</t>
  </si>
  <si>
    <t>Text -mining; Crisis management; Supermarket retailers; Social media crisis communication; Service quality</t>
  </si>
  <si>
    <t>COMMUNICATION; CHALLENGES; MANAGEMENT; DISASTERS; DYNAMICS; SCALE</t>
  </si>
  <si>
    <t>The COVID-19 pandemic has triggered a set of government policies and supermarket regulations, which affects customers' grocery shopping behaviours. However, the specific impact of COVID-19 on retailers at the customer end has not yet been addressed. Using text-mining techniques (i.e., sentiment analysis, topic modelling) and time series analysis, we analyse 161,921 tweets from leading UK supermarkets during the first COVID-19 lockdown. The results show the causes of sentiment change in each time series and how customer perception changes ac-cording to supermarkets' response actions. Drawing on the social media crisis communication framework and Situational Crisis Communication theory, this study investigates whether responding to a crisis helps retail managers better understand their customers. The results uncover that customers experiencing certain social media interactions may evaluate attributes differently, resulting in varying levels of customer information collection, and grocery companies could benefit from engaging in social media crisis communication with cus-tomers. As new variants of COVID-19 keep appearing, emerging managerial problems put businesses at risk for the next crisis. Based on the results of text-mining analysis of consumer perceptions, this study identifies emerging topics in the UK grocery sector in the context of COVID-19 crisis communication and develop the sub -dimensions of service quality assessment into four categories: physical aspects, reliability, personal interaction, and policies. This study reveals how supermarkets could use social media data to better analyse customer behaviour during a pandemic and sustain competitiveness by upgrading their crisis strategies and service pro-vision. It also sheds light on how future researchers can leverage the power of social media data with multiple text-mining methodologies.</t>
  </si>
  <si>
    <t>[Li, Xinwei; Xu, Mao; Tse, Ying Kei] Cardiff Univ, Cardiff Business Sch, Aberconway Bldg, Colum Dr, Cardiff CF10 3EU, Wales; [Zeng, Wenjuan] Univ Essex, Essex Business Sch, Southend Campus, Gateway Bldg, Southend On Sea SS1 1LW, England; [Chan, Hing Kai] Univ Nottingham, Business Sch China, 199 Taikang East Rd, Ningbo 315100, Peoples R China; [Chan, Hing Kai] Nottingham Ningbo China Beacons Excellence Res &amp; I, Ningbo, Peoples R China</t>
  </si>
  <si>
    <t>Cardiff University; University of Essex; University of Nottingham Ningbo China</t>
  </si>
  <si>
    <t>Zeng, WJ (corresponding author), Univ Essex, Essex Business Sch, Southend Campus, Gateway Bldg, Southend On Sea SS1 1LW, England.</t>
  </si>
  <si>
    <t>lix154@cardiff.ac.uk; xum28@cardiff.ac.uk; wz22123@essex.ac.uk; tsem1@cardiff.ac.uk; hingkai.chan@nottingham.edu.cn</t>
  </si>
  <si>
    <t>Li, Xinwei/0000-0002-4796-1189; Xu, Mao (Maggie)/0000-0003-3455-7731</t>
  </si>
  <si>
    <t>10.1016/j.jretconser.2022.103157</t>
  </si>
  <si>
    <t>Green Accepted, hybrid</t>
  </si>
  <si>
    <t>WOS:000882144500007</t>
  </si>
  <si>
    <t>Young, L; Wilkinson, I; Smith, A</t>
  </si>
  <si>
    <t>Young, Louise; Wilkinson, Ian; Smith, Andrew</t>
  </si>
  <si>
    <t>A Scientometric Analysis of Publications in the Journal of Business-to-Business Marketing 1993-2014</t>
  </si>
  <si>
    <t>JOURNAL OF BUSINESS-TO-BUSINESS MARKETING</t>
  </si>
  <si>
    <t>evolution of business concepts; scientometric; Leximancer; relationships; Journal of Business-to-Business Marketing; business marketing; text analysis</t>
  </si>
  <si>
    <t>CITATION COUNTS; NETWORKS</t>
  </si>
  <si>
    <t>Purpose: To conduct a scientometric analysis of the contents of the Journal of Business-to-Business Marketing from 1993 to 2014. Methodology/approach: The authors use the Leximancer computer-aided text analysis program, which reliably and reproducibly identifies the main concepts embedded in the text-their frequency and patterns of co-occurrence-based on the ways words move together in the text. They also identify key concepts that differentiate among the networks of concepts occurring in each of the first four five-year periods of the Journal's history. Findings: There are four common underlying conceptual themes: relationships, market, study, and business. But the focal mix of concepts has changed over time, from a narrower initial focus on distribution and power and conflict, to a greater focus on firm business marketing strategy and pedagogy, to a focus on networks, the Internet and more collaborative relations, to a focus, in the most recent period, on psycho-social network concepts, such as trust and commitment. Research implications: The results complement and provide a baseline for evaluating and comparing researcher-conducted literature reviews of business marketing and JBBM's contributions. The methodology provides possibilities for further analysis as it can be extended to analyze the business marketing and wider marketing literature more generally and how it has evolved. Practical implications: Leximancer provides a comprehensive, accessible summary of the content of the JBBM and demonstrates its value as a text analysis program. Originality/value/contribution: The authors are among the first to use this novel computer text analysis program to conduct a scientometric analyses of journal content. It provides a template for conducting studies of other journals and text.</t>
  </si>
  <si>
    <t>[Young, Louise] Univ Western Sydney, Sydney, NSW, Australia; [Young, Louise; Wilkinson, Ian] Univ Southern Denmark, Kolding, Denmark; [Wilkinson, Ian] Univ Sydney, Sydney, NSW 2006, Australia; [Smith, Andrew] Univ Queensland, Brisbane, Qld, Australia; [Smith, Andrew] Leximancer, Brisbane, Qld, Australia</t>
  </si>
  <si>
    <t>Western Sydney University; University of Southern Denmark; University of Sydney; University of Queensland</t>
  </si>
  <si>
    <t>Wilkinson, I (corresponding author), Univ Sydney, Sch Business, Discipline Mkt, Sydney, NSW 2006, Australia.</t>
  </si>
  <si>
    <t>wilkinson@sydney.edu.au</t>
  </si>
  <si>
    <t>Wilkinson, Ian/0000-0003-3832-3326</t>
  </si>
  <si>
    <t>1051-712X</t>
  </si>
  <si>
    <t>1547-0628</t>
  </si>
  <si>
    <t>J BUS-BUS MARK</t>
  </si>
  <si>
    <t>J. Bus.-Bus. Mark.</t>
  </si>
  <si>
    <t>APR 3</t>
  </si>
  <si>
    <t>1-2</t>
  </si>
  <si>
    <t>10.1080/1051712X.2015.1021591</t>
  </si>
  <si>
    <t>CK5GO</t>
  </si>
  <si>
    <t>WOS:000356251400003</t>
  </si>
  <si>
    <t>Atkinson, L</t>
  </si>
  <si>
    <t>Atkinson, Lucy</t>
  </si>
  <si>
    <t>Green moms: the social construction of a green mothering identity via environmental advertising appeals</t>
  </si>
  <si>
    <t>advertising; feminism; environmentalism; green motherhood; gender; discourse analysis</t>
  </si>
  <si>
    <t>CRITICAL DISCOURSE ANALYSIS; WOMENS MAGAZINES; PREGNANT-WOMEN; CONSUMPTION; MOTHERHOOD; LIFE; IDEOLOGIES; CONSUMER; RISK; FIT</t>
  </si>
  <si>
    <t>This study explores emerging green motherhood discourse as framed by green advertising in pregnancy magazines. It takes an interdisciplinary perspective, drawing on reflexive modernization, feminist studies and critical discourse analysis and reveals how advertising represents a double bind for mothers. Textual analysis of a sample of green ads in FitPregnancy indicates ads present expectant mothers with solutions for resolving the challenges of parenting in an age of widespread environmental threat, while simultaneously reinforcing those same lifestyle choices that are thought to exacerbate the environmental crisis. This green mothering discourse appears to empower mothers and offer solutions to the risks of pregnancy, while in reality relegating the mother to the sidelines, rendering her nearly invisible while the child is promoted as the primary subject and brands as sources of expert knowledge. These results speak to the broader ways in which seemingly neutral texts work to frame and reinforce certain ideologies.</t>
  </si>
  <si>
    <t>Univ Texas Austin, Moody Coll Commun, Dept Advertising &amp; Publ Relat, Austin, TX 78712 USA</t>
  </si>
  <si>
    <t>Atkinson, L (corresponding author), Univ Texas Austin, Moody Coll Commun, Dept Advertising &amp; Publ Relat, Austin, TX 78712 USA.</t>
  </si>
  <si>
    <t>lucyatkinson@austin.utexas.edu</t>
  </si>
  <si>
    <t>NOV 2</t>
  </si>
  <si>
    <t>10.1080/10253866.2013.879817</t>
  </si>
  <si>
    <t>AR5WE</t>
  </si>
  <si>
    <t>WOS:000343651100003</t>
  </si>
  <si>
    <t>Peng, MJ; Qin, YW; Tang, CX; Deng, XM</t>
  </si>
  <si>
    <t>Peng, Minjing; Qin, Yanwei; Tang, Chenxin; Deng, Xiangming</t>
  </si>
  <si>
    <t>An E-Commerce Customer Service Robot Based on Intention Recognition Model</t>
  </si>
  <si>
    <t>JOURNAL OF ELECTRONIC COMMERCE IN ORGANIZATIONS</t>
  </si>
  <si>
    <t>AIML; Customer Service; Intention Graphs; Intention Recognizing; Online Robot</t>
  </si>
  <si>
    <t>There are three defects for providing human-labor customer services in e-commerce operations: high costs of human labors, staff turnover, and lack of service quality assurance. Breakthroughs made in artificial intelligence, natural language processing and related fields make it possible to replace human labors with online artificial intelligent robots to provide the e-commerce customer service, which indicates the online robots are the future of e-commerce customer services. However, most of the current robots are designed to reply with knowledge matching the key words in question sentences from the database, rarely involving in research on customer intentions that are key factors influencing user experience and online sales. In this research, an intention recognizing model was proposed to obtain intentions of e-commerce consumers by computing the strengths of candidate intention nodes in the intention graph, which was used to describe relations between different goods that could be the intentional targets of e-commerce consumers. The proposed robot was constructed based on the intention recognizing model to identify intentions of consumers and use the located knowledge combined with the AIML based sentence composition template to produce the response sentences for consumers. At last, the proposed robot was evaluated using F3 and ROUGE metrics by comparing with a keyword matching robot. And the evaluation results proved the validity of the proposed robot.</t>
  </si>
  <si>
    <t>[Peng, Minjing; Tang, Chenxin] Wuyi Univ, Sch Econ &amp; Management, Jiangmen, Guangdong, Peoples R China; [Qin, Yanwei; Deng, Xiangming] Wuyi Univ, Res Ctr E Commerce Augmented Real Guangdong Prov, Jiangmen, Guangdong, Peoples R China</t>
  </si>
  <si>
    <t>Wuyi University; Wuyi University</t>
  </si>
  <si>
    <t>Peng, MJ (corresponding author), Wuyi Univ, Sch Econ &amp; Management, Jiangmen, Guangdong, Peoples R China.</t>
  </si>
  <si>
    <t>National Science Foundation of China [71203162]; Science and Technology Planning Project of Guangdong Province, China [2014B040404072]; Natural Science Foundation of Guangdong Province, China [2015A030313642]; Innovation Project of Wuyi University [2014KTSCX128]</t>
  </si>
  <si>
    <t>National Science Foundation of China(National Natural Science Foundation of China (NSFC)); Science and Technology Planning Project of Guangdong Province, China; Natural Science Foundation of Guangdong Province, China(National Natural Science Foundation of Guangdong Province); Innovation Project of Wuyi University</t>
  </si>
  <si>
    <t>This research is supported by National Science Foundation of China (Grant No. 71203162), Science and Technology Planning Project of Guangdong Province, China (Grant No. 2014B040404072), Natural Science Foundation of Guangdong Province, China (Grant No. 2015A030313642) and Innovation Project of Wuyi University (Grant No. 2014KTSCX128).</t>
  </si>
  <si>
    <t>1539-2937</t>
  </si>
  <si>
    <t>1539-2929</t>
  </si>
  <si>
    <t>J ELECTRON COMMER OR</t>
  </si>
  <si>
    <t>J. Electron. Commer. Organ.</t>
  </si>
  <si>
    <t>10.4018/JECO.2016010104</t>
  </si>
  <si>
    <t>FF1EL</t>
  </si>
  <si>
    <t>WOS:000408642500005</t>
  </si>
  <si>
    <t>Wilches-Velasquez, DM</t>
  </si>
  <si>
    <t>Wilches-Velasquez, Diana-Marcela</t>
  </si>
  <si>
    <t>Co-creation contributions for innovation and customer relations</t>
  </si>
  <si>
    <t>SUMA DE NEGOCIOS</t>
  </si>
  <si>
    <t>Spanish</t>
  </si>
  <si>
    <t>Co-creation; innovation; customer; innovation management; customer relations; organization</t>
  </si>
  <si>
    <t>SERVICE INNOVATION; SCIENCE; MANAGEMENT; INTERNET; LIGHT; MODEL</t>
  </si>
  <si>
    <t>The paper aims to identify how the contribution of co-creation to the innovation process in organizations and customer relations has been analyzed in academic literature between 2004 and 2018. For this we use data and text mining in publications indexed in Scopus that refer to co-creation, innovation and clients in the mentioned period. We use tools such as VOSviewer and Bibliometrix, finding that other areas associated with co-creation, innovation and customers correspond to: sales, business, commitment, product development and competitive advantage. In Latin America, Mexico stands out for its production and citations. It was possible to discover emerging topics that still need development in the study such as marketing, supply chain, co-creation and service innovation</t>
  </si>
  <si>
    <t>[Wilches-Velasquez, Diana-Marcela] Univ Cent, Gest Org, Bogota, Colombia</t>
  </si>
  <si>
    <t>Wilches-Velasquez, DM (corresponding author), Univ Cent, Gest Org, Bogota, Colombia.</t>
  </si>
  <si>
    <t>dwilchesv@ucentral.edu.co</t>
  </si>
  <si>
    <t>Wilches Velasquez, Diana Marcela/G-2156-2019</t>
  </si>
  <si>
    <t>Wilches Velasquez, Diana Marcela/0000-0002-0934-3443</t>
  </si>
  <si>
    <t>FUNDACION UNIV KONRAD LORENZ</t>
  </si>
  <si>
    <t>BOGOTA</t>
  </si>
  <si>
    <t>CARRERA 9 BIS NO 62-43, BOGOTA, 00000, COLOMBIA</t>
  </si>
  <si>
    <t>2215-910X</t>
  </si>
  <si>
    <t>2027-5692</t>
  </si>
  <si>
    <t>SUMA NEG</t>
  </si>
  <si>
    <t>Suma Neg.</t>
  </si>
  <si>
    <t>JAN-JUN</t>
  </si>
  <si>
    <t>10.14349/sumneg/2020.V11.N24.A9</t>
  </si>
  <si>
    <t>QC4LO</t>
  </si>
  <si>
    <t>WOS:000614804600009</t>
  </si>
  <si>
    <t>Situmeang, F; de Boer, N; Zhan, A</t>
  </si>
  <si>
    <t>attributes; customer satisfaction; latent Dirichlet allocation; online reviews; text analysis</t>
  </si>
  <si>
    <t>WORD-OF-MOUTH; CUSTOMER SATISFACTION; CONSUMER REVIEWS; MEDIATING ROLE; BIG DATA; SALES; SENTIMENTS; RATINGS; IMPACT; MARKET</t>
  </si>
  <si>
    <t>[Situmeang, Frederik; de Boer, Nelleke] Amsterdam Univ Appl Sci, Wibautstr 3b, NL-1091 GH Amsterdam, Netherlands; [Zhan, Austin] Univ Amsterdam, Amsterdam, Netherlands</t>
  </si>
  <si>
    <t>de Boer, N (corresponding author), Amsterdam Univ Appl Sci, Wibautstr 3b, NL-1091 GH Amsterdam, Netherlands.</t>
  </si>
  <si>
    <t>n.de.boer@hr.nl</t>
  </si>
  <si>
    <t>10.1177/1470785319863619</t>
  </si>
  <si>
    <t>LA3AJ</t>
  </si>
  <si>
    <t>WOS:000480320500001</t>
  </si>
  <si>
    <t>Mariani, MM; Perez-Vega, R; Wirtz, J</t>
  </si>
  <si>
    <t>Mariani, Marcello M.; Perez-Vega, Rodrigo; Wirtz, Jochen</t>
  </si>
  <si>
    <t>AI in marketing, consumer research and psychology: A systematic literature review and research agenda</t>
  </si>
  <si>
    <t>artificial intelligence; AI; big data and robots; decision making and cognitive processes; machine learning and linguistic analysis; memory and computational logic; neural networks; social media content analytics; social media and text mining; systematic literature review; technology acceptance and adoption</t>
  </si>
  <si>
    <t>BEHAVIORAL REASONING THEORY; ARTIFICIAL-INTELLIGENCE AI; BIG DATA ANALYTICS; SOCIAL MEDIA; CUSTOMER ENGAGEMENT; NEURAL-NETWORKS; SERVICE ROBOTS; PERCEIVED EASE; HEALTH-CARE; ACCEPTANCE</t>
  </si>
  <si>
    <t>This study is the first to provide an integrated view on the body of knowledge of artificial intelligence (AI) published in the marketing, consumer research, and psychology literature. By leveraging a systematic literature review using a data-driven approach and quantitative methodology (including bibliographic coupling), this study provides an overview of the emerging intellectual structure of AI research in the three bodies of literature examined. We identified eight topical clusters: (1) memory and computational logic; (2) decision making and cognitive processes; (3) neural networks; (4) machine learning and linguistic analysis; (5) social media and text mining; (6) social media content analytics; (7) technology acceptance and adoption; and (8) big data and robots. Furthermore, we identified a total of 412 theoretical lenses used in these studies with the most frequently used being: (1) the unified theory of acceptance and use of technology; (2) game theory; (3) theory of mind; (4) theory of planned behavior; (5) computational theories; (6) behavioral reasoning theory; (7) decision theories; and (8) evolutionary theory. Finally, we propose a research agenda to advance the scholarly debate on AI in the three literatures studied with an emphasis on cross-fertilization of theories used across fields, and neglected research topics.</t>
  </si>
  <si>
    <t>[Mariani, Marcello M.] Univ Reading, Henley Business Sch, Reading RG6 6UD, Berks, England; [Mariani, Marcello M.] Univ Bologna, Bologna, Italy; [Perez-Vega, Rodrigo] Univ Kent, Kent Business Sch, Medway Campus, Chatham, Kent, England; [Wirtz, Jochen] Natl Univ Singapore, NUS Business Sch, Singapore, Singapore</t>
  </si>
  <si>
    <t>University of Reading; University of Bologna; University of Kent; National University of Singapore</t>
  </si>
  <si>
    <t>Mariani, MM (corresponding author), Univ Reading, Henley Business Sch, Reading RG6 6UD, Berks, England.</t>
  </si>
  <si>
    <t>m.mariani@henley.ac.uk</t>
  </si>
  <si>
    <t>Mariani, Marcello/ABW-5250-2022</t>
  </si>
  <si>
    <t>Mariani, Marcello/0000-0002-7916-2576; Perez Vega, Rodrigo/0000-0003-1619-317X</t>
  </si>
  <si>
    <t>10.1002/mar.21619</t>
  </si>
  <si>
    <t>ZM3LH</t>
  </si>
  <si>
    <t>WOS:000728451400001</t>
  </si>
  <si>
    <t>Previte, J; Robertson, N</t>
  </si>
  <si>
    <t>Previte, Josephine; Robertson, Nichola</t>
  </si>
  <si>
    <t>A continuum of transformative service exchange: insights for service and social marketers</t>
  </si>
  <si>
    <t>Qualitative research; Social marketing; Transformative; Service ecosystem</t>
  </si>
  <si>
    <t>CANCER RESOURCE CENTERS; VULNERABLE CONSUMERS; DOMINANT LOGIC; CO-CREATION; DESIGN; FRAMEWORK; SYSTEMS; MODEL; INTEGRATION; INNOVATION</t>
  </si>
  <si>
    <t>Purpose Transformative service research (TSR) and social marketing share a common goal, which is to institute social change that improves individual and societal well-being. However, the mechanism via which such improved well-being results or so-called transformation occurs, is not well understood. The purpose of this paper is to examine the claims made in the TSR literature to identity the themes and scholarly meaning of transformative service exchange; ascertain the mechanisms used in service contexts to realize transformation, including to motivate long-term, sustainable societal change; and develop a transformative service exchange continuum to guide research and managerial approaches that aim to create uplifting social change. The authors recommend their continuum as a framework to inform how social marketing and service scholars design service solutions to address wicked social problems. Design/methodology/approach This paper presents a qualitative study where Leximancer, a text-mining tool, is used to visualize the structure of themes and concepts that define transformative service exchanges as explained and applied in the literature. Additionally, a profiling analysis of transformation as it is discussed in the TSR literature is used to identify the mechanisms that service marketers have developed to establish current theorization of service thinking for social change. These qualitative phases of analysis then inform the development of the transformative service exchange continuum. Findings A scoping review identified 51 articles across 12 journals, based on this study's selection criteria for identifying transformative service exchanges. The Leximancer analysis systematically and efficiently guided the authors' interpretation of the large data corpus and was used in the identification of service themes. The use of text-mining software afforded a detailed lens to enrich the authors' interpretation and clarification of six high-level concepts for inclusion on a transformative service exchange continuum. Originality/value This paper aims to unpack the meaning of transformative service exchange by highlighting the mechanism(s) used by researchers when designing social change outcomes. It contributes to TSR via the development of the continuum across micro, meso and macro levels. The temporal nature of transformative service exchanges is also elucidated. This continuum integrates current TSR studies and can guide future service studies in the TSR and social marketing domains.</t>
  </si>
  <si>
    <t>[Previte, Josephine] Univ Queensland, UQ Business Sch, Brisbane, Qld, Australia; [Robertson, Nichola] Deakin Univ, Melbourne, Vic, Australia</t>
  </si>
  <si>
    <t>University of Queensland; Deakin University</t>
  </si>
  <si>
    <t>Previte, J (corresponding author), Univ Queensland, UQ Business Sch, Brisbane, Qld, Australia.</t>
  </si>
  <si>
    <t>j.previte@business.uq.edu.au</t>
  </si>
  <si>
    <t>DEC 3</t>
  </si>
  <si>
    <t>10.1108/JSM-10-2018-0280</t>
  </si>
  <si>
    <t>JO7SZ</t>
  </si>
  <si>
    <t>WOS:000497776700006</t>
  </si>
  <si>
    <t>Yang, YX; Ma, YA; Wu, G; Guo, Q; Xu, HB</t>
  </si>
  <si>
    <t>Yang, Yixing; Ma, Yanan; Wu, Gang; Guo, Qian; Xu, Hongbo</t>
  </si>
  <si>
    <t>The Insights, Comfort Effect and Bottleneck Breakthrough of E-Commerce Temperature during the COVID-19 Pandemic</t>
  </si>
  <si>
    <t>COVID-19; e-commerce temperature; LDA; quasi-natural experiments; online reviews</t>
  </si>
  <si>
    <t>SERVICE QUALITY; EMPATHY; IMPACT; SATISFACTION; LOGISTICS</t>
  </si>
  <si>
    <t>The impact of the COVID-19 pandemic on fresh food e-commerce has led to a loss of consumers, and e-commerce temperature is seen as an important means of alleviating consumer dissatisfaction and retaining consumers. To explore the connotation and effect of it, and to break through possible comfort bottlenecks, we used online reviews of the Jingdong fresh food platform as research data, mined the characteristics of e-commerce temperature with the help of the LDA topic model, and evaluated the mechanism of e-commerce temperature on consumer satisfaction during the pandemic by using quasi-natural experiments and Word2vec-based sentiment analysis. The results show that e-commerce temperature has five connotations of logistics commitment, humanized delivery, health pledge, pandemic perseverance, and consumer care, which can effectively mitigate the loss of consumer satisfaction. Interestingly, we found that the e-commerce temperature has a limited comfort effect. Additionally, further social network analysis shows that the bottleneck is mainly due to the consumers' psychological gaps when comparing the usual e-commerce services, and cretailers can repair them through financial compensation and spiritual solace. The study explores e-commerce service quality at different pandemic stages with the help of text mining techniques, enriches the theory of e-commerce research, and alleviates the Hawthorne bias in traditional empirical studies. This study also provides a reference for e-retailers to improve service quality and respond to emergencies in a changing post-pandemic era.</t>
  </si>
  <si>
    <t>[Yang, Yixing; Wu, Gang; Guo, Qian] Southwest Jiaotong Univ, Sch Transportat &amp; Logist, Chengdu 611756, Peoples R China; [Ma, Yanan; Wu, Gang] Southwest Jiaotong Univ, TangShan Inst, Tangshan 063000, Peoples R China; [Xu, Hongbo] Cent South Univ Forestry &amp; Technol, Sch Logist &amp; Transportat, Changsha 410004, Peoples R China</t>
  </si>
  <si>
    <t>Southwest Jiaotong University; Southwest Jiaotong University; Central South University of Forestry &amp; Technology</t>
  </si>
  <si>
    <t>Ma, YA (corresponding author), Southwest Jiaotong Univ, TangShan Inst, Tangshan 063000, Peoples R China.</t>
  </si>
  <si>
    <t>ma_ya_nan@163.com</t>
  </si>
  <si>
    <t>Yang, yixing/0000-0001-9162-4908</t>
  </si>
  <si>
    <t>10.3390/jtaer17040075</t>
  </si>
  <si>
    <t>7D9WR</t>
  </si>
  <si>
    <t>WOS:000900832700001</t>
  </si>
  <si>
    <t>Saran, SM; Shokouhyar, S</t>
  </si>
  <si>
    <t>Saran, Saman Mirzaie; Shokouhyar, Sajjad</t>
  </si>
  <si>
    <t>Crossing the chasm between green corporate image and green corporate identity: a text mining, social media-based case study on automakers</t>
  </si>
  <si>
    <t>JOURNAL OF STRATEGIC MARKETING</t>
  </si>
  <si>
    <t>Green image; green identity; social media; text mining; automakers</t>
  </si>
  <si>
    <t>As people become more aware of environmental problems, companies experience considerable pressure from customers to go green. Such a pressure has consequently driven companies to project environmental friendliness as an important part of their identity and create a green image of themselves in customers' minds. From this situation arises the issue of separation between the identity that companies want to convey to the public and the image perceived by public. To address this issue, this study analyzes the world 10 top automakers in 2018 regarding their greenness. The tweets posted from the official Twitter accounts of the study companies and those users' tweets posted about them are subjected to text mining. The results for 70% of companies show that there is a significant gap between their claims about their own green identity and how the public perceives such an image. Co-occurrence analysis of words contained in the tweets clarify that the company's approach to address green issues always differs from that of an individual. Finally, this study demonstrated an innovative application of the most commonly used text mining techniques to compare company and consumer perceptions. The findings can also serve as a basis for creating a dictionary of green issues.</t>
  </si>
  <si>
    <t>[Saran, Saman Mirzaie; Shokouhyar, Sajjad] Shahid Beheshti Univ, Fac Management &amp; Accounting, Dept Ind &amp; Informat Management, Tehran, Iran</t>
  </si>
  <si>
    <t>Shahid Beheshti University</t>
  </si>
  <si>
    <t>Shokouhyar, S (corresponding author), Shahid Beheshti Univ, Fac Management &amp; Accounting, Dept Ind &amp; Informat Management, Tehran, Iran.</t>
  </si>
  <si>
    <t>S_shokouhyar@sbu.ac.ir</t>
  </si>
  <si>
    <t>0965-254X</t>
  </si>
  <si>
    <t>1466-4488</t>
  </si>
  <si>
    <t>J STRATEG MARK</t>
  </si>
  <si>
    <t>J. Strateg. Mark.</t>
  </si>
  <si>
    <t>10.1080/0965254X.2021.1874490</t>
  </si>
  <si>
    <t>9K3PK</t>
  </si>
  <si>
    <t>WOS:000618296900001</t>
  </si>
  <si>
    <t>Chakraborty, A; Shankar, R; Marsden, JR</t>
  </si>
  <si>
    <t>Chakraborty, Aindrila; Shankar, Ramesh; Marsden, James R.</t>
  </si>
  <si>
    <t>An empirical analysis of consumer-unfriendly E-commerce terms of service agreements: Implications for customer satisfaction and business survival</t>
  </si>
  <si>
    <t>ELECTRONIC COMMERCE RESEARCH AND APPLICATIONS</t>
  </si>
  <si>
    <t>Terms of Service (ToS); ToS strictness; User agreements; Text mining; Business; Customer satisfaction; Firm survival; Mediation analysis</t>
  </si>
  <si>
    <t>WORD-OF-MOUTH; STANDARD-FORM CONTRACTS; FIRM PERFORMANCE; INFORMATION; REVIEWS; IMPACT; NETWORKS; MATTER</t>
  </si>
  <si>
    <t>E-business user agreements are seldom read but almost always accepted by users. We present an in-depth analysis of e-user agreement issues using textual data on Terms of Service (ToS) agreements from more than 250 e-commerce companies. Our text mining analysis identifies several terms in ToS that pose significant risks to consumers. We propose a prototype text mining process that scans ToS agreements on behalf of consumers and assigns an overall severity score based on the potential threats. We supplement this with Latent Semantic Analysis (LSA) for topic modeling in our corpus of ToS documents, to identify user-unfriendly clauses from ToS documents. Next, our empirical analysis reveals three novel findings. First, the presence of hostile clauses in ToS negatively impacts customer satisfaction but is associated with higher survival of firms. Second, firms with higher market share prefer less consumer-unfriendly terms in their ToS. Third, the impact of market share on firm performance is partially mediated by ToS severity. Overall, this study analyzes the linkage between market share, ToS severity, and firm performance, and provides significant insights on ToS policies to IS scholars, legal experts, and firms.</t>
  </si>
  <si>
    <t>[Chakraborty, Aindrila] Texas State Univ, McCoy Coll Business, CIS &amp; Quantitat Methods Dept, San Marcos, TX USA; [Shankar, Ramesh] Univ Connecticut, Sch Business, Unit 1041, Room 369,2100 Hillside Rd, Storrs, CT 06269 USA; [Marsden, James R.] Univ Connecticut, Sch Business, Dept Operat &amp; Informat Management, Board Trustees Distinguished Prof Emeritus, Storrs, CT USA</t>
  </si>
  <si>
    <t>Texas State University System; Texas State University San Marcos; University of Connecticut; University of Connecticut</t>
  </si>
  <si>
    <t>Shankar, R (corresponding author), Univ Connecticut, Sch Business, Unit 1041, Room 369,2100 Hillside Rd, Storrs, CT 06269 USA.</t>
  </si>
  <si>
    <t>a_c1368@txstate.edu; Ramesh.shankar@uconn.edu; james.marsden@uconn.edu</t>
  </si>
  <si>
    <t>1567-4223</t>
  </si>
  <si>
    <t>1873-7846</t>
  </si>
  <si>
    <t>ELECTRON COMMER R A</t>
  </si>
  <si>
    <t>Electron. Commer. Res. Appl.</t>
  </si>
  <si>
    <t>10.1016/j.elerap.2022.101151</t>
  </si>
  <si>
    <t>Business; Computer Science, Information Systems; Computer Science, Interdisciplinary Applications</t>
  </si>
  <si>
    <t>1J1VJ</t>
  </si>
  <si>
    <t>WOS:000797711600001</t>
  </si>
  <si>
    <t>Sun, MH; Zhao, JC</t>
  </si>
  <si>
    <t>Sun, Menghan; Zhao, Jichang</t>
  </si>
  <si>
    <t>Behavioral Patterns beyond Posting Negative Reviews Online: An Empirical View</t>
  </si>
  <si>
    <t>online reviews; user levels; negative reviews; consumer behavior; e-commerce</t>
  </si>
  <si>
    <t>WORD-OF-MOUTH; E-COMMERCE; SOCIAL MEDIA; ENGAGEMENT; IMPACT; INFORMATION; CONSUMERS; DYNAMICS; ATTITUDE; TAOBAO</t>
  </si>
  <si>
    <t>Negative reviews on e-commerce platforms are posted to express complaints about unsatisfactory experiences. However, the exact knowledge of how online consumers post negative reviews still remains unknown. To obtain an in-depth understanding of how users post negative reviews on e-commerce platforms, a big-data-driven approach with text mining and sentiment analysis is employed to detect various behavioral patterns. Specifically, using 1,450,000 negative reviews from JD.com, the largest B2C platform in China, the posting patterns from temporal, perceptional and emotional perspectives are comprehensively explored. A massive amount of consumers across four sectors in recent 10 years is split into five levels to reveal group discrepancies at a fine resolution. The circadian rhythms of negative reviewing after making purchases are found, suggesting stable habits in online consumption. Consumers from lower levels express more intensive negative feelings, especially on product pricing and customer service attitudes, while those from upper levels demonstrate a stronger momentum of negative emotion. The value of negative reviews from higher-level consumers is thus unexpectedly highlighted because of less emotionalization and less biased narration, while the longer-lasting characteristic of these consumers' negative responses also stresses the need for more attention from sellers. Our results shed light on implementing distinguished proactive strategies in different buyer groups to help mitigate the negative impact due to negative reviews.</t>
  </si>
  <si>
    <t>[Sun, Menghan; Zhao, Jichang] Beihang Univ, Sch Econ &amp; Management, Beijing 100191, Peoples R China</t>
  </si>
  <si>
    <t>Beihang University</t>
  </si>
  <si>
    <t>Zhao, JC (corresponding author), Beihang Univ, Sch Econ &amp; Management, Beijing 100191, Peoples R China.</t>
  </si>
  <si>
    <t>jichang@buaa.edu.cn</t>
  </si>
  <si>
    <t>Zhao, Jichang/0000-0002-5319-8060</t>
  </si>
  <si>
    <t>10.3390/jtaer17030049</t>
  </si>
  <si>
    <t>4R7XO</t>
  </si>
  <si>
    <t>WOS:000856972100001</t>
  </si>
  <si>
    <t>Sun, SL; Jiang, FX; Feng, GZ; Wang, SY; Zhang, CY</t>
  </si>
  <si>
    <t>Sun, Shaolong; Jiang, Fuxin; Feng, Gengzhong; Wang, Shouyang; Zhang, Chengyuan</t>
  </si>
  <si>
    <t>The impact of COVID-19 on hotel customer satisfaction: evidence from Beijing and Shanghai in China</t>
  </si>
  <si>
    <t>COVID-19; Hotel reviews; Text mining; Word2vec; Cluster analysis; Topic model</t>
  </si>
  <si>
    <t>ONLINE REVIEWS; BIG DATA; TOURISM; RATINGS; HELPFULNESS; SEGMENTATION; PERSPECTIVE; ANALYTICS; PRICE</t>
  </si>
  <si>
    <t>Purpose The purpose of this study is to provide better service to hotel customers during the COVID-19 era. Specifically, this study focuses on understanding the changes in hotel customer satisfaction during the epidemic and formulating effective marketing strategies to satisfy and attract guests. Design/methodology/approach As the first victim of the COVID-19 virus, China's hotel industry has been profoundly affected and customer satisfaction and needs have also changed. Taking 105,635 hotel reviews obtained from Tripadvisor.com in Beijing and Shanghai as samples, this study explores the changes in consumer satisfaction by using text-mining methods. Findings The results suggest that there are significant differences in overall ratings, spatial distribution and ratings of different traveller types before and after the epidemic. Generally, customers have higher tolerance and are more inclined to give higher ratings and pay more attention to hotel prevention and control measures to reduce health risks after the COVID-19. Research limitations/implications This paper proves the changes in customer satisfaction before and after the COVID-19 at the theoretical level and reveals the changes in customer attention through the topic model and provides a basis for guiding hotel managers to reduce the impact of the COVID-19 crisis. Practical implications Empirical findings would provide useful insights into tourism management and improve hotel service quality during the COVID-19 epidemic era. Originality/value This research explores the hotel customer satisfaction in the field of hotel management before COVID-19 and after COVID-19, by using text mining to analyse mandarin online reviews. The results of this study will suggest that the hotel industry should continuously adjust its products and services based on the effective information obtained from customer reviews, so as to realize the activation and revitalization of the hotel industry in the epidemic era.</t>
  </si>
  <si>
    <t>[Sun, Shaolong; Feng, Gengzhong] Xi An Jiao Tong Univ, Sch Management, Xian, Peoples R China; [Jiang, Fuxin; Wang, Shouyang] Chinese Acad Sci, Acad Math &amp; Syst Sci, Beijing, Peoples R China; [Jiang, Fuxin; Wang, Shouyang] Univ Chinese Acad Sci, Sch Econ &amp; Management, Beijing, Peoples R China; [Zhang, Chengyuan] Xidian Univ, Sch Econ &amp; Management, Xian, Peoples R China</t>
  </si>
  <si>
    <t>Xi'an Jiaotong University; Chinese Academy of Sciences; Academy of Mathematics &amp; System Sciences, CAS; Chinese Academy of Sciences; University of Chinese Academy of Sciences, CAS; Xidian University</t>
  </si>
  <si>
    <t>Zhang, CY (corresponding author), Xidian Univ, Sch Econ &amp; Management, Xian, Peoples R China.</t>
  </si>
  <si>
    <t>cyzhang@buaa.edu.cn</t>
  </si>
  <si>
    <t>jiang, fuxin/0000-0002-7522-061X; Zhang, Chengyuan/0000-0001-8704-8856</t>
  </si>
  <si>
    <t>National Natural Science Foundation of China [72101197, 71988101]; Fundamental Research Funds for the Central Universities [SK2021007]</t>
  </si>
  <si>
    <t>National Natural Science Foundation of China(National Natural Science Foundation of China (NSFC)); Fundamental Research Funds for the Central Universities(Fundamental Research Funds for the Central Universities)</t>
  </si>
  <si>
    <t>This research work was partly supported by the National Natural Science Foundation of China under Grants No. 72101197 and No. 71988101, and by the Fundamental Research Funds for the Central Universities under Grant No. SK2021007.</t>
  </si>
  <si>
    <t>JAN 3</t>
  </si>
  <si>
    <t>10.1108/IJCHM-03-2021-0356</t>
  </si>
  <si>
    <t>XW9ZV</t>
  </si>
  <si>
    <t>WOS:000720935400001</t>
  </si>
  <si>
    <t>Vadakkepatt, GG; Arora, S; Martin, KD; Paharia, N</t>
  </si>
  <si>
    <t>Vadakkepatt, Gautham G.; Arora, Sandeep; Martin, Kelly D.; Paharia, Neeru</t>
  </si>
  <si>
    <t>Shedding Light on the Dark Side of Firm Lobbying: A Customer Perspective</t>
  </si>
  <si>
    <t>attention-based view; corporate political activity; customer satisfaction; lobbying; regulation</t>
  </si>
  <si>
    <t>ATTENTION-BASED VIEW; STOCK RETURNS; SATISFACTION; INNOVATION; ACQUISITION; PERFORMANCE; REGULATIONS; ANTECEDENTS; INDUSTRIES; MEDIATOR</t>
  </si>
  <si>
    <t>Firms spend a substantial amount on lobbying-devoting financial resources on teams of lobbyists to further their interests among regulatory stakeholders. Previous research acknowledges that lobbying positively influences firm value, but no studies have examined the parallel effects for customers. Building on the attention-based view (ABV) of the firm, the authors examine these customer effects. Findings reveal that lobbying negatively affects customer satisfaction such that the positive relationship between lobbying and firm value is mediated by losses to customer satisfaction. These findings suggest a dark side of lobbying and challenge current thinking. However, several customer-focused moderators attenuate the negative effect of lobbying on customer satisfaction, predicted by ABV theory, including the chief executive officer's background (marketing vs. other functional area) and the firm's strategic use of resources (advertising spending, R&amp;D spending, or lobbying for product market issues). These moderators ensure consistency between lobbying and customer priorities or direct firm attention toward customers even while firms continue to lobby. Finally, the authors verify that lobbying reduces the firm's customer focus by measuring this focus directly using text analysis of firm communications with shareholders. Collectively, the research provides managerial implications for navigating both lobbying activities and customer priorities, and public policy implications for lobbying disclosure requirements.</t>
  </si>
  <si>
    <t>[Vadakkepatt, Gautham G.] George Mason Univ, Mkt, Fairfax, VA 22030 USA; [Arora, Sandeep] Univ Manitoba, Mkt, Asper Sch Business, Winnipeg, MB, Canada; [Arora, Sandeep] Univ Manitoba, Asper Sch Business, Winnipeg, MB, Canada; [Martin, Kelly D.] Colorado State Univ, Coll Business, Ft Collins, CO 80523 USA; [Paharia, Neeru] Georgetown Univ, McDonough Sch Business, Washington, DC 20057 USA</t>
  </si>
  <si>
    <t>George Mason University; University of Manitoba; University of Manitoba; Colorado State University; Georgetown University</t>
  </si>
  <si>
    <t>Vadakkepatt, GG (corresponding author), George Mason Univ, Mkt, Fairfax, VA 22030 USA.</t>
  </si>
  <si>
    <t>gvadakke@gmu.edu; sandeep.arora@umanitoba.ca; kelly.martin@colostate.edu; np412@georgetown.edu</t>
  </si>
  <si>
    <t>Social Sciences and Humanities Research Council</t>
  </si>
  <si>
    <t>Social Sciences and Humanities Research Council(Social Sciences and Humanities Research Council of Canada (SSHRC))</t>
  </si>
  <si>
    <t>The author(s) disclosed receipt of the following financial support for the research, authorship, and/or publication of this article: The second author is supported in part by funding from the Social Sciences and Humanities Research Council.</t>
  </si>
  <si>
    <t>10.1177/00222429211023040</t>
  </si>
  <si>
    <t>WOS:000710660400001</t>
  </si>
  <si>
    <t>Bilro, RG; Loureiro, SMC; Guerreiro, J</t>
  </si>
  <si>
    <t>Bilro, Ricardo Godinho; Correia Loureiro, Sandra Maria; Guerreiro, Joao</t>
  </si>
  <si>
    <t>Exploring online customer engagement with hospitality products and its relationship with involvement, emotional states, experience and brand advocacy</t>
  </si>
  <si>
    <t>Customer engagement; online experience; involvement; brand advocacy; emotional states; user-generated content</t>
  </si>
  <si>
    <t>WORD-OF-MOUTH; CORPORATE SOCIAL-RESPONSIBILITY; CONSUMER-GENERATED MEDIA; SENTIMENT ANALYSIS; SCALE DEVELOPMENT; REVIEWS; ANALYTICS; BEHAVIOR; HOTELS; RECOMMENDATIONS</t>
  </si>
  <si>
    <t>Opinions published online about a given experience are known to influence consumers' decisions. However, such opinions reflect different degrees of engagement which may affect the decisions in different forms. The aim of this study is to analyze the dimensions of online customer engagement and associated concepts (involvement, emotional states, experience and brand advocacy) in customers' online reviews through text-mining and sentiment analysis trends. The current study focuses on Yelp.com comments and includes a random sample of 15,000 unique reviews of restaurants, hotels and nightlife entertainment in eleven cities in the USA. A customer engagement dictionary is created, based on previously validated scales and extended using WordNet 2.1. The research findings reveal a high impact of the engagement cognitive processing dimension and hedonic experience on customers' review endeavor. Results further indicate that customers seem to be more engaged in positively advocating a company/brand than the contrary. Companies that listen to such feedback may be more able to align with consumers' expectations and, therefore, have a better competitive advantage in the market.</t>
  </si>
  <si>
    <t>[Bilro, Ricardo Godinho; Correia Loureiro, Sandra Maria; Guerreiro, Joao] Inst Univ Lisboa ISCTE IUL, BRU IUL, Lisbon, Portugal; [Bilro, Ricardo Godinho] IPAM, Lisbon, Portugal; [Bilro, Ricardo Godinho] Univ Europeia, Lisbon, Portugal; [Correia Loureiro, Sandra Maria] SOCIUS, Lisbon, Portugal; [Guerreiro, Joao] ISTAR IUL, Lisbon, Portugal</t>
  </si>
  <si>
    <t>Instituto Universitario de Lisboa; Universidade Europeia; Instituto Universitario de Lisboa</t>
  </si>
  <si>
    <t>Bilro, RG (corresponding author), Inst Univ Lisboa ISCTE IUL, BRU IUL, Lisbon, Portugal.;Bilro, RG (corresponding author), IPAM, Lisbon, Portugal.;Bilro, RG (corresponding author), Univ Europeia, Lisbon, Portugal.;Bilro, RG (corresponding author), Av Forcas Armadas, P-1649026 Lisbon, Portugal.</t>
  </si>
  <si>
    <t>bilro.ricardo@gmail.com</t>
  </si>
  <si>
    <t>Bilro, Ricardo Godinho/J-5658-2018; Guerreiro, João/O-1283-2019; hajibabaei, hossein/HFB-7762-2022; Loureiro, Sandra Maria Correia/B-5180-2010</t>
  </si>
  <si>
    <t>Bilro, Ricardo Godinho/0000-0002-4159-2474; Guerreiro, João/0000-0001-6286-1437; Loureiro, Sandra Maria Correia/0000-0001-8362-4430</t>
  </si>
  <si>
    <t>This work was supported by the Fundacao para a Ciencia e a Tecnologia (UID/GES/00315/2013).</t>
  </si>
  <si>
    <t>FEB 17</t>
  </si>
  <si>
    <t>10.1080/19368623.2018.1506375</t>
  </si>
  <si>
    <t>HI5IO</t>
  </si>
  <si>
    <t>WOS:000456485900001</t>
  </si>
  <si>
    <t>Lang, CM; Xia, SB; Liu, CL</t>
  </si>
  <si>
    <t>Lang, Chunmin; Xia, Sibei; Liu, Chuanlan</t>
  </si>
  <si>
    <t>Style and fit customization: a web content mining approach to evaluate online mass customization experiences</t>
  </si>
  <si>
    <t>JOURNAL OF FASHION MARKETING AND MANAGEMENT</t>
  </si>
  <si>
    <t>Mass customization; Fit customization; Style customization; Web content mining; The theory of customer value; Real experiences</t>
  </si>
  <si>
    <t>PERCEIVED VALUE; CUSTOMER VALUE; ACCEPTANCE; ATTITUDES; CONSUMERS; PRICE</t>
  </si>
  <si>
    <t>Purpose This study intends to examine consumers' fashion customization experiences through a web content mining (WCM) approach. By applying the theory of customer value, this study explores the benefits and costs of two levels of mass customization (MC) to identify the values derived from style (i.e. shoe customization) and fit customization experiences (i.e. apparel customization) and further to compare the dominating dimensions of value derived across style and fit customization. Design/methodology/approach A WCM approach was applied. Also, two case studies were conducted with one focusing on style customization and the other focusing on fit customization. The brand Vans was selected to examine style customization in study 1. The brand Sumissura was selected to examine fit customization in study 2. Consumers' comments on customization experiences from these two brands were collected through social networks, respectively. After data cleaning, 394 reviews for Vans and 510 reviews for Sumissura were included in the final data analysis. Co-occurrence plots, feature extraction and grouping were used for the data analysis. Findings The emotional value was found to be the major benefit for style customization, while the functional value was indicated as the major benefit for fit customization, followed by ease of use and emotional value. In addition, three major themes of costs, including unsatisfied service, disappointing product performance and financial risk, were revealed by excavating and evaluating consumers' feedback of their actual clothing customization experiences with Sumissura. Originality/value This study initiates the effort to use web mining, specifically, the WCM approach to thoroughly investigate the benefits and costs of MC through real consumers' feedback of two different types of fashion products. The analysis of this study also reflects the levels of customization: style and fit. It provides an in-depth text analysis of online MC consumers' feedback through the use of feature extraction analysis and word co-occurrence networks.</t>
  </si>
  <si>
    <t>[Lang, Chunmin; Xia, Sibei; Liu, Chuanlan] Louisiana State Univ, Dept Text Apparel Design &amp; Merchandising, Baton Rouge, LA 70803 USA</t>
  </si>
  <si>
    <t>Louisiana State University System; Louisiana State University</t>
  </si>
  <si>
    <t>Lang, CM (corresponding author), Louisiana State Univ, Dept Text Apparel Design &amp; Merchandising, Baton Rouge, LA 70803 USA.</t>
  </si>
  <si>
    <t>cmlang@lsu.edu</t>
  </si>
  <si>
    <t>Liu, Chuanlan/0000-0002-8800-3112</t>
  </si>
  <si>
    <t>1361-2026</t>
  </si>
  <si>
    <t>1758-7433</t>
  </si>
  <si>
    <t>J FASH MARK MANAG</t>
  </si>
  <si>
    <t>J. Fash. Mark. Manag.</t>
  </si>
  <si>
    <t>APR 9</t>
  </si>
  <si>
    <t>10.1108/JFMM-12-2019-0288</t>
  </si>
  <si>
    <t>JUL 2020</t>
  </si>
  <si>
    <t>RM1GO</t>
  </si>
  <si>
    <t>WOS:000556944100001</t>
  </si>
  <si>
    <t>Ruggeri, A; Samoggia, A</t>
  </si>
  <si>
    <t>Ruggeri, Arianna; Samoggia, Antonella</t>
  </si>
  <si>
    <t>Twitter communication of agri-food chain actors on palm oil environmental, socio-economic, and health sustainability</t>
  </si>
  <si>
    <t>SOCIAL MEDIA; CONSUMERS; PRODUCTS; RISK; INFORMATION; EXPLORATION; ENGAGEMENT; STRATEGIES; MOTIVATION; BEHAVIORS</t>
  </si>
  <si>
    <t>Palm oil is the world most used vegetable oil and its use as food ingredient is criticized for creating environmental, socio-economic, and health sustainability challenges. In Europe, the debate on palm oil sustainability has strongly intensified in the latest years involving several agri-food chain actors and stakeholders. The research explores Twitter content of key palm oil agri-food chain actors on palm oil multiple sustainability dimensions, focusing on the European context. First, the study applied a qualitative deductive approach to categorize palm oil sustainability dimensions. Second, among the 463 palm oil agri-food chain companies identified, 198 have an active Twitter account, including world palm oil producers, European bakery and chocolate manufacturers, and European food retailers. One hundred seven accounts tweet on palm oil. Third, a term frequency analysis and an in-depth textual analysis of tweets on palm oil sustainability issues were carried out. Results confirms that all agri-food chain actors communicate about palm oil sustainability, adopting a multi-dimension outlook. Palm oil producers actively use Twitter to promote palm oil sustainability, whereas European manufacturers and retailers limit their activity to react to consumers' questioning. Whereas palm oil producers tend to shape consumers' opinion over the benefits and the opportunities of palm oil use, food manufacturers and retailers adopt a purely informative approach on sustainability certification, avoiding the engagement over sensitive issues. Health is the most mentioned sustainability dimension. The study also confirms differences between agri-food chain actors' marketing communication. Finally, the study confirms that, in the case of sensitive issues, as for palm oil sustainability, Twitter is as able to drive companies' communication.</t>
  </si>
  <si>
    <t>[Ruggeri, Arianna; Samoggia, Antonella] Univ Bologna, Dept Agr Sci, Alma Mater Studiorum, Viale Fanin 50, I-40127 Bologna, Italy</t>
  </si>
  <si>
    <t>University of Bologna</t>
  </si>
  <si>
    <t>Ruggeri, A (corresponding author), Univ Bologna, Dept Agr Sci, Alma Mater Studiorum, Viale Fanin 50, I-40127 Bologna, Italy.</t>
  </si>
  <si>
    <t>ariannaruggeri@hotmail.com</t>
  </si>
  <si>
    <t>ruggeri, arianna/Q-5101-2018; ruggeri, arianna/U-3285-2019; Samoggia, Antonella/AAU-1052-2020</t>
  </si>
  <si>
    <t>ruggeri, arianna/0000-0002-2078-2703; ruggeri, arianna/0000-0002-2078-2703; Samoggia, Antonella/0000-0003-3930-6173</t>
  </si>
  <si>
    <t>10.1002/cb.1699</t>
  </si>
  <si>
    <t>FT4LW</t>
  </si>
  <si>
    <t>WOS:000423127600021</t>
  </si>
  <si>
    <t>Verkijika, SF; Neneh, BN</t>
  </si>
  <si>
    <t>Verkijika, Silas Formunyuy; Neneh, Brownhilder Ngek</t>
  </si>
  <si>
    <t>Standing up for or against: A text-mining study on the recommendation of mobile payment apps</t>
  </si>
  <si>
    <t>7th International Conference on Research on National Brand and Private Label Marketing (NB and PL)</t>
  </si>
  <si>
    <t>Mobile payment; Text-mining; Positive recommendation; Negative recommendation</t>
  </si>
  <si>
    <t>TECHNOLOGY ACCEPTANCE MODEL; WORD-OF-MOUTH; QUALITY DIMENSIONS; CUSTOMER SUPPORT; PERCEIVED RISK; ADOPTION; CONVENIENCE; SERVICES; SATISFACTION; USABILITY</t>
  </si>
  <si>
    <t>Mobile payment systems offer enormous potential as alternative payment solutions. However, the diffusion of mobile payments over the years has been less than optimal despite the numerous studies that have explored the reasons for its adoption. Consequently, there is an increased interest in exploring alternative actions for promoting its diffusion, especially user recommendation of the technology. This is because positive recommendations can enormously influence the decisions of potential consumers to use the technology while negative recommendations can increase resistance to it. The few extant studies in this domain have followed the traditional survey approach with hypothetic-deductive reasoning, thus limiting an understanding of factors outside their conceptual models that could influence recommendations. To address this shortcoming, this study uses a qualitative text-mining approach that explores themes from user reviews of mobile payment applications (apps). Using 5955 reviews from 16 mobile payment apps hosted on the Google Play store, this study applied the latent Dirichlet allocation (LDA) text-mining method to extract themes from the reviews that help to explain why users provide positive or negative recommendations about mobile payment systems. A total of 13 themes (i.e. ease of use, usefulness, convenience, security, reliability, satisfaction, transaction speed, time-saving, customer support, output quality, perceived cost, usability and trust) were generated from the LDA model which provides both theoretical and practical insights for advancing mobile payments diffusion and research.</t>
  </si>
  <si>
    <t>[Verkijika, Silas Formunyuy] Sol Plaatje Univ, Dept Comp Sci &amp; Informat Technol, Kimberley, South Africa; [Neneh, Brownhilder Ngek] Univ Free State, Dept Business Management, Bloemfontein, South Africa</t>
  </si>
  <si>
    <t>University of the Free State</t>
  </si>
  <si>
    <t>Verkijika, SF (corresponding author), Sol Plaatje Univ, Dept Comp Sci &amp; Informat Technol, Kimberley, South Africa.</t>
  </si>
  <si>
    <t>vekasif@gmail.com</t>
  </si>
  <si>
    <t>10.1016/j.jretconser.2021.102743</t>
  </si>
  <si>
    <t>UR7VS</t>
  </si>
  <si>
    <t>WOS:000696952700009</t>
  </si>
  <si>
    <t>Moriuchi, E</t>
  </si>
  <si>
    <t>Moriuchi, Emi</t>
  </si>
  <si>
    <t>An empirical study on anthropomorphism and engagement with disembodied AIs and consumers' re-use behavior</t>
  </si>
  <si>
    <t>anthropomorphism; artificial intelligence; engagement; intention to re-use; realism maximization theory</t>
  </si>
  <si>
    <t>UNIFIED THEORY; INFORMATION-TECHNOLOGY; PRIVACY CONCERNS; UNDERSTANDING INFORMATION; ACTOR ENGAGEMENT; USER ACCEPTANCE; SOCIAL PRESENCE; ADOPTION; INTENTION; COMPUTER</t>
  </si>
  <si>
    <t>The integration of artificial intelligence (AI) into the human race has gradually become a norm. AI entails technology assemblages such as machine learning, natural language processing, and reasoning. The influence of AI systems has intensified in consumers' daily lives. Many consumers have interacted with the notions of AI through advertisements or having personal experiences. Many consumers are curious about the use of AI. This paper reports three studies conducted to determine whether anthropomorphism (ANTH) and engagement play a role in consumers' intention to re-use a voice assistant (VA; a machine-learning AI). The second study will determine if ANTH and engagement play a role when consumers are using the VAs for different activities (task completion vs. information gathering). In addition, in Study 2, actual re-use behavior was also tested in the model, which encouraged a stronger overall model fit. The results show that in general effort expectation (EE) has a strong positive impact on consumers' usage experience of the VA. However, between the two types of activities, EE has a stronger impact on consumers' usage experience for information-gathering activities, whereas performance expectation has a stronger impact on usage experience when consumers use the VA for task-completion purposes. The third study used internet usage experience as a moderating variable to determine the boundaries of the mediating effects in the study. The results show that the mediators yield results similar to prior studies.</t>
  </si>
  <si>
    <t>[Moriuchi, Emi] Rochester Inst Technol, E Philip Saunders Coll Business, 107 Lomb Mem Dr, Rochester, NY 14623 USA</t>
  </si>
  <si>
    <t>Rochester Institute of Technology</t>
  </si>
  <si>
    <t>Moriuchi, E (corresponding author), Rochester Inst Technol, E Philip Saunders Coll Business, 107 Lomb Mem Dr, Rochester, NY 14623 USA.</t>
  </si>
  <si>
    <t>emoriuchi@saunders.rit.edu</t>
  </si>
  <si>
    <t>10.1002/mar.21407</t>
  </si>
  <si>
    <t>SEP 2020</t>
  </si>
  <si>
    <t>WOS:000572552600001</t>
  </si>
  <si>
    <t>Sulistyaningsih, T; Jainuri, J; Salahudin, S; Jovita, HD; Nurmandi, A</t>
  </si>
  <si>
    <t>Sulistyaningsih, Tri; Jainuri, Jainuri; Salahudin, Salahudin; Jovita, Hazel Dapat; Nurmandi, Achmad</t>
  </si>
  <si>
    <t>Can Combined Marketing and Planning-oriented of Community-based Social Marketing (CBSM) Project Successfully Transform the Slum Area to Tourism Village? A Case Study of the Jodipan Colorful Urban Village, Malang, Indonesia</t>
  </si>
  <si>
    <t>JOURNAL OF NONPROFIT &amp; PUBLIC SECTOR MARKETING</t>
  </si>
  <si>
    <t>Slum area; social marketing; place branding; social media; Jodipan; tourism</t>
  </si>
  <si>
    <t>This study evaluated the branding of a slum project as a social marketing initiative to transform the Jodipan slum area into a tourism village in the city of Malang. An action-evaluation research project was conducted through the combination of the marketing and planning oriented approaches by the communications department at a major public university in Indonesia between June 2016 and October 2017. The study employed a case study supported by qualitative data from primary and secondary sources, including social media text mining analysis. Moreover, an evaluation survey was conducted using proportionally random sampling from 650 slum dwellers to assess the impacts of the project in terms of the general welfare of the community. The transformation of the slum area into a new tourist destination was found to have been successfully implemented through the combined marketing and planning-oriented community social marketing project. The tourist destination produced was also observed to have a good impact on environmental sustainability and economic value for the local community. Jodipan branding project is unique as observed in its ability to transform an unhealthy settlement into a healthy settlement. Theoretically, it has contributed to new knowledge on slum upgrading in urban studies, especially with the focus on the successful improvement of the physical, social, and economic conditions of the area. This research further contributed to a new understanding and novelty of knowledge on the ability of place branding, as a social marketing strategy, to change the behavior of slum dwellers. However, this research has limitations in exploring the local government's response to the project, therefore, future studies need to clarify issues relating to local policies and official budgets for its sustainability.</t>
  </si>
  <si>
    <t>[Sulistyaningsih, Tri; Jainuri, Jainuri; Salahudin, Salahudin] Univ Muhammadiyah Malang, Dept Govt Studies, Malang, Indonesia; [Jovita, Hazel Dapat] MSU Iligan Inst Technol, Dept Polit Sci, Iligan, Philippines; [Nurmandi, Achmad] Univ Muhammadiyah Yogyakarta, Jusuf Kalla Sch Govt JKSG, Yogyakarta, Indonesia; [Nurmandi, Achmad] Univ Muhammadiyah Yogyakarta, Dept Govt Affairs &amp; Adm, Yogyakarta, Indonesia</t>
  </si>
  <si>
    <t>Universitas Muhammadiyah Malang; Mindanao State University System; Mindanao State University-IIT; Universitas Muhammadiyah Yogyakarta; Universitas Muhammadiyah Yogyakarta</t>
  </si>
  <si>
    <t>Sulistyaningsih, T (corresponding author), Univ Muhammadiyah Malang, Dept Govt Studies, Malang, Indonesia.</t>
  </si>
  <si>
    <t>sulis226@gmail.com</t>
  </si>
  <si>
    <t>Salahudin, Salahudin/ABI-2873-2020; Nurmandi, Achmad/J-4428-2019</t>
  </si>
  <si>
    <t>Nurmandi, Achmad/0000-0002-6730-0273</t>
  </si>
  <si>
    <t>Jusuf Kalla School of Government [234/2018]</t>
  </si>
  <si>
    <t>Jusuf Kalla School of Government</t>
  </si>
  <si>
    <t>This work was supported by the Jusuf Kalla School of Government [234/2018].</t>
  </si>
  <si>
    <t>1049-5142</t>
  </si>
  <si>
    <t>1540-6997</t>
  </si>
  <si>
    <t>J NONPROFIT PUBLIC S</t>
  </si>
  <si>
    <t>J. Nonprofit Public Sect. Market.</t>
  </si>
  <si>
    <t>AUG 8</t>
  </si>
  <si>
    <t>10.1080/10495142.2021.1874590</t>
  </si>
  <si>
    <t>5E0JS</t>
  </si>
  <si>
    <t>WOS:000613786000001</t>
  </si>
  <si>
    <t>Ma, L; Ou, W; Lee, CS</t>
  </si>
  <si>
    <t>Ma, Long; Ou, Wei; Lee, Chei Sian</t>
  </si>
  <si>
    <t>Investigating consumers' cognitive, emotional, and behavioral engagement in social media brand pages: A natural language processing approach</t>
  </si>
  <si>
    <t>Brand posts; Consumer engagement; Post characteristics; Natural language processing; Multilevel modeling</t>
  </si>
  <si>
    <t>CUSTOMER ENGAGEMENT; FACEBOOK; STRATEGIES; INFORMATION; EXPERIENCE; POSTS; MODEL</t>
  </si>
  <si>
    <t>By applying a natural language processing approach, the present study aims to reveal what features of brand posts (i.e., post type, vividness, interactivity, and valence) may impact consumers' behavioral, cognitive, and emotional engagement respectively. After collecting brand posts data from a microblog website, multilevel mixed-effects regression models were utilized to analyze the panel data set. It was found that interactive stra-tegies, such as using interactional posts and integrating interactivity cues, are effective in stimulating all three dimensions of consumer engagement. Post valence, or post sentiment, is positively associated with consumers' behavioral and emotional engagement. Nevertheless, using photos or videos is found to be less effective in motivating consumer engagement. Among these three dimensions of consumer engagement, cognitive engage-ment is more difficult to be stimulated compared with behavioral and emotional engagement. Implications of the findings are discussed at the end of the paper.</t>
  </si>
  <si>
    <t>[Ma, Long] Zhejiang Gongshang Univ, Sch Business Adm, Hangzhou, Zhejiang, Peoples R China; [Ou, Wei] Zhejiang Gongshang Univ, Int Business Sch, Hangzhou, Zhejiang, Peoples R China; [Lee, Chei Sian] Nanyang Technol Univ, Wee Kim Wee Sch Commun &amp; Informat, Singapore, Singapore; [Ou, Wei] Int Business Sch, Xuezheng Rd 18, Hangzhou, Zhejiang, Peoples R China</t>
  </si>
  <si>
    <t>Zhejiang Gongshang University; Zhejiang Gongshang University; Nanyang Technological University &amp; National Institute of Education (NIE) Singapore; Nanyang Technological University</t>
  </si>
  <si>
    <t>Ou, W (corresponding author), Int Business Sch, Xuezheng Rd 18, Hangzhou, Zhejiang, Peoples R China.</t>
  </si>
  <si>
    <t>studyouwei@126.com</t>
  </si>
  <si>
    <t>Natural Science Foundation of Zhejiang Province [LY20G020007]</t>
  </si>
  <si>
    <t>Natural Science Foundation of Zhejiang Province(Natural Science Foundation of Zhejiang Province)</t>
  </si>
  <si>
    <t>This work was supported by Natural Science Foundation of Zhejiang Province [Grant No. LY20G020007] .</t>
  </si>
  <si>
    <t>10.1016/j.elerap.2022.101179</t>
  </si>
  <si>
    <t>5A7LR</t>
  </si>
  <si>
    <t>WOS:000863065400005</t>
  </si>
  <si>
    <t>Del Vecchio, M; Kharlamov, A; Parry, G; Pogrebna, G</t>
  </si>
  <si>
    <t>Del Vecchio, Marco; Kharlamov, Alexander; Parry, Glenn; Pogrebna, Ganna</t>
  </si>
  <si>
    <t>Improving productivity in Hollywood with data science: Using emotional arcs of movies to drive product and service innovation in entertainment industries</t>
  </si>
  <si>
    <t>JOURNAL OF THE OPERATIONAL RESEARCH SOCIETY</t>
  </si>
  <si>
    <t>sentiment analysis; sentiment mining; productivity; consumer-centric design; entertainment; AI</t>
  </si>
  <si>
    <t>MOTION-PICTURE INDUSTRY; OFFICE PREDICTION MODEL; BOX-OFFICE; CREATIVE INDUSTRIES; CLUSTERING-ALGORITHM; SUCCESS; PERFORMANCE; BUSINESS; REVENUES; IMPACT</t>
  </si>
  <si>
    <t>Improving productivity in the entertainment industry is a very challenging task as it heavily depends on generating attractive content for the consumers. The consumer-centric design (putting the consumers at the centre of the content development and production) focuses on ways in which businesses can design customized services and products which accurately reflect consumer preferences. We propose a new framework which allows to use data science to optimize content-generation in entertainment and test this framework for the motion picture industry. We use the natural language processing methodology combined with econometric analysis to explore whether and to what extent emotions shape consumer preferences for media and entertainment content, which, in turn, affect revenue streams. By analyzing 6,174 movie scripts, we generate the emotional trajectory of each motion picture. We then combine the obtained mappings into clusters which represent groupings of consumer emotional journeys. These clusters are then plugged into an econometric model to predict overall success parameters of the movies including box office revenues, viewer satisfaction levels (captured by IMDb ratings), awards, as well as the number of viewers' and critics' reviews. We find that emotional arcs in movies can be partitioned into 6 basic shapes. The highest box offices are associated with the Man in a Hole shape which is characterized by an emotional fall followed by an emotional rise. This U-shaped emotional arc results in financially successful movies irrespective of genre and production budget. Implications of this analysis for generating on-demand content and improving productivity in entertainment industries are discussed.</t>
  </si>
  <si>
    <t>[Del Vecchio, Marco] Apple UK, Cambridge, England; [Kharlamov, Alexander] Aston Business Sch, Birmingham B4 7ET, W Midlands, England; [Parry, Glenn] Surrey Business Sch, Guildford, Surrey, England; [Pogrebna, Ganna] Univ Birmingham, Birmingham, W Midlands, England; [Pogrebna, Ganna] Alan Turing Inst, London, England</t>
  </si>
  <si>
    <t>Aston University; University of Birmingham</t>
  </si>
  <si>
    <t>Kharlamov, A (corresponding author), Aston Business Sch, Birmingham B4 7ET, W Midlands, England.</t>
  </si>
  <si>
    <t>aak.academic@gmail.com</t>
  </si>
  <si>
    <t>Parry, Glenn C/C-2136-2013</t>
  </si>
  <si>
    <t>Parry, Glenn C/0000-0002-6432-2055; Pogrebna, Ganna/0000-0002-5487-7284</t>
  </si>
  <si>
    <t>Economic and Social Research Council [ES/R007926/1]; Engineering and Physical Science Research Council [EP/N510129/1, EP/N028422/1, EP/P011896/2, EP/R033374/1]; EPSRC [EP/R033838/1, EP/R033374/1, EP/R033374/2] Funding Source: UKRI; ESRC [ES/R007926/1] Funding Source: UKRI; Economic and Social Research Council [ES/R007926/1] Funding Source: researchfish</t>
  </si>
  <si>
    <t>Economic and Social Research Council(UK Research &amp; Innovation (UKRI)Economic &amp; Social Research Council (ESRC)); Engineering and Physical Science Research Council(UK Research &amp; Innovation (UKRI)Engineering &amp; Physical Sciences Research Council (EPSRC)); EPSRC(UK Research &amp; Innovation (UKRI)Engineering &amp; Physical Sciences Research Council (EPSRC)); ESRC(UK Research &amp; Innovation (UKRI)Economic &amp; Social Research Council (ESRC)); Economic and Social Research Council(UK Research &amp; Innovation (UKRI)Economic &amp; Social Research Council (ESRC))</t>
  </si>
  <si>
    <t>Financial support from Economic and Social Research Council grant ES/R007926/1 and Engineering and Physical Science Research Council grants EP/N510129/1, EP/N028422/1, EP/P011896/2, EP/R033374/1 is gratefully acknowledged.</t>
  </si>
  <si>
    <t>0160-5682</t>
  </si>
  <si>
    <t>1476-9360</t>
  </si>
  <si>
    <t>J OPER RES SOC</t>
  </si>
  <si>
    <t>J. Oper. Res. Soc.</t>
  </si>
  <si>
    <t>MAY 4</t>
  </si>
  <si>
    <t>10.1080/01605682.2019.1705194</t>
  </si>
  <si>
    <t>SE8YM</t>
  </si>
  <si>
    <t>Green Submitted, Green Published, hybrid</t>
  </si>
  <si>
    <t>WOS:000518250200001</t>
  </si>
  <si>
    <t>Srivastava, V; Kalro, AD</t>
  </si>
  <si>
    <t>Online consumer reviews; Review helpfulness; Natural language processing; Text mining; Content analysis; Argument quality; Message valence</t>
  </si>
  <si>
    <t>WORD-OF-MOUTH; USER-GENERATED CONTENT; PERCEIVED USEFULNESS; PRODUCT REVIEWS; MODERATING ROLE; INFORMATION; IMPACT; RATINGS; COMMUNICATION; CREDIBILITY</t>
  </si>
  <si>
    <t>[Srivastava, Vartika; Kalro, Arti D.] Indian Inst Technol, Shailesh J Mehta Sch Management, Mumbai 400076, Maharashtra, India</t>
  </si>
  <si>
    <t>Indian Institute of Technology System (IIT System); Indian Institute of Technology (IIT) - Bombay</t>
  </si>
  <si>
    <t>Srivastava, V (corresponding author), Indian Inst Technol, Shailesh J Mehta Sch Management, Mumbai 400076, Maharashtra, India.</t>
  </si>
  <si>
    <t>vartika.srivastava@iitb.ac.in; kalro.arti@iitb.ac.in</t>
  </si>
  <si>
    <t>Srivastava, Vartika/0000-0001-9781-4278</t>
  </si>
  <si>
    <t>10.1016/j.intmar.2018.12.003</t>
  </si>
  <si>
    <t>WOS:000495146900003</t>
  </si>
  <si>
    <t>Li, JT; Leonas, KK</t>
  </si>
  <si>
    <t>Li, Jitong; Leonas, Karen K.</t>
  </si>
  <si>
    <t>Sustainability topic trends in the textile and apparel industry: a text mining-based magazine article analysis</t>
  </si>
  <si>
    <t>Supply chain; Sustainability; Text mining; Magazine articles; Textile and apparel industry; Topic trends</t>
  </si>
  <si>
    <t>SUPPLY CHAIN MANAGEMENT; CONSUMERS PERCEPTIONS; MICROFIBER POLLUTION; CONSUMPTION; KNOWLEDGE</t>
  </si>
  <si>
    <t>Purpose The purpose of this study is to (1) identify the sustainable practices developed by the textile and apparel industry and (2) investigate the gaps and opportunities in the sustainability implementation process by quantitively analyzing the sustainability topics and the relevant topic trends. Design/methodology/approach This study employed text mining techniques. A total of 1,168 relevant magazine articles published from 2013 to 2020 were collected and then categorized according to their tones. In total, 36 topics were identified by reviewing the sustainability issues in the industry. The frequency of each topic mentioned in the articles and the correlation coefficients between topics' frequencies and published time were calculated. The results were used to examine if the three sustainability dimensions (environment, society, economy) were equally addressed and identify opportunities in the sustainability implementation process. Findings There were much fewer social and economic topics than environmental topics discussed in the articles. Additionally, there were not enough practices developed to reduce microfiber pollution, improve consumers' knowledge of sustainability, offset the carbon footprint, build a transparent, sustainable supply chain and avoid animal cruelty. Originality/value There is a lack of research focusing on the whole supply chain and sustainability when investigating sustainable practices and topic trends. This study fills a part of the gap. The results can be used by industrialists to identify sustainable practice opportunities and better manage their sustainable supply chains. Researchers can utilize the results to compare the topics in the industry with the topics studied in academia.</t>
  </si>
  <si>
    <t>[Li, Jitong; Leonas, Karen K.] North Carolina State Univ, Dept Text &amp; Apparel Technol &amp; Management, Raleigh, NC 27695 USA</t>
  </si>
  <si>
    <t>North Carolina State University</t>
  </si>
  <si>
    <t>Li, JT; Leonas, KK (corresponding author), North Carolina State Univ, Dept Text &amp; Apparel Technol &amp; Management, Raleigh, NC 27695 USA.</t>
  </si>
  <si>
    <t>jli62@ncsu.edu; kleonas@ncsu.edu</t>
  </si>
  <si>
    <t>Li, Jitong/0000-0001-9580-2409</t>
  </si>
  <si>
    <t>10.1108/JFMM-07-2020-0139</t>
  </si>
  <si>
    <t>XV4CC</t>
  </si>
  <si>
    <t>WOS:000639107200001</t>
  </si>
  <si>
    <t>Kuntner, T; Teichert, T</t>
  </si>
  <si>
    <t>Kuntner, Tobias; Teichert, Thorsten</t>
  </si>
  <si>
    <t>The scope of price promotion research: An informetric study</t>
  </si>
  <si>
    <t>Price promotion; Informetrics; Bibliometrics; Text mining</t>
  </si>
  <si>
    <t>AUTHOR COCITATION; BRAND CHOICE; INTELLECTUAL STRUCTURE; MANAGEMENT FIELD; SALES PROMOTIONS; IMPACT; STRATEGY; DISCIPLINES; JOURNALS; LOYALTY</t>
  </si>
  <si>
    <t>Price promotions are an essential element of a company's marketing policy because they affect sales, profits, and key intangible assets, such as brand equity. Recognizing their importance, research has accumulated an extensive and diverse amount of knowledge. This study facilitates access to the complex price promotion literature, enabling managers and researchers to more effectively capitalize on extant scientific insights. The authors apply a unique combination of quantitative bibliometric analysis and text-mining techniques to contribute a fresh, domain-neutral, and objective review of price promotion research published in 1165 journal articles from 1980 to 2013. The results provide a structured overview of the field's main research streams, their most influential works and key insights, their intellectual connections, and their temporal evolution. A discussion of the findings reveals potential for future research endeavors. (C) 2015 Elsevier Inc. All rights reserved.</t>
  </si>
  <si>
    <t>[Kuntner, Tobias; Teichert, Thorsten] Univ Hamburg, Chair Mkt &amp; Innovat, Room 3076,Von Melle Pk 5,Room 3077, D-20146 Hamburg, Germany</t>
  </si>
  <si>
    <t>Kuntner, T (corresponding author), Univ Hamburg, Chair Mkt &amp; Innovat, Room 3076,Von Melle Pk 5,Room 3077, D-20146 Hamburg, Germany.</t>
  </si>
  <si>
    <t>Tobias.kuntner@wiso.uni-hamburg.de; Thorsten.teichert@uni-hamburg.de</t>
  </si>
  <si>
    <t>10.1016/j.jbusres.2015.11.004</t>
  </si>
  <si>
    <t>DO4BK</t>
  </si>
  <si>
    <t>WOS:000377726600008</t>
  </si>
  <si>
    <t>Mehmet, MI; D'Alessandro, S</t>
  </si>
  <si>
    <t>Mehmet, Mehmet Ibrahim; D'Alessandro, Steven</t>
  </si>
  <si>
    <t>More than words can say: a mutt medal approach to understanding meaning and sentiment in social media</t>
  </si>
  <si>
    <t>JOURNAL OF MARKETING MANAGEMENT</t>
  </si>
  <si>
    <t>Multimodal social listening; consumer sentiment; social media; social networking; inter-coder reliability; qualitative research</t>
  </si>
  <si>
    <t>USER-GENERATED CONTENT; ONLINE BRAND COMMUNITIES; NETNOGRAPHIC SENSIBILITY; CUSTOMER ENGAGEMENT; UNITED-STATES; CO-CREATION; TEXT; EXPLORATION; RECONTEXTUALISATION; DETERMINANTS</t>
  </si>
  <si>
    <t>The authors develop a multimodal social listening analysis (MSLA) approach as a framework for managers to understand how meaning is constructed in social media posts using both text and other media. The research adds to Al and text analysis approaches by considering the whole meaning of a post rather than an analysis of subsets of information in text and other media. The use of MSLA is validated across the social media platforms of Facebook, Twitter and Instagram. The findings show that MSLA helps (i) reveal structures in what appear to be unstructured multimodal posts; (ii) identify all the sentiment items in a post; (iii) identify implicit meanings, such as irony, humour and sarcasm; and (iv) further identify emotions and judgements in multimodal communication. Importantly, this paper explains how decisions and opinions are made online and how marketing strategies can be tailored towards meanings derived from multimodal communication in social media.</t>
  </si>
  <si>
    <t>[Mehmet, Mehmet Ibrahim] Univ Wollongong, Fac Business, Wollongong, NSW, Australia; [D'Alessandro, Steven] Univ Tasmania, Sch Management &amp; Mkt, Hobart, Tas 7007, Australia</t>
  </si>
  <si>
    <t>University of Wollongong; University of Tasmania</t>
  </si>
  <si>
    <t>D'Alessandro, S (corresponding author), Univ Tasmania, Sch Management &amp; Mkt, Hobart, Tas 7007, Australia.</t>
  </si>
  <si>
    <t>steve.dalessandro@utas.edu.au</t>
  </si>
  <si>
    <t>D'Alessandro, Steven/A-3797-2014</t>
  </si>
  <si>
    <t>D'Alessandro, Steven/0000-0001-7480-232X; Mehmet, Mehmet/0000-0002-4936-5946</t>
  </si>
  <si>
    <t>0267-257X</t>
  </si>
  <si>
    <t>1472-1376</t>
  </si>
  <si>
    <t>J MARKET MANAG-UK</t>
  </si>
  <si>
    <t>J. Market. Manag.</t>
  </si>
  <si>
    <t>SEP 2</t>
  </si>
  <si>
    <t>13-14</t>
  </si>
  <si>
    <t>10.1080/0267257X.2022.2105933</t>
  </si>
  <si>
    <t>6Q2HK</t>
  </si>
  <si>
    <t>WOS:000843585000001</t>
  </si>
  <si>
    <t>Homburg, C; Theel, M; Hohenberg, S</t>
  </si>
  <si>
    <t>Homburg, Christian; Theel, Marcus; Hohenberg, Sebastian</t>
  </si>
  <si>
    <t>Marketing Excellence: Nature, Measurement, and Investor Valuations</t>
  </si>
  <si>
    <t>agility; ecosystem; end user; grounded theory; marketing excellence; marketing-finance interface; organic growth; text analysis</t>
  </si>
  <si>
    <t>CUSTOMER SATISFACTION; SHAREHOLDER VALUE; ORIENTATION; CAPABILITIES; PERFORMANCE; STRATEGY; FRAMEWORK; ALLIANCES; LESSONS; DRIVEN</t>
  </si>
  <si>
    <t>Marketing excellence is a foundational principle for the discipline that is gaining increasing attention among managers and investors. Despite this, the nature of marketing excellence and its effectiveness remain unclear. This research offers insight by addressing two questions: (1) How do managers understand and exercise marketing excellence? and (2) How do investors evaluate marketing excellence? Study 1 merges insights from 39 in-depth interviews with senior executives and secondary data from 150 firm strategies to find that marketing excellence is a strategy type focused on achieving organic growth by executing priorities related to the marketing ecosystem, end user, and marketing agility. Study 2 quantifies the impact of marketing excellence on firm value by using a machine learning algorithm and text analysis through an original dictionary to classify the text from 8,317 letters to shareholders in 1,727 U.S. firm annual reports. Calendar-time portfolio models reveal abnormal one-year returns of up to 8.58% for marketing excellence-returns that outpace those associated with market orientation and marketing capabilities. Findings offer guidance to managers, educators, and investors regarding how marketing excellence manifests-paving the way for the allocation of firm resources to ensure that marketing drives organic growth.</t>
  </si>
  <si>
    <t>[Homburg, Christian] Univ Mannheim, Mkt, Mannheim, Germany; [Homburg, Christian; Theel, Marcus] Univ Mannheim, Dept Mkt, Mannheim, Germany; [Homburg, Christian] Univ Mannheim, Inst Market Oriented Management, Mannheim, Germany; [Homburg, Christian] Univ Manchester, Manchester, Lancs, England; [Hohenberg, Sebastian] Univ Texas Austin, McCombs Sch Business, Dept Mkt, Austin, TX 78712 USA</t>
  </si>
  <si>
    <t>University of Mannheim; University of Mannheim; University of Mannheim; University of Manchester; University of Texas System; University of Texas Austin</t>
  </si>
  <si>
    <t>Homburg, C (corresponding author), Univ Mannheim, Mkt, Mannheim, Germany.;Homburg, C (corresponding author), Univ Mannheim, Dept Mkt, Mannheim, Germany.;Homburg, C (corresponding author), Univ Mannheim, Inst Market Oriented Management, Mannheim, Germany.;Homburg, C (corresponding author), Univ Manchester, Manchester, Lancs, England.</t>
  </si>
  <si>
    <t>homburg@bwl.uni-mannheim.de; marcus.theel@bwl.uni-mannheim.de; sebastian.hohenberg@mccombs.utexas.edu</t>
  </si>
  <si>
    <t>Hohenberg, Sebastian/AAB-2616-2021</t>
  </si>
  <si>
    <t>10.1177/0022242920925517</t>
  </si>
  <si>
    <t>MB0WY</t>
  </si>
  <si>
    <t>WOS:000542330500001</t>
  </si>
  <si>
    <t>Wang, X; He, JX; Curry, DJ; Ryoo, JH</t>
  </si>
  <si>
    <t>Wang, Xin (Shane); He, Jiaxiu; Curry, David J.; Ryoo, Jun Hyun (Joseph)</t>
  </si>
  <si>
    <t>attribute hierarchy; attribute embedding; machine learning; word2vec; meta-attribute; natural language processing</t>
  </si>
  <si>
    <t>MARKET-STRUCTURE</t>
  </si>
  <si>
    <t>[Wang, Xin (Shane)] Western Univ, Ivey Business Sch, Mkt, London, ON, Canada; [He, Jiaxiu] SUNY Buffalo State, Mkt, Buffalo, NY USA; [Curry, David J.] Univ Cincinnati, Carl H Lindner Coll Business, Mkt, Cincinnati, OH 45221 USA; [Ryoo, Jun Hyun (Joseph)] City Univ Hong Kong, Coll Business, Mkt, Hong Kong, Peoples R China</t>
  </si>
  <si>
    <t>Western University (University of Western Ontario); State University of New York (SUNY) System; Buffalo State College; University System of Ohio; University of Cincinnati; City University of Hong Kong</t>
  </si>
  <si>
    <t>Wang, X (corresponding author), Western Univ, Ivey Business Sch, Mkt, London, ON, Canada.</t>
  </si>
  <si>
    <t>xwang@ivey.uwo.ca; heja@buffalostate.edu; david.curry@uc.edu; jhryoo@cityu.edu.hk</t>
  </si>
  <si>
    <t>Wang, Xin/0000-0003-1257-6931; Ryoo, Jun Hyun (Joseph)/0000-0002-9434-1724</t>
  </si>
  <si>
    <t>The author(s) disclosed receipt of the following financial support for the research, authorship, and/or publication of this article: This work was supported by the Social Sciences and Humanities Research Council of Canada</t>
  </si>
  <si>
    <t>10.1177/00222429211047822</t>
  </si>
  <si>
    <t>5I4OD</t>
  </si>
  <si>
    <t>WOS:000721042600001</t>
  </si>
  <si>
    <t>Munoz-Leiva, F; Lopez, MER; Liebana-Cabanillas, F; Moro, S</t>
  </si>
  <si>
    <t>Munoz-Leiva, Francisco; Rodriguez Lopez, Maria Eugenia; Liebana-Cabanillas, Francisco; Moro, Sergio</t>
  </si>
  <si>
    <t>Past, present, and future research on self-service merchandising: a co-word and text mining approach</t>
  </si>
  <si>
    <t>Scopus; Web of Science; Bibliometric analysis; Point-of-sale marketing; Co-word analysis</t>
  </si>
  <si>
    <t>AUGMENTED REALITY; INTELLECTUAL STRUCTURE; BIBLIOMETRIC ANALYSIS; STRATEGIC MANAGEMENT; MARKETING-RESEARCH; CITATION; EVOLUTION; COCITATION; RETAIL; SCIENCE</t>
  </si>
  <si>
    <t>Purpose - This study aims to discern emerging trends and provide a longitudinal perspective on merchandising research by identifying relationships between merchandising-related subdomains/themes. Design/methodology/approach - This study sourced 657 merchandising-related articles published since 1960, from the Scopus database and 425 from Web of Science. After processing and normalizing the data, this study performed co-word and thematic network analyses. Taking a text mining approach, this study used topic modeling to identify a set of coherent topics characterized by the keywords of the articles. Findings - This study identified the following merchandising-related themes: branding, retail, consumer, behavior, modeling, textile and clothing industry and visual merchandising. Although visual merchandising was the first type of merchandising to be used in-store, only recently has it become an emerging topic in the academic literature. There has been a further trend over the past decade to understand the adoption of simulation technology, such as computer-aided design, particularly in supply chain management in the clothing industry. These and other findings contribute to the discussion of the merchandising concept, approached from an evolutionary perspective. Research limitations/implications - The conclusions of this study hold implications at the intersection of merchandising, sectors, new technologies, research methodologies and merchandising-practitioner education. Research trends suggest that, in the future, virtual reality and augmented reality using neuroscientific methods will be applied to the e-merchandising context. Practical implications - The different dimensions of merchandising can be used to leverage store managers' decision-making process toward an integrated store-management strategy. In particular, by adopting loyalty merchandising tactics, the store can generate emotional attachment among consumers, who will perceive its value and services as unique, thanks to merchandising items designed specifically with that aim in mind. The stimulation of unplanned purchases, the strategic location of products and duration of each merchandising activity in the store, the digitalization of merchandising and the application of findings from neuroscience studies are some of the most relevant practical applications. Originality/value - This study provides the first-ever longitudinal review of the state of the art in merchandising research, taking a holistic perspective of this field of knowledge spanning a 60-year period. The work makes a valuable contribution to the development of the marketing discipline.</t>
  </si>
  <si>
    <t>[Munoz-Leiva, Francisco; Liebana-Cabanillas, Francisco] Univ Granada, Dept Mkt &amp; Market Res, Granada, Spain; [Rodriguez Lopez, Maria Eugenia] Univ Granada, Fac Educ Econ &amp; Technol Ceuta, Dept Mkt &amp; Market Res, Ceuta, Spain; [Moro, Sergio] Inst Univ Lisboa ISCTE IUL, ISTAR, Lisbon, Portugal</t>
  </si>
  <si>
    <t>University of Granada; University of Granada; Instituto Universitario de Lisboa</t>
  </si>
  <si>
    <t>Munoz-Leiva, F (corresponding author), Univ Granada, Dept Mkt &amp; Market Res, Granada, Spain.</t>
  </si>
  <si>
    <t>franml@ugr.es</t>
  </si>
  <si>
    <t>Moro, Sergio/N-9124-2015</t>
  </si>
  <si>
    <t>Moro, Sergio/0000-0002-4861-6686</t>
  </si>
  <si>
    <t>Spanish National Research Programme [ECO2017-88458-R]; Fundacao para a Ciencia e a Tecnologia (FCT) [UIDB/04466/2020, UIDP/04466/2020]</t>
  </si>
  <si>
    <t>Spanish National Research Programme(Spanish Government); Fundacao para a Ciencia e a Tecnologia (FCT)(Fundacao para a Ciencia e a Tecnologia (FCT))</t>
  </si>
  <si>
    <t>This work was conducted with the financial support received from the Spanish National Research Programme [R1D1i Research Project ECO2017-88458-R]. Additionally, the work by Sergio Moro was supported by the Fundacao para a Ciencia e a Tecnologia (FCT) within the following [Projects: UIDB/04466/2020 and UIDP/04466/2020].</t>
  </si>
  <si>
    <t>10.1108/EJM-02-2019-0179</t>
  </si>
  <si>
    <t>ZB6EM</t>
  </si>
  <si>
    <t>WOS:000655194200001</t>
  </si>
  <si>
    <t>Ozcan, S; Suloglu, M; Sakar, CO; Chatufale, S</t>
  </si>
  <si>
    <t>Ozcan, Sercan; Suloglu, Metin; Sakar, C. Okan; Chatufale, Sushant</t>
  </si>
  <si>
    <t>Social media mining for ideation: Identification of sustainable solutions and opinions</t>
  </si>
  <si>
    <t>TECHNOVATION</t>
  </si>
  <si>
    <t>Text mining; Semi-supervised learning; Support vector machines; Decision-making; Crowdsourcing; Sustainability</t>
  </si>
  <si>
    <t>FUZZY FRONT-END; PRODUCT DEVELOPMENT; INNOVATION; MACHINE; IDEAS; COMMUNITIES; KNOWLEDGE; SEARCH; GREEN; SMOTE</t>
  </si>
  <si>
    <t>The availability of social media-based data creates opportunities to obtain information about consumers, trends, companies and technologies using text mining techniques. However, the quality of the data is a significant concern for social media-based analyses. The aim of this study was to mine tweets (microblogs) to explore trends and retrieve ideas for various purposes such as product development, technology and sustainability-oriented considerations. The core methodological approach was to create a classification model to identify tweets that contained an idea. This classification model was used as a pre-processing step so the query results obtained from the application programming interface were cleared from the messages that contained the search terms used in the query but did not contain an idea. The results of this study demonstrate that our method based on text mining, and supervised or semi-supervised classification methods, can extract ideas from social media. The social media data mining process illustrated in our study can be utilised as a decision-making tool to detect innovative ideas or solutions about a product or service and summarise them into meaningful clusters. We believe that our findings are significant for the sustainability, tech mining and innovation management communities.</t>
  </si>
  <si>
    <t>[Ozcan, Sercan] Univ Portsmouth, Portsmouth Business Sch, Portsmouth, Hants, England; [Ozcan, Sercan] Bahcesehir Univ, Dept Engn Management, Istanbul, Turkey; [Ozcan, Sercan] Natl Res Univ Higher Sch Econ Russian Federat, Moscow, Russia; [Suloglu, Metin] Univ Leeds, Sch Comp, Leeds, W Yorkshire, England; [Sakar, C. Okan] Bahcesehir Univ, Dept Comp Engn, Istanbul, Turkey; [Chatufale, Sushant] Aston Univ, Sch Engn &amp; Appl Sci, Birmingham, W Midlands, England</t>
  </si>
  <si>
    <t>University of Portsmouth; Bahcesehir University; HSE University (National Research University Higher School of Economics); University of Leeds; Bahcesehir University; Aston University</t>
  </si>
  <si>
    <t>Ozcan, S (corresponding author), Univ Portsmouth, Portsmouth Business Sch, Portsmouth, Hants, England.</t>
  </si>
  <si>
    <t>sercan.ozcan@port.ac.uk; sc19ms@leeds.ac.uk; okan.sakar@eng.bau.edu.tr; s.chatufale@aston.ac.uk</t>
  </si>
  <si>
    <t>Ozcan, Sercan/0000-0002-0482-7529</t>
  </si>
  <si>
    <t>0166-4972</t>
  </si>
  <si>
    <t>1879-2383</t>
  </si>
  <si>
    <t>Technovation</t>
  </si>
  <si>
    <t>10.1016/j.technovation.2021.102322</t>
  </si>
  <si>
    <t>Engineering, Industrial; Management; Operations Research &amp; Management Science</t>
  </si>
  <si>
    <t>Engineering; Business &amp; Economics; Operations Research &amp; Management Science</t>
  </si>
  <si>
    <t>UA6CV</t>
  </si>
  <si>
    <t>WOS:000685248700005</t>
  </si>
  <si>
    <t>Shin, D; He, S; Lee, GM; Whinston, AB; Cetintas, S; Lee, KC</t>
  </si>
  <si>
    <t>Shin, Donghyuk; He, Shu; Lee, Gene Moo; Whinston, Andrew B.; Cetintas, Suleyman; Lee, Kuang-Chih</t>
  </si>
  <si>
    <t>ENHANCING SOCIAL MEDIA ANALYSIS WITH VISUAL DATA ANALYTICS: A DEEP LEARNING APPROACH</t>
  </si>
  <si>
    <t>Social media; visual data analytics; prediction; machine learning; deep learning; word embedding; image-text similarity</t>
  </si>
  <si>
    <t>VARIETY-SEEKING; MODERATING ROLE; PRODUCT DESIGN; INFORMATION; COMPLEXITY; SEARCH; IMPACT; MODEL; REPRESENTATION; PERFORMANCE</t>
  </si>
  <si>
    <t>This research methods article proposes a visual data analytics framework to enhance social media research using deep learning models. Drawing on the literature of information systems and marketing, complemented with data-driven methods, we propose a number of visual and textual content features including complexity, similarity, and consistency measures that can play important roles in the persuasiveness of social media content. We then employ state-of-the-art machine learning approaches such as deep learning and text mining to operationalize these new content features in a scalable and systematic manner. For the newly developed features, we validate them against human coders on Amazon Mechanical Turk. Furthermore, we conduct two case studies with a large social media dataset from Tumblr to show the effectiveness of the proposed content features. The first case study demonstrates that both theoretically motivated and data-driven features significantly improve the model's power to predict the popularity of a post, and the second one highlights the relationships between content features and consumer evaluations of the corresponding posts. The proposed research framework illustrates how deep learning methods can enhance the analysis of unstructured visual and textual data for social media research.</t>
  </si>
  <si>
    <t>[Shin, Donghyuk] Arizona State Univ, WP Carey Sch Business, Tempe, AZ 85281 USA; [He, Shu] Univ Connecticut, Sch Business, 2100 Hillside Rd, Storrs, CT 06269 USA; [Lee, Gene Moo] Univ British Columbia, Sauder Sch Business, 2053 Main Mall, Vancouver, BC V6T 1Z2, Canada; [Whinston, Andrew B.] Univ Texas Austin, McCombs Sch Business, 2110 Speedway, Austin, TX 78705 USA; [Cetintas, Suleyman] Yahoo Res, Advertising Sci, 701 First Ave, Sunnyvale, CA 94089 USA; [Lee, Kuang-Chih] Alibaba Grp, Marketpl Optimizat, 400 S El Camino Real, San Mateo, CA 94402 USA</t>
  </si>
  <si>
    <t>Arizona State University; Arizona State University-Tempe; University of Connecticut; University of British Columbia; University of Texas System; University of Texas Austin; Alibaba Group</t>
  </si>
  <si>
    <t>Shin, D (corresponding author), Arizona State Univ, WP Carey Sch Business, Tempe, AZ 85281 USA.</t>
  </si>
  <si>
    <t>dhs@asu.edu; shu.he@uconn.edu; gene.lee@sauder.ubc.ca; abw@uts.cc.utexas.edu; cetintas@verizonmedia.com; leekc307@gmail.com</t>
  </si>
  <si>
    <t>He, Shu/0000-0001-5899-5299; Shin, Donghyuk/0000-0001-8687-0258; Lee, Gene Moo/0000-0003-0657-6898</t>
  </si>
  <si>
    <t>10.25300/MISQ/2020/14870</t>
  </si>
  <si>
    <t>PB0TB</t>
  </si>
  <si>
    <t>WOS:000596039600001</t>
  </si>
  <si>
    <t>Ozer, M; Ozer, A; Ekinci, Y; Kocak, A</t>
  </si>
  <si>
    <t>Ozer, Mehmet; Ozer, Alper; Ekinci, Yuksel; Kocak, Akin</t>
  </si>
  <si>
    <t>Does celebrity attachment influence brand attachment and brand loyalty in celebrity endorsement? A mixed methods study</t>
  </si>
  <si>
    <t>brand attachment; brand loyalty; brand quality; celebrity attachment; celebrity endorsement; self-congruence; social media influencers (SMIs)</t>
  </si>
  <si>
    <t>IDOL ATTACHMENT; SELF; CONSUMERS; MODEL; IDENTIFICATION; CONSISTENCY; CONGRUENCE; COMMITMENT; STRENGTH; ATTITUDE</t>
  </si>
  <si>
    <t>The study tested a celebrity endorsement model to investigate the direct and indirect influences of celebrity attachment on brand loyalty across two culturally distinct countries: The United Kingdom and Turkiye. The survey was completed by 626 respondents and the data were analyzed using structural equation modeling. The findings show that celebrity attachment positively influences actual self-congruence, ideal self-congruence, brand quality, and brand attachment. Brand attachment mediates the effect of celebrity attachment on brand loyalty. Furthermore, the effectiveness of the celebrity endorsement process differs between British and Turkish consumers. Our research complements the meaning transfer model as it confirms that the celebrity endorsement process is influenced by two attachment objects: celebrities and brands. A follow-up study with text mining analysis of the consumer comments about the product reviews posted by social media influencers (SMIs) supported the validity of the celebrity endorsement model. Practitioners should consider the consumer's emotional and cognitive bonding with celebrities, and brands to enhance the effectiveness of the celebrity endorsement process. The more consumers are attached to celebrities (or SMIs) and brands, the more loyal they become to the latter.</t>
  </si>
  <si>
    <t>[Ozer, Mehmet] Ankara Univ, Grad Sch Social Sci, Dept Business Adm, Ankara, Turkey; [Ozer, Alper; Kocak, Akin] Ankara Univ, Fac Polit Sci, Dept Business Adm, Ankara, Turkey; [Ekinci, Yuksel] Univ Portsmouth, Fac Business &amp; Law, Sch Strategy Mkt &amp; Innovat, Portsmouth, Hants, England</t>
  </si>
  <si>
    <t>Ankara University; Ankara University; University of Portsmouth</t>
  </si>
  <si>
    <t>Ozer, M (corresponding author), Ankara Univ, Grad Sch Social Sci, Dept Business Adm, Ankara, Turkey.</t>
  </si>
  <si>
    <t>mehmet3ozer@gmail.com</t>
  </si>
  <si>
    <t>Ozer, Alper/ACX-5521-2022</t>
  </si>
  <si>
    <t>Ozer, Alper/0000-0002-2886-7314; Ozer, Mehmet/0000-0002-5777-3165; Ekinci, Yuksel/0000-0001-5063-013X</t>
  </si>
  <si>
    <t>Turkiye Bilimsel ve Teknolojik Arastirma Kurumu</t>
  </si>
  <si>
    <t>Turkiye Bilimsel ve Teknolojik Arastirma Kurumu(Turkiye Bilimsel ve Teknolojik Arastirma Kurumu (TUBITAK))</t>
  </si>
  <si>
    <t>10.1002/mar.21742</t>
  </si>
  <si>
    <t>WOS:000869362700001</t>
  </si>
  <si>
    <t>Woehler, J; Ernst, C</t>
  </si>
  <si>
    <t>Woehler, Julia; Ernst, Cornelia</t>
  </si>
  <si>
    <t>The importance of marketing mix planning and customer orientation for venture capital-financed startups: impacts on valuation, performance, and survival</t>
  </si>
  <si>
    <t>Startup survival; Venture capital valuation; Business planning; Marketing strategy; Customer orientation</t>
  </si>
  <si>
    <t>STRATEGIC ORIENTATION; MODERATING INFLUENCE; FIRM PERFORMANCE; ENTREPRENEURIAL; STAGE; INVESTMENT; REGRESSION; INNOVATION; ADVANTAGE; INTENSITY</t>
  </si>
  <si>
    <t>Purpose Existing literature shows that marketing capabilities of new ventures are critical success factors affecting venture capital funding, startup performance and business failure. The purpose of this study is to investigate whether venture capitalists reward extensive marketing strategies in their startup valuation and whether the marketing mix planning and early strategies on customer orientation predict long-term development of startups. Design/methodology/approach To address these gaps, this study investigate 107 business plans of new ventures which received venture capital based on these planning documents. The authors use computer-aided text analysis and regression analyses. Findings This study's findings show that customer orientation has positive effects on new venture performance and intensive marketing mix planning increases the likelihood of survival. However, venture capitalists decrease their startup valuation when they read too much about customer orientation and operative marketing mix planning. Originality/value This study relies on unique internal documents and therefore provides valuable and new insights for research and practice. Further, this study investigate various short- and long-term effects from marketing and customer orientation for a startups' development.</t>
  </si>
  <si>
    <t>[Woehler, Julia; Ernst, Cornelia] Tech Univ Dresden, Chair Entrepreneurship &amp; Innovat, Dresden, Germany</t>
  </si>
  <si>
    <t>Woehler, J (corresponding author), Tech Univ Dresden, Chair Entrepreneurship &amp; Innovat, Dresden, Germany.</t>
  </si>
  <si>
    <t>julia.woehler@tu-dresden.de</t>
  </si>
  <si>
    <t>10.1108/JRME-08-2021-0098</t>
  </si>
  <si>
    <t>SEP 2022</t>
  </si>
  <si>
    <t>WOS:000851217000001</t>
  </si>
  <si>
    <t>Minowa, Y; Khomenko, O; Belk, RW</t>
  </si>
  <si>
    <t>Minowa, Yuko; Khomenko, Olga; Belk, Russell W.</t>
  </si>
  <si>
    <t>Social Change and Gendered Gift-Giving Rituals: A Historical Analysis of Valentine's Day in Japan</t>
  </si>
  <si>
    <t>JOURNAL OF MACROMARKETING</t>
  </si>
  <si>
    <t>consumer culture; gift giving; gender; periodization; semiotics; Japan</t>
  </si>
  <si>
    <t>LOVE; EXCHANGE; CONSTRUCTION; ROLES; VIEW</t>
  </si>
  <si>
    <t>Valentine's Day is a culturally hybridized and popularly celebrated consumption ritual in Japan. We examine its historical transformation based on a visual and textual analysis of advertisements in print media over fifty years. Changes in the meanings, functions, and structure of gift-giving rituals correspond to changes in the national economy, social values, consumer ideology, and gender roles and power relationships in Japanese society. There are five major findings: one, the importance of food-chocolate-in the creolization process of the consumer ritual; two, the persistent gender asymmetric nature of the Valentines consumer holiday; three, the ritual's structural aspects and changes over the time; four, the importance of confession in the ritual process; and five, the transformation of its role from a simple instrument of love and a way to elevate a relationship to a rite to reconfirm gender identity. This study supplements the very limited literature on Japanese gift-giving rituals.</t>
  </si>
  <si>
    <t>[Minowa, Yuko] Long Isl Univ, Managerial Sci Dept, Brooklyn, NY 11201 USA; [Khomenko, Olga] Univ London, Sch Oriental &amp; African Studies, London, England; [Belk, Russell W.] York Univ, Schulich Sch Business, Toronto, ON M3J 2R7, Canada</t>
  </si>
  <si>
    <t>Long Island University-Brooklyn Campus; University of London; University of London School Oriental &amp; African Studies (SOAS); York University - Canada</t>
  </si>
  <si>
    <t>Minowa, Y (corresponding author), Long Isl Univ, Managerial Sci Dept, Brooklyn Campus,1 Univ Plaza, Brooklyn, NY 11201 USA.</t>
  </si>
  <si>
    <t>yminowa@liu.edu</t>
  </si>
  <si>
    <t>Belk, Russell W/E-7721-2015</t>
  </si>
  <si>
    <t>Belk, Russell W/0000-0001-6674-9792; Minowa, Yuko/0000-0002-7806-4034</t>
  </si>
  <si>
    <t>0276-1467</t>
  </si>
  <si>
    <t>J MACROMARKETING</t>
  </si>
  <si>
    <t>J. Macromarketing</t>
  </si>
  <si>
    <t>10.1177/0276146710375831</t>
  </si>
  <si>
    <t>729EB</t>
  </si>
  <si>
    <t>WOS:000287930300004</t>
  </si>
  <si>
    <t>Kang, MY; Choi, Y; Choi, J</t>
  </si>
  <si>
    <t>Kang, Moon Young; Choi, Yonglim; Choi, Jeonghye</t>
  </si>
  <si>
    <t>The effect of celebrity endorsement on sustainable firm value: evidence from the Korean telecommunications industry</t>
  </si>
  <si>
    <t>Celebrity endorsement; text mining; sentiment analysis; attractiveness; expertise; trustworthiness; firm value; Tobin's Q; sustainability</t>
  </si>
  <si>
    <t>ECONOMIC VALUE; IMPACT</t>
  </si>
  <si>
    <t>Celebrity endorsement has been prevalent as an advertising strategy, and many advertisers invest enormous amounts of money into celebrity endorsements. While previous studies have found that the success and failure of celebrity endorsements are related to their attractiveness, expertise, and trustworthiness, it is not known how and which sources of celebrity endorsements can explain firm value, which is a very important factor for firm sustainability. By text mining and sentiment analysis, this research found that increasing the positive source of the celebrity's attractiveness and expertise has a positive impact on firm value, whereas the loss of the celebrity's trustworthiness severely deteriorates firm value. Once a celebrity has lost his/her trustworthiness, the negative impact is almost never recovered, given that the negative interaction effect between the positive impact of celebrity expertise and the loss of his/her trustworthiness is over seven times greater than the positive effects from his/her expertise.</t>
  </si>
  <si>
    <t>[Kang, Moon Young; Choi, Yonglim] Korea Adv Inst Sci &amp; Technol, Coll Business, Seoul, South Korea; [Choi, Jeonghye] Yonsei Univ, Yonsei Sch Business, Seoul, South Korea</t>
  </si>
  <si>
    <t>Korea Advanced Institute of Science &amp; Technology (KAIST); Yonsei University</t>
  </si>
  <si>
    <t>Kang, MY (corresponding author), Korea Adv Inst Sci &amp; Technol, 85 Hoegiro, Seoul 02455, South Korea.</t>
  </si>
  <si>
    <t>mkang@business.kaist.ac.kr</t>
  </si>
  <si>
    <t>Kang, Moon Young/0000-0002-7653-5605</t>
  </si>
  <si>
    <t>10.1080/02650487.2019.1601910</t>
  </si>
  <si>
    <t>APR 2019</t>
  </si>
  <si>
    <t>IK4JR</t>
  </si>
  <si>
    <t>WOS:000470374200001</t>
  </si>
  <si>
    <t>Hu, F; Teichert, T; Deng, SL; Liu, Y; Zhou, GT</t>
  </si>
  <si>
    <t>Hu, Feng; Teichert, Thorsten; Deng, Shengli; Liu, Yong; Zhou, Guotao</t>
  </si>
  <si>
    <t>Dealing with pandemics: An investigation of the effects of COVID-19 on customers? evaluations of hospitality services</t>
  </si>
  <si>
    <t>COVID-19 pandemic; Service evaluation; Hotel reviews; Text mining; Sentiment analysis; Comparative importance?performance analysis</t>
  </si>
  <si>
    <t>IMPORTANCE-PERFORMANCE ANALYSIS; TOURISM DEMAND; BIG DATA; ONLINE; SATISFACTION; IMPACT; HOTELS; EXPECTATION; ANTECEDENTS; REPEAT</t>
  </si>
  <si>
    <t>The hospitality industry is highly vulnerable to pandemics. However, little is known about how pandemics alter travelers? evaluations of hospitality services. Therefore, this study investigates the changes in travelers? expectations and perceptions of hotel services during different stages of the novel coronavirus 2019 (COVID-19) pandemic. 98,163 Chinese hotel reviews were collected and scrutinized via text mining and sentiment analysis techniques to derive new implications for service optimization. The results reveal shifts in consumers? evaluations well beyond hygienic requirements. Insights obtained from this research can help guide hospitality practice in organizing its priorities during acute pandemic situations and adjusting to possibly longer-lasting shifts in consumer preferences.</t>
  </si>
  <si>
    <t>[Hu, Feng] Zhejiang Normal Univ, Coll Econ &amp; Management, Jinhua 321004, Zhejiang, Peoples R China; [Hu, Feng; Teichert, Thorsten] Univ Hamburg, Chair Mkt &amp; Innovat, D-20146 Hamburg, Germany; [Deng, Shengli] Wuhan Univ, Ctr Studies Informat Resources, Wuhan 430072, Peoples R China; [Liu, Yong] Aalto Univ, Dept Informat &amp; Serv Econ, Sch Business, Helsinki, Finland; [Zhou, Guotao] Wuhan Univ, Sch Informat Management, Wuhan 430072, Peoples R China</t>
  </si>
  <si>
    <t>Zhejiang Normal University; University of Hamburg; Wuhan University; Aalto University; Wuhan University</t>
  </si>
  <si>
    <t>Deng, SL (corresponding author), Wuhan Univ, Ctr Studies Informat Resources, Wuhan 430072, Peoples R China.</t>
  </si>
  <si>
    <t>hufeng@zjnu.cn; Thorsten.Teichert@uni-hamburg.de; victorydc@sina.com; yong.liu@aalto.fi; grant_zgt@163.com</t>
  </si>
  <si>
    <t>Gui, Yuliang/AAP-5071-2021</t>
  </si>
  <si>
    <t>Liu, Yong/0000-0002-0228-8971</t>
  </si>
  <si>
    <t>National Natural Science Foundation, PR China [71974149]; Wuhan University artificial intelligence project [2020AI021]</t>
  </si>
  <si>
    <t>National Natural Science Foundation, PR China(National Natural Science Foundation of China (NSFC)); Wuhan University artificial intelligence project</t>
  </si>
  <si>
    <t>This research is supported in part by National Natural Science Foundation, PR China (Grant No. 71974149) and Wuhan University artificial intelligence project (Grant No. 2020AI021).</t>
  </si>
  <si>
    <t>10.1016/j.tourman.2021.104320</t>
  </si>
  <si>
    <t>RQ5QZ</t>
  </si>
  <si>
    <t>WOS:000642474700002</t>
  </si>
  <si>
    <t>Areni, CS</t>
  </si>
  <si>
    <t>Areni, Charles S.</t>
  </si>
  <si>
    <t>Automated text analyses of YouTube comments as field experiments for assessing consumer sentiment towards products and brands</t>
  </si>
  <si>
    <t>Social media; Sentiment analysis; Nostalgia; Leximancer; YouTube; User generated content; Automated text analysis; Field experiments; Quasi-experiments; Retro brands</t>
  </si>
  <si>
    <t>USER-GENERATED CONTENT; SOCIAL MEDIA; EXTERNAL VALIDITY; QUASI-EXPERIMENTS; NOSTALGIA; PERSPECTIVE; FACEBOOK; BEHAVIOR; SALES; LIKES</t>
  </si>
  <si>
    <t>Purpose The purpose of this study is to show how non-random groupings of YouTube videos can be combined with automated text analysis (ATA) of user comments to conduct quasi-experiments on consumer sentiment towards different types of brands in a naturalistic setting. Design/methodology/approach NCapture extracted thousands of comments on multiple videos representing different experimental treatments and Leximancer revealed differences in the lexical patterns of user comments for different types of brands. Findings User comments consistently revealed hypothesized relationships between brand types, based on existing theory regarding motivations for nostalgia and the relationship between consumer preferences, online product ratings and purchases. These results demonstrate the viability of conducting quasi-experimental research in naturalistic settings via non-random groupings of YT videos and ATA of user comments. Research limitations/implications This research adopts a single quasi-experimental design: the non-equivalent group, after-only design. However, the same basic approach can be used with other quasi-experimental designs to examine different kinds of research questions. Originality/value Overall, this research points to the potential for ATA of comments on different categories of YT videos as a relatively straightforward approach for conducting field experiments that establish the ecological validity of laboratory findings. The method is easy to use and does not require the participation and cooperation of private, third party social media research companies.</t>
  </si>
  <si>
    <t>[Areni, Charles S.] Uncommon Sense Mkt Res Pty Ltd, Oyster Bay, Australia; [Areni, Charles S.] Univ Wollongong, Wollongong, NSW, Australia</t>
  </si>
  <si>
    <t>University of Wollongong</t>
  </si>
  <si>
    <t>Areni, CS (corresponding author), Uncommon Sense Mkt Res Pty Ltd, Oyster Bay, Australia.;Areni, CS (corresponding author), Univ Wollongong, Wollongong, NSW, Australia.</t>
  </si>
  <si>
    <t>csareni@gmail.com</t>
  </si>
  <si>
    <t>Areni, Charles/ACQ-2051-2022</t>
  </si>
  <si>
    <t>Areni, Charles/0000-0003-4563-3779</t>
  </si>
  <si>
    <t>10.1108/JPBM-01-2021-3341</t>
  </si>
  <si>
    <t>1U5IX</t>
  </si>
  <si>
    <t>WOS:000703145500001</t>
  </si>
  <si>
    <t>Hovy, Dirk/0000-0002-4618-3127; Inman, Jeffrey/0000-0003-0410-2242</t>
  </si>
  <si>
    <t>Randhawa, K; Wilden, R; Hohberger, J</t>
  </si>
  <si>
    <t>Randhawa, Krithika; Wilden, Ralf; Hohberger, Jan</t>
  </si>
  <si>
    <t>A Bibliometric Review of Open Innovation: Setting a Research Agenda</t>
  </si>
  <si>
    <t>JOURNAL OF PRODUCT INNOVATION MANAGEMENT</t>
  </si>
  <si>
    <t>RESEARCH-AND-DEVELOPMENT; OPEN SOURCE SOFTWARE; INBOUND OPEN INNOVATION; STRATEGY-AS-PRACTICE; ABSORPTIVE-CAPACITY; DYNAMIC CAPABILITIES; INTELLECTUAL STRUCTURE; COCITATION ANALYSIS; EMPIRICAL-EVIDENCE; AUTHOR COCITATION</t>
  </si>
  <si>
    <t>Through an objective, systematic, and comprehensive review of the literature on open innovation (OI), this article identifies gaps in existing research, and provides recommendations on how hitherto unused or underused organizational, management, and marketing theories can be applied to advance the field. This study adopts a novel approach by combining two complementary bibliometric methods of co-citation analysis and text mining of 321 journal articles on OI that enables a robust empirical analysis of the intellectual streams and key concepts underpinning OI. Results reveal that researchers do not sufficiently draw on theoretical perspectives external to the field to examine multiple facets of OI. Research also seems confined to innovation-specific journals with its focus restricted to a select few OI issues, thereby exerting limited influence on the wider business community. This study reveals three distinct areas within OI research: (1) firm-centric aspects of OI, (2) management of OI networks, and (3) role of users and communities in OI. Thus far, studies have predominantly investigated the firm-centric aspects of OI, with a particular focus on the role of knowledge, technology, and R&amp;D from the innovating firm's perspective, while the other two areas remain relatively under-researched. Further gaps in the literature emerge that present avenues for future research, namely to: (1) develop a more comprehensive understanding of OI by including diverse perspectives (users, networks, and communities), (2) direct increased attention to OI strategy formulation and implementation, and (3) enhance focus on customer co-creation and conceptualize open service innovation. Marketing (e.g., service-dominant logic), organizational behavior (e.g., communities of practice), and management (e.g., dynamic capabilities) offer suitable theoretical lenses and/or concepts to address these gaps.</t>
  </si>
  <si>
    <t>[Randhawa, Krithika; Hohberger, Jan] Univ Technol Sydney, Sydney, NSW 2007, Australia; [Wilden, Ralf] Newcastle Business Sch, Strategy, Newcastle, NSW, Australia</t>
  </si>
  <si>
    <t>University of Technology Sydney</t>
  </si>
  <si>
    <t>Randhawa, K (corresponding author), Univ Technol Sydney, Business Sch, POB 123, Broadway, NSW 2007, Australia.</t>
  </si>
  <si>
    <t>krithika.randhawa@uts.edu.au</t>
  </si>
  <si>
    <t>Wilden, Ralf/I-9172-2019</t>
  </si>
  <si>
    <t>Wilden, Ralf/0000-0002-1088-5792; Randhawa, Krithika/0000-0001-6972-2827</t>
  </si>
  <si>
    <t>0737-6782</t>
  </si>
  <si>
    <t>1540-5885</t>
  </si>
  <si>
    <t>J PROD INNOVAT MANAG</t>
  </si>
  <si>
    <t>J. Prod. Innov. Manage.</t>
  </si>
  <si>
    <t>10.1111/jpim.12312</t>
  </si>
  <si>
    <t>Business; Engineering, Industrial; Management</t>
  </si>
  <si>
    <t>Business &amp; Economics; Engineering</t>
  </si>
  <si>
    <t>DZ2YV</t>
  </si>
  <si>
    <t>WOS:000385709900007</t>
  </si>
  <si>
    <t>Stead, S; Wetzels, R; Wetzels, M; Odekerken-Schroder, G; Mahr, D</t>
  </si>
  <si>
    <t>Stead, Susan; Wetzels, Ruud; Wetzels, Martin; Odekerken-Schroder, Gaby; Mahr, Dominik</t>
  </si>
  <si>
    <t>Toward Multisensory Customer Experiences: A Cross-Disciplinary Bibliometric Review and Future Research Directions</t>
  </si>
  <si>
    <t>multisensory; customer experience; text mining; co-citation; systematic literature review</t>
  </si>
  <si>
    <t>SENSORY ASPECTS; CHANNEL; SCENT; CUES; ATMOSPHERICS; EVOLUTION; RECEPTOR; CHOICES; MUSIC</t>
  </si>
  <si>
    <t>An in-depth understanding of multisensory customer experiences could inform and transform service experiences across the touchpoints of customer journeys. Sensory research in service and marketing disciplines mostly refers to individual senses in isolation. However, relevant insights could be gleaned from other disciplines to explore the multisensory nature of customer experiences. Noting the fragmented state of research surrounding such topics, the current article presents a systematic, objective overview of the content and theoretical foundations underlying the notion of multisensory customer experiences. Seeking a holistic understanding and research agenda for service research, the authors adopt both text mining and co-citation analyses overlaying findings from the cross-disciplinary foundation to uncover relevant theoretical, conceptual, and methodological developments. The resulting research agenda encourages scholars to employ diverse theories and methods to investigate multisensory stimuli, their integration, and perception, as well as the link between multisensory customer experiences and emotions. These insights then can inform the design of multisensory omnichannel service experiences.</t>
  </si>
  <si>
    <t>[Stead, Susan] Rhein Westfal TH Aachen, Sch Business &amp; Econ, Inst Technol &amp; Innovat Management TIM, Kackertstr 7, D-52072 Aachen, Germany; [Wetzels, Ruud] Radboud Univ Nijmegen, Dept Business Adm Mkt Grp, Nijmegen Sch Management, Nijmegen, Netherlands; [Wetzels, Martin] EDHEC Business Sch, Dept Mkt, Roubaix 1, France; [Odekerken-Schroder, Gaby] Maastricht Univ, Sch Business &amp; Econ Mkt &amp; Supply Chain Management, Maastricht, Netherlands; [Mahr, Dominik] Hanken Sch Econ, Ctr Relationship Mkt &amp; Serv Management, Helsinki, Finland; [Mahr, Dominik] Maastricht Univ, Dept Mkt &amp; Supply Chain Management, Maastricht, Netherlands</t>
  </si>
  <si>
    <t>RWTH Aachen University; Radboud University Nijmegen; Universite Catholique de Lille; EDHEC Business School; Maastricht University; Hanken School of Economics; Maastricht University</t>
  </si>
  <si>
    <t>Stead, S (corresponding author), Rhein Westfal TH Aachen, Sch Business &amp; Econ, Inst Technol &amp; Innovat Management TIM, Kackertstr 7, D-52072 Aachen, Germany.</t>
  </si>
  <si>
    <t>stead@time.rwth-aachen.de</t>
  </si>
  <si>
    <t>Wetzels, Martin/AAA-9399-2019</t>
  </si>
  <si>
    <t>Wetzels, Martin/0000-0001-8569-5320; Wetzels, Ruud/0000-0002-4232-8288; Stead, Susan/0000-0001-5001-0221; Odekerken, Gaby/0000-0001-7722-5839</t>
  </si>
  <si>
    <t>10.1177/10946705221079941</t>
  </si>
  <si>
    <t>3A0JG</t>
  </si>
  <si>
    <t>WOS:000780760600001</t>
  </si>
  <si>
    <t>Ipeirotis, Panos/AAB-2041-2020; Ipeirotis, Panos/O-8700-2018; shiqi, Zhu/AAR-9274-2021; Ipeirotis, Panagiotis G./A-7148-2008</t>
  </si>
  <si>
    <t>Ipeirotis, Panos/0000-0002-2966-7402; Ipeirotis, Panagiotis G./0000-0002-2966-7402</t>
  </si>
  <si>
    <t>Romero-Domnguez, L; Martn-Santana, JD; Sanchez-Medina, AJ; Beerli-Palacio, A</t>
  </si>
  <si>
    <t>Romero-Dominguez, Laura; Martin-Santana, Josefa D.; Sanchez-Medina, Agustin J.; Beerli-Palacio, Asuncion</t>
  </si>
  <si>
    <t>Lines of Scientific Research in the Study of Blood Donor Behavior from a Social Marketing Perspective</t>
  </si>
  <si>
    <t>Social marketing; blood donation; blood donor behavior; content analysis; text mining</t>
  </si>
  <si>
    <t>UNIVERSITY-STUDENTS; DONATION INTENTIONS; RETURN BEHAVIOR; 1ST-TIME DONORS; APPLIED TENSION; WHOLE-BLOOD; NONPROFIT ORGANIZATIONS; AFFECTIVE ATTITUDES; VASOVAGAL REACTIONS; APHERESIS DONORS</t>
  </si>
  <si>
    <t>Although blood is essential in healthcare systems for medical and surgical use, it is still a scarce resource. Given that blood cannot be produced artificially, donors are the backbone of the system, which is why it is crucial for transfusion centers to understand the factors that determine their behavior. The goal of this study is to help decision-makers at transfusion understand what lines of research have been developed in the literature and which ones might be useful to define and assess actions related to the attributes of the donation system and donor behavior. To that end, this work aims to present an overview of the available literature on blood donor behavior from a social marketing perspective, which is of paramount importance in the context of blood donation. Based on the results of this review, which was performed by using the text mining methodology, this study presents current lines of investigation, and proposes additional future lines.</t>
  </si>
  <si>
    <t>[Romero-Dominguez, Laura; Martin-Santana, Josefa D.; Beerli-Palacio, Asuncion] Univ La Palmas de Gran Canaria, Fac Econ Empresa &amp; Turismo, Campus Tafira, Las Palmas Gran Canaria 35017, Spain; [Sanchez-Medina, Agustin J.] Univ La Palmas de Gran Canaria, Inst Univ Ciencias &amp; Tecnol Cibernet, Las Palmas Gran Canaria, Spain</t>
  </si>
  <si>
    <t>Universidad de Las Palmas de Gran Canaria; Universidad de Las Palmas de Gran Canaria</t>
  </si>
  <si>
    <t>Romero-Domnguez, L (corresponding author), Univ La Palmas de Gran Canaria, Fac Econ Empresa &amp; Turismo, Campus Tafira, Las Palmas Gran Canaria 35017, Spain.</t>
  </si>
  <si>
    <t>laura.romero@ulpgc.es</t>
  </si>
  <si>
    <t>Sánchez-Medina, Agustín/ABE-8733-2020; Martín-Santana, Josefa D./ABB-6443-2021</t>
  </si>
  <si>
    <t>Sánchez-Medina, Agustín/0000-0002-7569-3556; Martín-Santana, Josefa D./0000-0002-7078-0271; Beerli-Palacio, Asuncion/0000-0003-1457-0250; Romero-Dominguez, Laura/0000-0002-4981-4529</t>
  </si>
  <si>
    <t>Spanish Ministry of Economy and Competitiveness [ECO2015-64875-R]</t>
  </si>
  <si>
    <t>Spanish Ministry of Economy and Competitiveness(Spanish Government)</t>
  </si>
  <si>
    <t>This work was supported by the Spanish Ministry of Economy and Competitiveness [Project ECO2015-64875-R].</t>
  </si>
  <si>
    <t>MAY 27</t>
  </si>
  <si>
    <t>10.1080/10495142.2019.1707741</t>
  </si>
  <si>
    <t>DEC 2019</t>
  </si>
  <si>
    <t>US3KB</t>
  </si>
  <si>
    <t>WOS:000504191800001</t>
  </si>
  <si>
    <t>van Laer, T; Escalas, JE; Ludwig, S; van den Hende, EA</t>
  </si>
  <si>
    <t>van Laer, Tom; Escalas, Jennifer Edson; Ludwig, Stephan; van den Hende, Ellis A.</t>
  </si>
  <si>
    <t>automated text analysis; computational linguistics; consumer reviews; narrative persuasion; narrative transportation; storytelling</t>
  </si>
  <si>
    <t>LINGUISTIC STYLE MATCHES; WORD-OF-MOUTH; ONLINE REVIEWS; TEXT ANALYSIS; SOCIAL MEDIA; TRANSPORTATION; CONSUMPTION; STORIES; CONSEQUENCES; HELPFULNESS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</si>
  <si>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</si>
  <si>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[van Laer, Tom] City Univ London, Cass Business Sch, Mkt, 106 Bunhill Row, London EC1Y 8TZ, England; [Escalas, Jennifer Edson] Vanderbilt Univ, Owen Grad Sch Management, Mkt, 401 21st Ave South, Nashville, TN 37203 USA; [Ludwig, Stephan] Univ Melbourne, Fac Business &amp; Econ, Mkt, Parkville, Vic 3010, Australia; [van den Hende, Ellis A.] Delft Univ Technol, Fac Ind Design Engn, Mkt, Landbergstr 15, NL-2628 CE Delft, Netherlands</t>
  </si>
  <si>
    <t>City University London; Vanderbilt University; University of Melbourne; Delft University of Technology</t>
  </si>
  <si>
    <t>van Laer, T (corresponding author), City Univ London, Cass Business Sch, Mkt, 106 Bunhill Row, London EC1Y 8TZ, England.</t>
  </si>
  <si>
    <t>tvanlaer@city.ac.uk; jennifer.escalas@owen.vanderbilt.edu; sludwig@unimelb.edu.au; e.a.vandenhende@tudelft.nl</t>
  </si>
  <si>
    <t>van Laer, Tom/AAC-2500-2019</t>
  </si>
  <si>
    <t>Marketing Science Institute [4000118]</t>
  </si>
  <si>
    <t>The Marketing Science Institute financially supported part of this work through research grant 4000118.</t>
  </si>
  <si>
    <t>10.1093/jcr/ucy067</t>
  </si>
  <si>
    <t>IS4QE</t>
  </si>
  <si>
    <t>WOS:000482137800004</t>
  </si>
  <si>
    <t>Bhattacharya, A; Misra, S; Sardashti, H</t>
  </si>
  <si>
    <t>Bhattacharya, Abhi; Misra, Shekhar; Sardashti, Hanieh</t>
  </si>
  <si>
    <t>Strategic orientation and firm risk</t>
  </si>
  <si>
    <t>Market orientation; Entrepreneurial orientation; Shareholder return; Firm risk; Text analysis</t>
  </si>
  <si>
    <t>PROACTIVE MARKET ORIENTATION; RESEARCH-AND-DEVELOPMENT; RESOURCE-BASED VIEW; ENTREPRENEURIAL ORIENTATION; CUSTOMER SATISFACTION; PERFORMANCE RELATIONSHIP; COMPETITIVE ADVANTAGE; BUSINESS PERFORMANCE; ABSORPTIVE-CAPACITY; SHAREHOLDER VALUE</t>
  </si>
  <si>
    <t>Entrepreneurial orientation (EO) and market orientation (MO) have received substantial conceptual and empirical attention in the marketing and management literature and both orientations have consistently been linked to stronger financial performance. Yet the way in which market-oriented firms seek to achieve superior rents is substantively different from that of entrepreneurially oriented firms which could lead to differential impacts of EO and MO on firm risk. In this study, the authors employ a text mining technique to assess firms' EO and MO and examine the impact of these two strategic orientations on shareholder risk outcomes. The results show that while EO increases idiosyncratic risk, MO decreases it. However, only EO decreases systematic risk. Overall, the results of this study demonstrate that a firm's decisions regarding strategic orientation should be examined in light of both likely risks and returns in order to make appropriate resource allocation decisions. (C) 2019 Elsevier B.V. All rights reserved,</t>
  </si>
  <si>
    <t>[Bhattacharya, Abhi] Univ Groningen, Fac Econ &amp; Business, Duisenberg Bldg,Nettlebosje 2, NL-9700 AK Groningen, Netherlands; [Misra, Shekhar] Univ Grenoble Alpes ComUE, Grenoble Ecole Management, Mkt &amp; Sales Dept, BP 127,12 Rue Pierre Sernard, F-38003 Grenoble 01, France; [Sardashti, Hanieh] Univ North Florida, Caggin Coll Business, 1 UNF Dr,Bldg 42,Off 3407, Jacksonville, FL 32224 USA</t>
  </si>
  <si>
    <t>University of Groningen; Grenoble Ecole Management; State University System of Florida; University of North Florida</t>
  </si>
  <si>
    <t>Bhattacharya, A (corresponding author), Univ Groningen, Fac Econ &amp; Business, Duisenberg Bldg,Nettlebosje 2, NL-9700 AK Groningen, Netherlands.</t>
  </si>
  <si>
    <t>abhi.bhattacharya@rug.nl; shekhar.misra@grenoble-em.com; h.sardashti@unf.edu</t>
  </si>
  <si>
    <t>Bhattacharya, Abhi/0000-0002-6921-7430</t>
  </si>
  <si>
    <t>10.1016/j.ijresmar.2019.01.004</t>
  </si>
  <si>
    <t>KA2QR</t>
  </si>
  <si>
    <t>WOS:000505642900001</t>
  </si>
  <si>
    <t>Carracedo, P; Puertas, R; Marti, L</t>
  </si>
  <si>
    <t>Carracedo, Patricia; Puertas, Rosa; Marti, Luisa</t>
  </si>
  <si>
    <t>Research lines on the impact of the COVID-19 pandemic on business. A text mining analysis</t>
  </si>
  <si>
    <t>COVID-19; Text mining; Cluster; Business; Marketing</t>
  </si>
  <si>
    <t>VALIDATION; GENDER</t>
  </si>
  <si>
    <t>COVID-19 has brought about a marked slowdown in global economic development. Companies have been forced to adopt new managerial guidelines to adapt to the difficult conditions and to survive in this new normal. The recent and still scarce literature in this field seeks to provide suitable solutions to prevent irreparable disruption and help strengthen business, but does not apply advanced statistical methods to that end. The aim of this paper is to identify the current research lines developed around COVID-19 and their impact on the business environment, applying text mining methodology. The analysis, which uses statistical software R, focuses on systematic review of studies published in prestigious journals of business and marketing areas. In light of the results obtained, three different areas of intervention were identified. The common thread that runs through all of them is the need to introduce new forms of action to improve citizens' quality of life.</t>
  </si>
  <si>
    <t>[Carracedo, Patricia] Univ Int Valencia, Area Empresa, C Pintor Sorolla 21, Valencia 46022, Spain; [Puertas, Rosa; Marti, Luisa] Univ Politecn Valencia, Dept Econ &amp; Ciencias Sociales, Camino Vera S-N, Valencia 46002, Spain</t>
  </si>
  <si>
    <t>Universidad Internacional de Valencia VIU; Universitat Politecnica de Valencia</t>
  </si>
  <si>
    <t>Carracedo, P (corresponding author), Univ Int Valencia, Area Empresa, C Pintor Sorolla 21, Valencia 46022, Spain.</t>
  </si>
  <si>
    <t>patricia.carracedo@campusviu.es</t>
  </si>
  <si>
    <t>; MARTI, LUISA/W-3394-2018</t>
  </si>
  <si>
    <t>, Rosa/0000-0003-4937-4575; MARTI, LUISA/0000-0001-8861-4442; CARRACEDO, PATRICIA/0000-0002-9352-9565</t>
  </si>
  <si>
    <t>10.1016/j.jbusres.2020.11.043</t>
  </si>
  <si>
    <t>SM9IV</t>
  </si>
  <si>
    <t>WOS:000657911500013</t>
  </si>
  <si>
    <t>Packard, G; Berger, J; Boghrati, R</t>
  </si>
  <si>
    <t>Packard, Grant; Berger, Jonah; Boghrati, Reihane</t>
  </si>
  <si>
    <t>How Verb Tense Shapes Persuasion</t>
  </si>
  <si>
    <t>language; certainty; persuasion; verbs; natural language processing</t>
  </si>
  <si>
    <t>WORD-OF-MOUTH; ATTITUDE CERTAINTY; ONLINE REVIEWS; CONFIDENCE; FUTURE; HELPFULNESS; PRODUCT; CALIBRATION; LANGUAGE; BEHAVIOR</t>
  </si>
  <si>
    <t>When sharing information and opinions about products, services, and experiences, communicators often use either past or present tense (e.g., That restaurant was great or That restaurant is great). Might such differences in verb tense shape communication's impact, and if so, how? A multimethod investigation, including eight studies conducted in the field and lab, demonstrates that using present (vs. past) tense can increase persuasion. Natural language processing of over 500,000 online reviews in multiple product and service domains, for example, illustrates that reviews that use more present tense are seen as more helpful and useful. Follow-up experiments demonstrate that shifting from past to present tense increases persuasion and illustrate the underlying process through both mediation and moderation. When communicators use present (rather than past) tense to express their opinions and experiences, it suggests that they are more certain about what they are saying, which increases persuasion. These findings shed light on how language impacts consumer behavior, highlight how a subtle, yet central linguistic feature shapes communication, and have clear implications for persuasion across a range of situations.</t>
  </si>
  <si>
    <t>[Packard, Grant] York Univ, Schulich Sch Business, Toronto, ON, Canada; [Berger, Jonah] Univ Penn, Wharton Sch, Philadelphia, PA USA; [Boghrati, Reihane] Arizona State Univ, W P Carey Sch Business, Tempe, AZ USA</t>
  </si>
  <si>
    <t>York University - Canada; University of Pennsylvania; Arizona State University; Arizona State University-Tempe</t>
  </si>
  <si>
    <t>gpackard@schulich.yorku.ca; jberger@wharton.upenn.edu; reihane.boghrati@asu.edu</t>
  </si>
  <si>
    <t>This research is supported in part by funding from the Social Sciences and Humanities Research Council of Canada awarded to the first author. Supplementary materials are included in the web appendix accompanying the online version of this article.</t>
  </si>
  <si>
    <t>10.1093/jcr/ucad006</t>
  </si>
  <si>
    <t>9B2XE</t>
  </si>
  <si>
    <t>WOS:000934604400001</t>
  </si>
  <si>
    <t>Cooper, H; Schembri, S; Miller, D</t>
  </si>
  <si>
    <t>Cooper, Holly; Schembri, Sharon; Miller, Dale</t>
  </si>
  <si>
    <t>Brand-Self Identity Narratives in the James Bond Movies</t>
  </si>
  <si>
    <t>CONSUMER-BEHAVIOR; CULTURE; PRODUCT; EXPERIENCES; CONSUMPTION; DISCOURSES</t>
  </si>
  <si>
    <t>Consumers learn to attach social and contextual meaning to products and brands through observing the character relationships with particular objects or specific brands in the archetypal stories in film on the big screen (cinema). Luxury brands become objects of desire, fueling consumer aspirations and giving consumers frames of reference in their own consumption ideals. However, substantial research attention to the brand narratives that popular culture portrays has yet to emerge. This paper therefore presents a textual analysis of the brand narratives evident within popular culture, specifically in the context of James Bond films. In taking this interpretive approach, this article identifies three different and contrasting brand-self narratives that reinforce a particular archetypal myth of a lover, hero, or outlaw. (C) 2010 Wiley Periodicals, Inc.</t>
  </si>
  <si>
    <t>[Miller, Dale] Griffith Univ, Dept Mkt, Griffith Business Sch, Griffith, Qld 4222, Australia</t>
  </si>
  <si>
    <t>Griffith University</t>
  </si>
  <si>
    <t>Miller, D (corresponding author), Griffith Univ, Dept Mkt, Griffith Business Sch, Griffith, Qld 4222, Australia.</t>
  </si>
  <si>
    <t>d.miller@griffith.edu.au</t>
  </si>
  <si>
    <t>Schembri, Sharon/AAU-6974-2021; Schembri, Sharon/O-1997-2018</t>
  </si>
  <si>
    <t>Schembri, Sharon/0000-0002-6356-0895; Cooper, Holly/0000-0003-0608-5239</t>
  </si>
  <si>
    <t>10.1002/mar.20344</t>
  </si>
  <si>
    <t>627YS</t>
  </si>
  <si>
    <t>WOS:000280081400003</t>
  </si>
  <si>
    <t>Moon, S; Song, R</t>
  </si>
  <si>
    <t>JOURNAL OF RETAILING</t>
  </si>
  <si>
    <t>International retailing; Culture; Online product reviews; Movies; Text mining; Product/market segmentation</t>
  </si>
  <si>
    <t>BOX-OFFICE PERFORMANCE; WORD-OF-MOUTH; NATIONAL CULTURE; FILM-CRITICS; DIFFUSION; REVIEWS; TAKEOFF; PREDICTABILITY; CONSUMPTION; ECONOMICS</t>
  </si>
  <si>
    <t>We investigate factors influencing the international retailing of cultural products by concentrating on two cultural elements: (1) consumer-perceived cultural content embedded in the product and (2) the general cultural environment of the foreign market. To test cross-culture predictability in international retailing, we develop a novel text mining procedure to elicit the specific cultural content of the product using consumers' online product reviews. In addition, to measure the general cultural environment of the market, we apply Hofstede's cultural distance measure. To explain foreign markets' acceptance of culturally specific elements, we theorize that the relationship between inter-country cultural distance and product sales is U shaped because of both cultural discount and cultural premium. In our empirical analysis using American movies in international retailing, we find that the two specified types of cultural factors determine a movie's success, along with the movie's characteristics and the market's economic environment. From a managerial perspective, international retailers that understand the delicate implications of the match/mismatch of their general national culture and the imported product's specific cultural content can better predict the international success of imported cultural products. (C) 2014 New York University. Published by Elsevier Inc. All rights reserved.</t>
  </si>
  <si>
    <t>[Moon, Sangkil] Univ N Carolina, Belk Coll Business, Charlotte, NC 28223 USA; [Song, Reo] Kansas State Univ, Coll Business Adm, Manhattan, KS 66503 USA</t>
  </si>
  <si>
    <t>University of North Carolina; University of North Carolina Charlotte; Kansas State University</t>
  </si>
  <si>
    <t>Moon, S (corresponding author), Univ N Carolina, Belk Coll Business, 249A Friday Bldg,9201 Univ City Blvd, Charlotte, NC 28223 USA.</t>
  </si>
  <si>
    <t>smoon13@uncc.edu; strada@ksu.edu</t>
  </si>
  <si>
    <t>Song, Reo/I-3607-2013</t>
  </si>
  <si>
    <t>Song, Reo/0000-0002-5007-2489; Moon, Sangkil/0000-0002-4883-0498</t>
  </si>
  <si>
    <t>0022-4359</t>
  </si>
  <si>
    <t>1873-3271</t>
  </si>
  <si>
    <t>J RETAILING</t>
  </si>
  <si>
    <t>J. Retail.</t>
  </si>
  <si>
    <t>10.1016/j.jretai.2014.12.002</t>
  </si>
  <si>
    <t>CC1EW</t>
  </si>
  <si>
    <t>WOS:000350085000010</t>
  </si>
  <si>
    <t>Moen, O; Havro, LJ; Bjering, E</t>
  </si>
  <si>
    <t>Moen, Oystein; Havro, Lars Jaako; Bjering, Einar</t>
  </si>
  <si>
    <t>Online consumers reviews: Examining the moderating effects of product type and product popularity on the review impact on sales</t>
  </si>
  <si>
    <t>COGENT BUSINESS &amp; MANAGEMENT</t>
  </si>
  <si>
    <t>online product reviews; product type; popularity; sales</t>
  </si>
  <si>
    <t>WORD-OF-MOUTH; INFORMATION; TRUST</t>
  </si>
  <si>
    <t>This paper aims to study the role product category plays as a moderating factor in online reviews, by introducing a novel method for product category classification using natural language processing (NLP). The study includes a wide variety of categories, based on a high number of products and number of reviews. The data-set presented includes 1.1 million unique reviews from 4,600 products in 30 different product categories. We find evidence for reviews having an effect on sales, and that this effect interacts with other factors, most notably the product category as well as product popularity. We find that subjectively evaluated products, as well as less popular products see the largest relative effect of WOM. This paper also reveals some evidence of rating biases as 60% of the 1.1 million reviews in our data-set show signs of bimodality. Based on the results we present the review impact continuum, a model mapping degree of subjectivity and product popularity enabling managers to assess the expected impact of online consumer reviews for their products.</t>
  </si>
  <si>
    <t>[Moen, Oystein; Havro, Lars Jaako; Bjering, Einar] Norwegian Univ Sci &amp; Technol, Dept Ind Econ &amp; Technol Management, Alfred Getz Vei 3, N-7491 Trondheim, Norway</t>
  </si>
  <si>
    <t>Norwegian University of Science &amp; Technology (NTNU)</t>
  </si>
  <si>
    <t>Moen, O (corresponding author), Norwegian Univ Sci &amp; Technol, Dept Ind Econ &amp; Technol Management, Alfred Getz Vei 3, N-7491 Trondheim, Norway.</t>
  </si>
  <si>
    <t>Oeystein.moen@iot.ntnu.no; larsjh@gmail.com; ebjering@gmail.com</t>
  </si>
  <si>
    <t>Moen, Oystein/0000-0002-3578-9000</t>
  </si>
  <si>
    <t>TAYLOR &amp; FRANCIS AS</t>
  </si>
  <si>
    <t>OSLO</t>
  </si>
  <si>
    <t>KARL JOHANS GATE 5, NO-0154 OSLO, NORWAY</t>
  </si>
  <si>
    <t>2331-1975</t>
  </si>
  <si>
    <t>COGENT BUS MANAG</t>
  </si>
  <si>
    <t>Cogent Bus. Manag.</t>
  </si>
  <si>
    <t>AUG 29</t>
  </si>
  <si>
    <t>10.1080/23311975.2017.1368114</t>
  </si>
  <si>
    <t>FF0CN</t>
  </si>
  <si>
    <t>Green Accepted, gold, Green Published</t>
  </si>
  <si>
    <t>WOS:000408569900001</t>
  </si>
  <si>
    <t>Ngai, EWT; Lee, MCM; Luo, M; Chan, PSL; Liang, TL</t>
  </si>
  <si>
    <t>Ngai, Eric W. T.; Lee, Maggie C. M.; Luo, Mei; Chan, Patrick S. L.; Liang, Tenglu</t>
  </si>
  <si>
    <t>An intelligent knowledge-based chatbot for customer service</t>
  </si>
  <si>
    <t>Conversational agent; Chatbot; Knowledge-based system; System design; Case analysis</t>
  </si>
  <si>
    <t>CONVERSATIONS; AL</t>
  </si>
  <si>
    <t>This study proposes an intelligent knowledge-based conversational agent system architecture to support customer services in e-commerce sales and marketing. A pilot implementation of a chatbot for customer services is reported in a leading women's intimate apparel manufacturing firm. The proposed system incorporates various emerging technologies, including web crawling, natural language processing, knowledge bases, and artificial intelligence. In this study, a prototype system is built in a real-world setting. The results of the system prototype evaluation are satisfactory and support the contention that the system is effective. The study also discusses the challenges and lessons learned during system implementation and the theoretical and managerial implications of this study.</t>
  </si>
  <si>
    <t>[Ngai, Eric W. T.; Lee, Maggie C. M.; Chan, Patrick S. L.; Liang, Tenglu] Hong Kong Polytech Univ, Dept Management &amp; Mkt, Kowloon, Hong Kong, Peoples R China; [Luo, Mei] Lingnan Univ, Off Fac Business, Tuen Mun, Hong Kong, Peoples R China</t>
  </si>
  <si>
    <t>Hong Kong Polytechnic University; Lingnan University</t>
  </si>
  <si>
    <t>Ngai, EWT (corresponding author), Hong Kong Polytech Univ, Dept Management &amp; Mkt, Kowloon, Hong Kong, Peoples R China.</t>
  </si>
  <si>
    <t>eric.ngai@polyu.edu.hk</t>
  </si>
  <si>
    <t>Hong Kong Polytechnic University [ZVK9]</t>
  </si>
  <si>
    <t>Hong Kong Polytechnic University(Hong Kong Polytechnic University)</t>
  </si>
  <si>
    <t>The authors are grateful for the constructive comments of the referees on an earlier version of this paper. The first author was supported in part by The Hong Kong Polytechnic University under a grant number ZVK9.</t>
  </si>
  <si>
    <t>10.1016/j.elerap.2021.101098</t>
  </si>
  <si>
    <t>YL7SA</t>
  </si>
  <si>
    <t>WOS:000746087800002</t>
  </si>
  <si>
    <t>Chavan, GD; Chaudhuri, R; Johnston, WJ</t>
  </si>
  <si>
    <t>Chavan, Gitesh Dhairyashilrao; Chaudhuri, Ranjan; Johnston, Wesley J.</t>
  </si>
  <si>
    <t>Industrial-buying research 1965-2015: review and analysis</t>
  </si>
  <si>
    <t>JOURNAL OF BUSINESS &amp; INDUSTRIAL MARKETING</t>
  </si>
  <si>
    <t>Business-to-business marketing; Quantitative research</t>
  </si>
  <si>
    <t>BUYER-SELLER RELATIONSHIPS; VALUE CO-CREATION; PREFERRED CUSTOMER STATUS; TO-BUSINESS MARKETS; IN-SERVICE TRIADS; SUPPLIER RELATIONSHIPS; DECISION-MAKING; EMPIRICAL-EVIDENCE; CONSUMER RESEARCH; SOCIAL MEDIA</t>
  </si>
  <si>
    <t>Purpose The purpose of this paper is to investigate the underlying knowledge structure and evolution of industrial-buying research published between 1965 and 2015. Design/methodology/approach Bibliometric analysis is performed on 357 relevant papers (using principal component analysis and natural language processing, using VantagePoint (R) tools, used to generate bubble maps, auto-correlation maps and Aduna cluster maps), demonstrating how various factors involved in industrial buying have evolved, their degree of correlation with each other and the interrelationships of multiple factors concerning their co-occurrences. Findings The systematic mapping of industrial-buying research would illustrate the development of the significant factors in industrial-buying research. This paper provides both a global perspective on the leading countries and journals in the field and a robust roadmap for further investigation in this field. Research limitations/implications This paper is limited to the data considered for analysis and may, therefore, overlook or underestimate some work that has not been captured while filtering databases related to industrial buying. Practical implications This paper facilitates near-future projection and trend analysis in industrial-buying research. Originality/value The methodology used is unique to the field of business-to-business marketing.</t>
  </si>
  <si>
    <t>[Chavan, Gitesh Dhairyashilrao] Natl Inst Ind Engn NITIE, Dept Mkt, Mumbai, Maharashtra, India; [Chaudhuri, Ranjan] Indian Inst Technol Kharagpur, Vinod Gupta Sch Management Mkt, Kharagpur, W Bengal, India; [Johnston, Wesley J.] Georgia State Univ, Dept Mkt, Atlanta, GA 30303 USA</t>
  </si>
  <si>
    <t>National Institute of Industrial Engineering (NITIE); Indian Institute of Technology System (IIT System); Indian Institute of Technology (IIT) - Kharagpur; University System of Georgia; Georgia State University</t>
  </si>
  <si>
    <t>Chavan, GD (corresponding author), Natl Inst Ind Engn NITIE, Dept Mkt, Mumbai, Maharashtra, India.</t>
  </si>
  <si>
    <t>chavan.gitesh@gmail.com; ranjan@vgsom.iitkgp.ernet.in; wesleyj@gsu.edu</t>
  </si>
  <si>
    <t>Chaudhuri, Ranjan/W-2280-2019</t>
  </si>
  <si>
    <t>Chaudhuri, Ranjan/0000-0001-7148-0329; Chavan, Gitesh/0000-0003-0200-3814</t>
  </si>
  <si>
    <t>0885-8624</t>
  </si>
  <si>
    <t>2052-1189</t>
  </si>
  <si>
    <t>J BUS IND MARK</t>
  </si>
  <si>
    <t>J. Bus. Ind. Mark.</t>
  </si>
  <si>
    <t>10.1108/JBIM-02-2018-0077</t>
  </si>
  <si>
    <t>HP5MR</t>
  </si>
  <si>
    <t>WOS:000461721700015</t>
  </si>
  <si>
    <t>Topaloglu, O; Dass, M</t>
  </si>
  <si>
    <t>Topaloglu, Omer; Dass, Mayukh</t>
  </si>
  <si>
    <t>The Impact of Online Review Content and Linguistic Style Matching on New Product Sales: The Moderating Role of Review Helpfulness</t>
  </si>
  <si>
    <t>Linguistic Style Matching; LIWC; Online Review Content; Review Helpfulness</t>
  </si>
  <si>
    <t>This article investigates the moderating role of review helpfulness on the effects of online review content and linguistic style matching on new product sales. Using data from 105,494 online reviews from a popular website, IMDB.com, following 264 movie releases, the article shows that the impact of review style and content on new product sales is contingent upon review helpfulness. In particular, results suggest that linguistic style matching, positive emotion, and cognitive components of online review content significantly impact new product sales when the reviews are deemed helpful by the readers. These findings collectively suggest that online review research benefits from deeper textual analysis that includes review content and linguistic style compared to traditional methods that rely solely on numerical ratings. Also, review helpfulness plays a critical role in consumer decision-making considering a rapidly increasing amount of online information is now available to consumers.</t>
  </si>
  <si>
    <t>[Topaloglu, Omer] Fairleigh Dickinson Univ, Silberman Coll Business, 1000 River Rd, Teaneck, NJ 07666 USA; [Dass, Mayukh] Texas Tech Univ, Rawls Coll Business, MS 42101, Lubbock, TX 79409 USA</t>
  </si>
  <si>
    <t>Fairleigh Dickinson University; Texas Tech University System; Texas Tech University</t>
  </si>
  <si>
    <t>Topaloglu, O (corresponding author), Fairleigh Dickinson Univ, Silberman Coll Business, 1000 River Rd, Teaneck, NJ 07666 USA.</t>
  </si>
  <si>
    <t>otopaloglu@fdu.edu; mayukh.dass@ttu.edu</t>
  </si>
  <si>
    <t>10.1111/deci.12378</t>
  </si>
  <si>
    <t>WOS:000660151500008</t>
  </si>
  <si>
    <t>Gurrieri, L; Drenten, J</t>
  </si>
  <si>
    <t>Gurrieri, Lauren; Drenten, Jenna</t>
  </si>
  <si>
    <t>Visual storytelling and vulnerable health care consumers: normalising practices and social support through Instagram</t>
  </si>
  <si>
    <t>Visual storytelling; Vulnerable consumers; Healthcare; Breast cancer; Social media; Social support; Selfies; Health services; Instagram</t>
  </si>
  <si>
    <t>BREAST-CANCER; COMMERCIAL FRIENDSHIPS; ONLINE SUPPORT; WOMEN; INTERNET; COMMUNICATION; EXPERIENCE; SERVICES; QUALITY; REPRESENTATIONS</t>
  </si>
  <si>
    <t>Purpose The purpose of this study is to explore how vulnerable healthcare consumers foster social support through visual storytelling in social media in navigating healthcare consumption experiences. Design/methodology/approach This study employs a dual qualitative approach of visual and textual analysis of 180 Instagram posts from female breast cancer patients and survivors who use the platform to narrate their healthcare consumption experiences. Findings This study demonstrates how visual storytelling on social media normalises hidden aspects of healthcare consumption experiences through healthcare disclosures (procedural, corporeal, recovery), normalising practices (providing learning resources, cohering the illness experience, problematising mainstream recovery narratives) and enabling digital affordances, which in turn facilitates social support among vulnerable healthcare consumers. Practical implications - This study highlights the potential for visual storytelling on social media to address shortcomings in the healthcare service system and contribute to societal well-being through co-creative efforts that offer real-time and customised support for vulnerable healthcare consumers. Social implications - This research highlights that visual storytelling on image-based social media offers transformative possibilities for vulnerable healthcare consumers seeking social support in negotiating the challenges of their healthcare consumption experiences. Originality/value This study presents a framework of visual storytelling for vulnerable healthcare consumers on image-based social media. Our paper offers three key contributions: that visual storytelling fosters informational and companionship social support for vulnerable healthcare consumers; recognising this occurs through normalising hidden healthcare consumption experiences; and identifying healthcare disclosures, normalising practices and enabling digital affordances as fundamental to this process.</t>
  </si>
  <si>
    <t>[Gurrieri, Lauren] RMIT Univ, Sch Econ Finance &amp; Mkt, Melbourne, Vic, Australia; [Drenten, Jenna] Loyola Univ, Quinlan Sch Business, Chicago, IL 60611 USA</t>
  </si>
  <si>
    <t>Royal Melbourne Institute of Technology (RMIT); Loyola University Chicago</t>
  </si>
  <si>
    <t>Gurrieri, L (corresponding author), RMIT Univ, Sch Econ Finance &amp; Mkt, Melbourne, Vic, Australia.</t>
  </si>
  <si>
    <t>lauren.gurrieri@rmit.edu.au</t>
  </si>
  <si>
    <t>Drenten, Jenna/ABC-9874-2020; Drenten, Jenna/ABA-7504-2020; Gurrieri, Lauren/I-2389-2013</t>
  </si>
  <si>
    <t>Drenten, Jenna/0000-0001-9718-3437; Gurrieri, Lauren/0000-0002-2708-094X</t>
  </si>
  <si>
    <t>10.1108/JSM-09-2018-0262</t>
  </si>
  <si>
    <t>WOS:000497776700008</t>
  </si>
  <si>
    <t>Bigne, E; Oltra, E; Andreu, L</t>
  </si>
  <si>
    <t>Bigne, Enrique; Oltra, Enrique; Andreu, Luisa</t>
  </si>
  <si>
    <t>Harnessing stakeholder input on Twitter: A case study of short breaks in Spanish tourist cities</t>
  </si>
  <si>
    <t>Social media marketing; Destination marketing organisations; Twitter; Text mining; Artificial neural network; Hotel occupancy; Short-break holidays</t>
  </si>
  <si>
    <t>WORD-OF-MOUTH; ARTIFICIAL NEURAL-NETWORKS; USER-GENERATED CONTENT; SOCIAL MEDIA; MARKET-SEGMENTATION; ONLINE REVIEWS; DEMAND; IMPACT; BRAND; INFORMATION</t>
  </si>
  <si>
    <t>Knowledge of how destination marketing organisations (DMOs) use Twitter is still limited. This study aimed to assess how DMOs' Twitter activity affects hotel occupancy in short-break holidays. Key dimensions of Twitter that may affect hotel occupancy in tourist destinations were first identified. A longitudinal study using data for 10 Spanish DMOs was conducted to forecast hotel occupancy. Twitter application programming interfaces were used to gather data on tweets by DMOs and retweets and likes by users. Text mining was used to analyse the tweets by DMOs, differentiating between tweets related to events, attractions, socialisation, and marketing. Data were analysed using artificial neural networks. The best fit was achieved with a multilayer perceptron artificial neural network. Findings suggest that the number of retweets and replies by users and the number of event tweets, tourist attraction tweets, and retweets by DMOs can predict the hotel occupancy rate for a given destination.</t>
  </si>
  <si>
    <t>[Bigne, Enrique; Andreu, Luisa] Univ Valencia, Fac Econ, Dept Mkt, Av Naranjos S-N, Valencia 46022, Spain; [Oltra, Enrique] Inst Serrallarga, C Joan Benejam 1, Blanes, Gerona, Spain</t>
  </si>
  <si>
    <t>University of Valencia</t>
  </si>
  <si>
    <t>Andreu, L (corresponding author), Univ Valencia, Fac Econ, Dept Mkt, Av Naranjos S-N, Valencia 46022, Spain.</t>
  </si>
  <si>
    <t>Enrique.Bigne@uv.es; kike.oltra.llopis@gmail.com; Luisa.Andreu@uv.es</t>
  </si>
  <si>
    <t>Bigné, Enrique/D-9287-2015; Andreu, Luisa/K-8428-2014</t>
  </si>
  <si>
    <t>Bigné, Enrique/0000-0002-6529-7605; Andreu, Luisa/0000-0001-8852-6506</t>
  </si>
  <si>
    <t>Ministry of Economy and Competitiveness (Spain) [ECO2014-53837R]</t>
  </si>
  <si>
    <t>Ministry of Economy and Competitiveness (Spain)</t>
  </si>
  <si>
    <t>This work was supported by the Ministry of Economy and Competitiveness (Spain) under Grant ECO2014-53837R. The authors are grateful to Juergen Gnoth (University of Otago, New Zealand) for comments on an earlier draft of this manuscript. We thank the anonymous reviewers for their comments throughout the review process.</t>
  </si>
  <si>
    <t>10.1016/j.tourman.2018.10.013</t>
  </si>
  <si>
    <t>HD8NZ</t>
  </si>
  <si>
    <t>WOS:000452815100043</t>
  </si>
  <si>
    <t>Amed, S; Mukherjee, S; Das, P; Datta, B</t>
  </si>
  <si>
    <t>Amed, Sultan; Mukherjee, Srabanti; Das, Prasun; Datta, Biplab</t>
  </si>
  <si>
    <t>Triggers of positive eWOM: exploration with web analytics</t>
  </si>
  <si>
    <t>MARKETING INTELLIGENCE &amp; PLANNING</t>
  </si>
  <si>
    <t>Web analytics; eWOM; Big data; Product type</t>
  </si>
  <si>
    <t>WORD-OF-MOUTH; ANTECEDENTS; ENGAGEMENT; CONSUMERS; MESSAGES; IMPACT; SITES; MEDIA</t>
  </si>
  <si>
    <t>Purpose The purpose of this paper is to determine the triggers of positive electronic word of mouth (eWOM) using real-time Big Data obtained from online retail sites/dedicated review sites. Design/methodology/approach In this study, real-time Big Data has been used and analysed through support vector machine, to segregate positive and negative eWOM. Thereafter, using natural language processing algorithms, this study has classified the triggers of positive eWOM based on their relative importance across six product categories. Findings The most important triggers of positive eWOM (like product experience, product type, product characteristics) were similar across different product categories. The second-level antecedents of positive eWOM included the person(s) for whom the product is purchased, the price and the source of the product, packaging and eagerness in patronising a brand. Practical implications The findings of this study indicate that the marketers who are active in the digital forum should encourage and incentivise their satisfied consumers to disseminate positive eWOM. Consumers with special interest for any product type (mothers or doctors for baby food) may be incentivised to write positive eWOM about the product's ingredients/characteristics. Companies can launch the sequels of existing television or online advertisements addressing for whom the product is purchased. Originality/value This study identified the triggers of the positive eWOM using real-time Big Data extracted from online purchase platforms. This study also contributes to the literature by identifying the levels of triggers that are most, more and moderately important to the customers for writing positive reviews online.</t>
  </si>
  <si>
    <t>[Amed, Sultan; Das, Prasun] Indian Stat Inst, Dept Stat Qual Control &amp; Operat Res, Kolkata, India; [Mukherjee, Srabanti; Datta, Biplab] Indian Inst Technol Kharagpur, Vinod Gupta Sch Management, Kharagpur, W Bengal, India</t>
  </si>
  <si>
    <t>Indian Statistical Institute; Indian Statistical Institute Kolkata; Indian Institute of Technology System (IIT System); Indian Institute of Technology (IIT) - Kharagpur</t>
  </si>
  <si>
    <t>Mukherjee, S (corresponding author), Indian Inst Technol Kharagpur, Vinod Gupta Sch Management, Kharagpur, W Bengal, India.</t>
  </si>
  <si>
    <t>sultan.amed9@gmail.com; srabanti@vgsom.iitkgp.ernet.in; dasprasun10@gmail.com; bd@vgsom.iitkgp.ernet.in</t>
  </si>
  <si>
    <t>0263-4503</t>
  </si>
  <si>
    <t>1758-8049</t>
  </si>
  <si>
    <t>MARK INTELL PLAN</t>
  </si>
  <si>
    <t>Mark. Intell. Plan.</t>
  </si>
  <si>
    <t>10.1108/MIP-05-2018-0136</t>
  </si>
  <si>
    <t>IA2TS</t>
  </si>
  <si>
    <t>WOS:000469415000006</t>
  </si>
  <si>
    <t>Pounders, K; Kowalczyk, CM; Stowers, K</t>
  </si>
  <si>
    <t>Pounders, Kathrynn; Kowalczyk, Christine M.; Stowers, Kirsten</t>
  </si>
  <si>
    <t>Insight into the motivation of selfie postings: impression management and self-esteem</t>
  </si>
  <si>
    <t>Motivation; Selfie; Online consumer behavior; Self-presentation</t>
  </si>
  <si>
    <t>CONSUMER RESEARCH; WEB; PAGES</t>
  </si>
  <si>
    <t>Purpose - Social media enables consumers to regularly express themselves in a variety of ways. Selfie-postings are the new tool for self-presentation, particularly among millennials. The purpose of this paper is to identify the motivations associated with selfie-postings among female millennials. Design/methodology/approach - The exploratory study consisted of 15 in-depth interviews with women who were 19-30 years of age. The analysis of data was facilitated by an iterative constant comparison method between data, emerging concepts and extant literature. Findings - Textual analysis reveals impression management to be pivotal in understanding the consumer selfie-posting process. Other sub-themes include happiness and physical appearance. In addition, self-esteem was revealed as a motivator and an outcome. Research limitations/implications - The study was limited to females who were 19-30 years of age. Future research should include males and a wider age group and focus on empirical testing of the identified themes. Practical implications - This research sheds light on the motivation and outcomes associated with selfie-postings. Implications for marketers and advertisers include a better understanding of how to engage consumers to post content in the form of selfies with brands and products. Originality/value - This paper fulfils an identified need to explore the growature in consumer behavior by identifying the motivations of selfie-postings. ing trend of selfie-postings and contributes to academic liter</t>
  </si>
  <si>
    <t>[Pounders, Kathrynn; Stowers, Kirsten] Univ Texas Austin, Stan Richards Sch Advertising &amp; Publ Relat, Austin, TX 78712 USA; [Kowalczyk, Christine M.] East Carolina Univ, Dept Mkt &amp; Supply Chain Management, Greenville, NC 27858 USA</t>
  </si>
  <si>
    <t>University of Texas System; University of Texas Austin; University of North Carolina; East Carolina University</t>
  </si>
  <si>
    <t>9-10</t>
  </si>
  <si>
    <t>10.1108/EJM-07-2015-0502</t>
  </si>
  <si>
    <t>EA7EX</t>
  </si>
  <si>
    <t>WOS:000386793600016</t>
  </si>
  <si>
    <t>Wang, Q; Ch'ng, E; Xu, XS; Wang, J; Zhang, YF</t>
  </si>
  <si>
    <t>Wang, Qiang; Ch'ng, Eugene; Xu, Xiaoshu; Wang, Jun; Zhang, Yunfeng</t>
  </si>
  <si>
    <t>Perception and gaze of diaspora: Analysis of affective, cognitive, &amp; cultural factors in tourism</t>
  </si>
  <si>
    <t>JOURNAL OF VACATION MARKETING</t>
  </si>
  <si>
    <t>Diaspora visitors; Quanzhou; tourist gaze; collective gaze; sentiment analysis</t>
  </si>
  <si>
    <t>IMAGE</t>
  </si>
  <si>
    <t>This research focuses on exploring the cognitive and affective perception of Hokkien ethnic Chinese born abroad visiting their hometown, Quanzhou, which is a UNESCO World Heritage Site. The study examines the interplay between the collective gaze, affective, and cognitive perception of diaspora visitors who visit Quanzhou to reclaim their cultural identity and explore new opportunities. The analysis was conducted using a combination of fuzzy set qualitative comparative analysis and natural language processing techniques for sentiment analysis, based on 44 tourist interviews and 10 local key informant interviews. The results suggest that the primary image formed after the visit has a significant effect on the affective image and the affective attribute has a significant impact on the collective gaze and overall perceived image of diaspora visitors. These findings have important implications for destination image marketing and the sustainability of diaspora tourism.</t>
  </si>
  <si>
    <t>[Wang, Qiang] Liming Univ, Quanzhou, Peoples R China; [Ch'ng, Eugene] Univ Nottingham Ningbo China, Ningbo, Peoples R China; [Xu, Xiaoshu] Wenzhou Univ, Wenzhou, Peoples R China; [Wang, Jun] Calif Baptist Univ, Riverside, CA USA; [Zhang, Yunfeng] Macao Polytech Univ, Macau, Peoples R China; [Zhang, Yunfeng] Stamford Int Univ, Bangkok, Thailand; [Xu, Xiaoshu] Wenzhou Univ, Sch Foreign Studies, Wenzhou, Zhejiang, Peoples R China; [Xu, Xiaoshu] Stamford Int Univ, Bangkok, Thailand</t>
  </si>
  <si>
    <t>University of Nottingham Ningbo China; Wenzhou University; California Baptist University; Wenzhou University</t>
  </si>
  <si>
    <t>Xu, XS (corresponding author), Wenzhou Univ, Sch Foreign Studies, Wenzhou, Zhejiang, Peoples R China.;Xu, XS (corresponding author), Stamford Int Univ, Bangkok, Thailand.</t>
  </si>
  <si>
    <t>Lisaxu@wzu.edu.cn</t>
  </si>
  <si>
    <t>1356-7667</t>
  </si>
  <si>
    <t>1479-1870</t>
  </si>
  <si>
    <t>J VACAT MARK</t>
  </si>
  <si>
    <t>J. Vacat. Mark.</t>
  </si>
  <si>
    <t>10.1177/13567667231161843</t>
  </si>
  <si>
    <t>MAR 2023</t>
  </si>
  <si>
    <t>Business; Hospitality, Leisure, Sport &amp; Tourism</t>
  </si>
  <si>
    <t>9S1OT</t>
  </si>
  <si>
    <t>WOS:000946116100001</t>
  </si>
  <si>
    <t>Kull, AJ; Romero, M; Monahan, L</t>
  </si>
  <si>
    <t>Kull, Alexander J.; Romero, Marisabel; Monahan, Lisa</t>
  </si>
  <si>
    <t>How may I help you? Driving brand engagement through the warmth of an initial chatbot message</t>
  </si>
  <si>
    <t>Artificial intelligence; Brand relationships; Brand-self distance; Digital marketing; Stereotype content model; Virtual agent</t>
  </si>
  <si>
    <t>ARTIFICIAL-INTELLIGENCE; SOCIAL MEDIA; CONSUMERS; AGENTS; STEREOTYPES; ENCOUNTERS; NONPROFITS; FRAMEWORK; ATTITUDES; BEHAVIOR</t>
  </si>
  <si>
    <t>Despite the growing number of brands that rely on chatbots to address customer service inquiries that once required human intervention, academics and practitioners are only beginning to acknowledge the role of chatbots in brand-building activities. Chatbots can initiate online conversations, thereby often serving as a consumer's first brand impression. However, little is known about how managers can strategically tailor a chatbot's initial message to foster consumer-brand connections and, ultimately, engagement. Three studies demonstrate that when chatbots initiate a conversation using a warm (vs. competent) message, brand engagement increases, as assessed using both computerized text analysis and traditional scale measures. Brand-self distance mediates this effect, such that a warm (vs. competent) initial chatbot message makes consumers feel closer to the brand. Further, the authors identify brand affiliation as a theoretically relevant moderator. This research thus offers managers insight into how initial chatbot messages can attract and engage consumers.</t>
  </si>
  <si>
    <t>[Kull, Alexander J.] Univ San Diego, Sch Business, 5998 Alcala Pk, San Diego, CA 92110 USA; [Romero, Marisabel] Colorado State Univ, Coll Business, 1201 Campus Delivery, Ft Collins, CO 80523 USA; [Monahan, Lisa] Meredith Coll, Sch Business, 3800 Hillsborough St, Raleigh, NC 27607 USA</t>
  </si>
  <si>
    <t>University of San Diego; Colorado State University</t>
  </si>
  <si>
    <t>Kull, AJ (corresponding author), Univ San Diego, Sch Business, 5998 Alcala Pk, San Diego, CA 92110 USA.</t>
  </si>
  <si>
    <t>akull@sandiego.edu; mari.romero_lopez@colostate.edu; lamonahan@meredith.edu</t>
  </si>
  <si>
    <t>10.1016/j.jbusres.2021.03.005</t>
  </si>
  <si>
    <t>TY1UF</t>
  </si>
  <si>
    <t>WOS:000683570800018</t>
  </si>
  <si>
    <t>Kim, S; Kang, MY</t>
  </si>
  <si>
    <t>Kim, Sunghoon; Kang, Moon Young</t>
  </si>
  <si>
    <t>Understanding online users by segmenting their search keywords: empirical analysis from online auto insurance search advertising</t>
  </si>
  <si>
    <t>Segmenting search keywords; search advertising; online auto insurance; advertising return; online purchase decision process; text analysis</t>
  </si>
  <si>
    <t>SPONSORED SEARCH; CONVERSION</t>
  </si>
  <si>
    <t>Online search advertising is an important market considering its size and future growth potential. However, many marketers have not systematically employed the online search keywords data in developing efficient online search advertisements. While previous studies showed that search keywords can deliver intent of online users, to our knowledge, there have been few studies that empirically predict and analyze the behaviour of online users by segmenting their search keywords. Given this gap, this research contributes to online search advertising literature by examining segment-specific differences in terms of online users' behaviours and advertisers' costs. By using text analysis, we classify 9,355 search keywords from a major online auto insurance company in South Korea into four segments. Our results demonstrate that each segment shows different click behaviours at each stage of the online purchase decision process. In particular, the segment typing a specific brand name shows significantly higher click through rate (CTR) and estimate-to-purchase conversion rate (EPR) than other segments. On the other hand, the two segments typing specific product name or typing price-related words, who might be under a higher competition, show significantly higher click-to-estimate conversion rate (CER) than other segments. We also found that costs are significantly different across the four segments and advertisers pay more for the two segments under a higher competition. Thus, marketers will be able to improve their targeting strategies or advertising efficiency by redistributing their advertising budget across segments identified by the search keywords.</t>
  </si>
  <si>
    <t>[Kim, Sunghoon] Rutgers State Univ, Mkt, Rutgers Business Sch, Newark, NJ USA; [Kim, Sunghoon] Rutgers State Univ, Rutgers Business Sch, Mkt, New Brunswick, NJ USA; [Kang, Moon Young] Soongsil Univ, Dept Entrepreneurship &amp; Small Business, Seoul, South Korea</t>
  </si>
  <si>
    <t>Rutgers State University Newark; Rutgers State University New Brunswick; Rutgers State University New Brunswick; Soongsil University</t>
  </si>
  <si>
    <t>Kang, MY (corresponding author), Soongsil Univ, Dept Entrepreneurship &amp; Small Business, Seoul, South Korea.</t>
  </si>
  <si>
    <t>mkang@ssu.ac.kr</t>
  </si>
  <si>
    <t>JUL 4</t>
  </si>
  <si>
    <t>10.1080/02650487.2021.1988392</t>
  </si>
  <si>
    <t>1U3JW</t>
  </si>
  <si>
    <t>WOS:000707590600001</t>
  </si>
  <si>
    <t>Zhecheva, D; Nenkov, N</t>
  </si>
  <si>
    <t>Zhecheva, Denitsa; Nenkov, Nayden</t>
  </si>
  <si>
    <t>BUSINESS DEMANDS FOR PROCESSING UNSTRUCTURED TEXTUAL DATA - TEXT MINING TECHNIQUES FOR COMPANIES TO IMPLEMENT</t>
  </si>
  <si>
    <t>ACCESS-ACCESS TO SCIENCE BUSINESS INNOVATION IN THE DIGITAL ECONOMY</t>
  </si>
  <si>
    <t>unstructured textual data; business intelligence; NLP (Natural Language Processing); text mining; text extraction; text summarization; clustering; text categorization; text retrieval</t>
  </si>
  <si>
    <t>The rapid development of technology has caused a pervasive change in the way people and businesses live. Making sound business decisions is unthinkable without processing a large amount of data (publicly available and collected on the basis of problems) with high accuracy and quality. The importance of unstructured data acquires various sources is growing. Of particular value is the continuous flow of textual information that is generated every minute around the world in a different form (unstructured textual data). This is also the subject of this article. The aim of the article is to provide an analytical overview of the main methods of word processing that are applicable for pragmatic analysis of information flows from companies, such as: extraction, summarization, grouping and categorization of text. Some methodologies are based on NLP (Natural Language Processing), others on Bayesian logic and statistical theory and practice. From the review of various publications on the topic, conclusions are proposed for their practical applicability. This allows for an objective choice of appropriate tools for processing unstructured information and business intelligence. The results of the study can be successfully used to improve managerial decision-making, improve the quality of work of employees and reduce errors in overall marketing planning.</t>
  </si>
  <si>
    <t>[Zhecheva, Denitsa] Konstantin Preslavsky Univ Shumen, Comp Sci Specializat Artificial Intelligence AI, Shumen, Bulgaria; [Nenkov, Nayden] Konstantin Preslavsky Univ Shumen, Coll Dobrich, Comp Sci, Shumen, Bulgaria</t>
  </si>
  <si>
    <t>University of Shumen; University of Shumen</t>
  </si>
  <si>
    <t>Nenkov, N (corresponding author), Konstantin Preslavsky Univ Shumen, Coll Dobrich, Comp Sci, Shumen, Bulgaria.</t>
  </si>
  <si>
    <t>mrszhecheva.denitsa@gnail.com; n.nenkov@shu.bg</t>
  </si>
  <si>
    <t>Nenkov, Nayden Valkov/H-3829-2015; Zhecheva, Denitsa/HJY-5493-2023</t>
  </si>
  <si>
    <t xml:space="preserve">Nenkov, Nayden Valkov/0000-0002-1895-2662; </t>
  </si>
  <si>
    <t>Access Press Publishing House</t>
  </si>
  <si>
    <t>Veliko Tarnovo</t>
  </si>
  <si>
    <t>32 Alexander Burmov, Veliko Tarnovo, BULGARIA</t>
  </si>
  <si>
    <t>2683-1007</t>
  </si>
  <si>
    <t>ACCESS-ACCESS SCI BU</t>
  </si>
  <si>
    <t>Access-Sci. Business Innov. Digit. Econ.</t>
  </si>
  <si>
    <t>10.46656/access.2022.3.2(2)</t>
  </si>
  <si>
    <t>Business; Computer Science, Interdisciplinary Applications; Economics; Management</t>
  </si>
  <si>
    <t>6U3MV</t>
  </si>
  <si>
    <t>WOS:000894273300002</t>
  </si>
  <si>
    <t>Pallotta, V; Vrieling, L; Delmonte, R</t>
  </si>
  <si>
    <t>Zorrilla, ME; Mazon, JN; Ferrandez, O; Garrigos, I; Daniel, F; Trujillo, J</t>
  </si>
  <si>
    <t>Pallotta, Vincenzo; Vrieling, Lammert; Delmonte, Rodolfo</t>
  </si>
  <si>
    <t>Interaction Mining: Making Business Sense of Customers Conversations through Semantic and Pragmatic Analysis</t>
  </si>
  <si>
    <t>BUSINESS INTELLIGENCE APPLICATIONS AND THE WEB: MODELS, SYSTEMS AND TECHNOLOGIES</t>
  </si>
  <si>
    <t>In this chapter we present the major challenges of a new trend in business analytics, namely Interaction Mining. With the proliferation of unstructured data as the result of people interacting with each other using digital networked devices, classical methods in text business analytics are no longer effective. We identified the causes of their failure as being related to the inadequacy of dealing with conversational data. We propose then to move from Text Mining towards Interaction Mining, and we make several cases for this transition in areas such as marketing research, social media analytics, and customer relationship management. We also propose a roadmap for the future development of Interaction Mining by challenging the current practices in business intelligence and information visualization.</t>
  </si>
  <si>
    <t>[Pallotta, Vincenzo] Webster Univ, Comp Sci, Geneva, Switzerland; [Pallotta, Vincenzo; Vrieling, Lammert] Webster Univ, Geneva, Switzerland; [Delmonte, Rodolfo] Univ Ca Foscari, Venice, Italy</t>
  </si>
  <si>
    <t>Universita Ca Foscari Venezia</t>
  </si>
  <si>
    <t>Pallotta, V (corresponding author), Webster Univ, Comp Sci, Geneva, Switzerland.</t>
  </si>
  <si>
    <t>Pallotta, Vincenzo/D-2421-2011</t>
  </si>
  <si>
    <t>978-1-61350-039-2; 978-1-61350-038-5</t>
  </si>
  <si>
    <t>10.4018/978-1-61350-038-5.ch006</t>
  </si>
  <si>
    <t>10.4018/978-1-61350-038-5</t>
  </si>
  <si>
    <t>Business; Computer Science, Information Systems</t>
  </si>
  <si>
    <t>BD7PZ</t>
  </si>
  <si>
    <t>WOS:000363452000008</t>
  </si>
  <si>
    <t>Guerreiro, J; Moro, S</t>
  </si>
  <si>
    <t>Guerreiro, Joao; Moro, Sergio</t>
  </si>
  <si>
    <t>Are Yelp's tips helpful in building influential consumers?</t>
  </si>
  <si>
    <t>eWOM; Online reviews; Fandom; Text mining; Support vector machine</t>
  </si>
  <si>
    <t>TRUST</t>
  </si>
  <si>
    <t>In the cluttered environment of online reviews, consumers frequently have to choose the most trustworthy reviewers to help them in their purchasing decision. Such reviewers are influential in their community and co-create value among their peers. The current research note studies the antecedents of fandom, particularly if contents of the message written by the reviewers predict the number of fans they might have in the future. 27,097 tips written by 16,334 users of Yelp are structured using text mining and a support vector machine algorithm is used to study the accuracy of such relation. Results show that tips which may help consumers to avoid the service and tips that highlight the positive elements of the service are the most relevant in predicting the number of fans. Findings may help managers to understand which type of messages may increase the reviewer's number of fans, thus increasing their influence in the network.</t>
  </si>
  <si>
    <t>[Guerreiro, Joao] Inst Univ Lisboa ISCTE IUL, Business Res Unit BRU IUL, Lisbon, Portugal; [Guerreiro, Joao; Moro, Sergio] Inst Univ Lisboa ISCTE IUL, ISTAR IUL, Lisbon, Portugal; [Moro, Sergio] Univ Minho, ALGORITMI Res Ctr, Guimaraes, Portugal</t>
  </si>
  <si>
    <t>Instituto Universitario de Lisboa; Instituto Universitario de Lisboa; Universidade do Minho</t>
  </si>
  <si>
    <t>Guerreiro, J (corresponding author), Av Forcas Armadas, P-1649026 Lisbon, Portugal.</t>
  </si>
  <si>
    <t>Moro, Sérgio/N-9124-2015; Guerreiro, João/O-1283-2019</t>
  </si>
  <si>
    <t>Moro, Sérgio/0000-0002-4861-6686; Guerreiro, João/0000-0001-6286-1437</t>
  </si>
  <si>
    <t>10.1016/j.tmp.2017.08.006</t>
  </si>
  <si>
    <t>FP0HF</t>
  </si>
  <si>
    <t>WOS:000417279300017</t>
  </si>
  <si>
    <t>Trumbach, CC; McKesson, C; Ghandehari, P; DeCan, L; Eslinger, O</t>
  </si>
  <si>
    <t>Daim, TU; Chiavetta, D; Porter, AL; Saritas, O</t>
  </si>
  <si>
    <t>Trumbach, Cherie Courseault; McKesson, Christopher; Ghandehari, Parisa; DeCan, Lawrence; Eslinger, Owen</t>
  </si>
  <si>
    <t>Innovation and Design Process Ontology</t>
  </si>
  <si>
    <t>ANTICIPATING FUTURE INNOVATION PATHWAYS THROUGH LARGE DATA ANALYSIS</t>
  </si>
  <si>
    <t>Innovation Technology and Knowledge Management</t>
  </si>
  <si>
    <t>Design process; Ontologies; Text data mining; Ship design</t>
  </si>
  <si>
    <t>METHODOLOGY; TECHNOLOGY; KNOWLEDGE; MODEL</t>
  </si>
  <si>
    <t>Many domain-specific ontologies exist. These ontologies are used in text mining processes to better understand text that is available within the specific domain. Example domains include specific business areas such as marketing or functional areas such as particular types of operations within the intelligence community. This paper makes a step toward developing a broad ontology for the innovation and design process as a domain. Such an ontology can be used to better understand the discussion that takes places in the design and development of new innovations and can be used to better understand the influences on that development. In many cases, the success, failure, or final path of a new innovation may not rest upon its technical merits but on the non-technical influences during the design and development process such as political influences. This paper uses examples within the shipbuilding domain in order to take steps toward building an Innovation and Design Process Ontology that can be applied to the Forecasting Innovation Pathways (FIP) framework as a means of capturing and understanding the influences on the technology delivery system.</t>
  </si>
  <si>
    <t>[Trumbach, Cherie Courseault; Ghandehari, Parisa; DeCan, Lawrence] Univ New Orleans, Sch Naval Architecture &amp; Marine Engn, 2000 Lakeshore Dr, Orleans, LA 70148 USA; [McKesson, Christopher] Univ British Columbia, Dept Mech Engn, 2050-6250 Appl Sci Lane, Vancouver, BC V6T 1Z4, Canada; [Eslinger, Owen] US Army Engn Res &amp; Dev Ctr, 3909 Halls Ferry Rd, Vicksburg, MS 39180 USA</t>
  </si>
  <si>
    <t>University of Louisiana System; University of New Orleans; University of British Columbia; United States Department of Defense; United States Army; U.S. Army Corps of Engineers; U.S. Army Engineer Research &amp; Development Center (ERDC)</t>
  </si>
  <si>
    <t>Trumbach, CC (corresponding author), Univ New Orleans, Sch Naval Architecture &amp; Marine Engn, 2000 Lakeshore Dr, Orleans, LA 70148 USA.</t>
  </si>
  <si>
    <t>ctrumbac@uno.edu</t>
  </si>
  <si>
    <t>SPRINGER INT PUBLISHING AG</t>
  </si>
  <si>
    <t>CHAM</t>
  </si>
  <si>
    <t>GEWERBESTRASSE 11, CHAM, CH-6330, SWITZERLAND</t>
  </si>
  <si>
    <t>978-3-319-39056-7; 978-3-319-39054-3</t>
  </si>
  <si>
    <t>INNOV TECH KNOWL MAN</t>
  </si>
  <si>
    <t>10.1007/978-3-319-39056-7_8</t>
  </si>
  <si>
    <t>10.1007/978-3-319-39056-7</t>
  </si>
  <si>
    <t>Business, Finance; Computer Science, Software Engineering; Economics; Management</t>
  </si>
  <si>
    <t>BG2TA</t>
  </si>
  <si>
    <t>WOS:000387676600010</t>
  </si>
  <si>
    <t>Spada, I; Chiarello, F; Barandoni, S; Ruggi, G; Martini, A; Fantoni, G</t>
  </si>
  <si>
    <t>Spada, Irene; Chiarello, Filippo; Barandoni, Simone; Ruggi, Gianluca; Martini, Antonella; Fantoni, Gualtiero</t>
  </si>
  <si>
    <t>Are universities ready to deliver digital skills and competences? A text mining-based case study of marketing courses in Italy</t>
  </si>
  <si>
    <t>Text mining; Digitalization; Skill analysis; Marketing; Education</t>
  </si>
  <si>
    <t>HIGHER-EDUCATION; SOCIAL MEDIA; TRANSFORMATION; REVOLUTION; INNOVATION</t>
  </si>
  <si>
    <t>We still know little about the role of higher education in the digital transformation. If on one side the labor market is constantly evolving and is asking for an up-skilling process of the workforce, higher education institutions struggle to be agile enough. Therefore, it is necessary to measure and to better understand this gap. In this paper, we describe a quantitative approach to deal with this problem, focusing on the marketing sector. Through text mining, we develop a model of automatic job competencies extraction from Italian texts. We use it to retrieve the skills expressed both in the exam's descriptions of universities and the job vacancies. The results allow us to compare the skills offered by higher education with the labor market's needs in Italy, exploring and highlighting the digital gaps existing between the two.</t>
  </si>
  <si>
    <t>[Spada, Irene] Univ Pisa, Sch Engn, Dept Informat Engn, Pisa, Italy; [Chiarello, Filippo; Martini, Antonella] Univ Pisa, Sch Engn, Dept Energy Syst Land &amp; Construct Engn, Pisa, Italy; [Barandoni, Simone] Univ Pisa, Dept Comp Sci, Pisa, Italy; [Ruggi, Gianluca] Beam Me Up Srl, Via San Lorenzo 23, I-56127 Pisa, Italy; [Fantoni, Gualtiero] Univ Pisa, Sch Engn, Dept Civil &amp; Ind Engn, Pisa, Italy</t>
  </si>
  <si>
    <t>University of Pisa; University of Pisa; University of Pisa; University of Pisa</t>
  </si>
  <si>
    <t>Chiarello, F (corresponding author), Univ Pisa, Sch Engn, Dept Energy Syst Land &amp; Construct Engn, Pisa, Italy.</t>
  </si>
  <si>
    <t>irene.spada@phd.unipi.it; filippo.chiarello@unipi.it; simone.barandoni@phd.unipi.it; gianluca.ruggi@beammeup.it; antonella.martini@unipi.it; gualtiero.fantoni@unipi.it</t>
  </si>
  <si>
    <t>Fantoni, Gualtiero/GWZ-8445-2022</t>
  </si>
  <si>
    <t>Fantoni, Gualtiero/0000-0003-0772-600X; Chiarello, Filippo/0000-0001-9857-0287; Martini, Antonella/0000-0002-2006-4293; Barandoni, Simone/0009-0008-4454-3388</t>
  </si>
  <si>
    <t>EU project ASSETs+ Project [612678-EPP-1-2019-1-IT-EPPKA2-SSA-B]</t>
  </si>
  <si>
    <t>EU project ASSETs+ Project</t>
  </si>
  <si>
    <t>This study was partly founded by the EU project ASSETs+ Project (Alliance for Strategic Skills addressing Emerging Technologies in Defence) EAC/A03/2018-Erasmus+ programme, Sector Skills Alli-ances, Lot 3: Sector Skills Alliance for implementing a new strategic approach (Blueprint) to sectoral cooperation on skills G.A. Number: 612678-EPP-1-2019-1-IT-EPPKA2-SSA-B.</t>
  </si>
  <si>
    <t>10.1016/j.techfore.2022.121869</t>
  </si>
  <si>
    <t>3Q2AX</t>
  </si>
  <si>
    <t>WOS:000838036600005</t>
  </si>
  <si>
    <t>Milne, GR; Kaplan, B; Walker, KL; Zacharias, L</t>
  </si>
  <si>
    <t>Milne, George R.; Kaplan, Begum; Walker, Kristen L.; Zacharias, Larry</t>
  </si>
  <si>
    <t>Connecting with the future: The role of science fiction movies in helping consumers understand privacy-technology trade-offs</t>
  </si>
  <si>
    <t>consumer privacy; technology; future; qualitative and text analysis</t>
  </si>
  <si>
    <t>ACTIVATION; CRITICS; MEMORY; FILM</t>
  </si>
  <si>
    <t>This article examines the ways in which sci-fi films help consumers understand the tradeoffs between personal privacy concerns and other societal concerns that arise due to new technologies. Drawing upon media priming theory, the authors present a conceptual framework and accompanying research questions that suggest how priming from a futuristic movie influences consumers sentiment toward technology and privacy, from its release date and throughout its availability on movie streaming services. Through a series of studies, including qualitative analysis and text-based sentiment analysis of reviews in the IMBD database, the authors provide evidence to support this theoretical conceptualization. The findings demonstrate that online reviews are useful as a data source to gauge emotional intensity and text analysis of science fiction film reviews provides a useful methodology for understanding consumer perceptions about the future. Science fiction movies may help consumers frame privacy-technology tradeoffs and take action to protect their privacy.</t>
  </si>
  <si>
    <t>[Milne, George R.; Zacharias, Larry] Univ Massachusetts, Isenberg Sch, Amherst, MA 01003 USA; [Kaplan, Begum] Florida Int Univ, Coll Business, Miami, FL 33199 USA; [Walker, Kristen L.] Calif State Univ Northridge, Northridge, CA 91330 USA</t>
  </si>
  <si>
    <t>University of Massachusetts System; University of Massachusetts Amherst; State University System of Florida; Florida International University; California State University System; California State University Northridge</t>
  </si>
  <si>
    <t>Milne, GR (corresponding author), Univ Massachusetts, Isenberg Sch, Amherst, MA 01003 USA.</t>
  </si>
  <si>
    <t>milne@isenberg.umass.edu</t>
  </si>
  <si>
    <t>Walker, Kristen/0000-0003-2021-7621; Kaplan, Begum/0000-0003-4690-4454</t>
  </si>
  <si>
    <t>10.1111/joca.12366</t>
  </si>
  <si>
    <t>UN2DT</t>
  </si>
  <si>
    <t>WOS:000641038800001</t>
  </si>
  <si>
    <t>Haywood, ME; Mishra, A</t>
  </si>
  <si>
    <t>Haywood, M. Elizabeth; Mishra, Anubha</t>
  </si>
  <si>
    <t>Building a culture of business analytics: a marketing analytics exercise</t>
  </si>
  <si>
    <t>INTERNATIONAL JOURNAL OF EDUCATIONAL MANAGEMENT</t>
  </si>
  <si>
    <t>Big data; Marketing curriculum</t>
  </si>
  <si>
    <t>BIG DATA; METRICS; CURRICULUM</t>
  </si>
  <si>
    <t>Purpose The purpose of this paper is to describe how brief exercises in introductory and advanced marketing courses can help business students achieve a broader understanding of what Big data and data analytics mean in the workplace. These short analytics problems fit into the culture that we are building at our institution to create analytics cases for courses within our business curriculum. Design/methodology/approach A database of 1,500 customer reviews for a fictitious sporting company was created. Two exercises based on text mining and sentiment analysis were developed to be tested in introductory and advanced marketing course. Students were introduced to the basic concepts used in data analysis and the creation of R code for extracting sentiment words was demonstrated. Students then used pivot tables to identify patterns in the given data set. Students in the introductory course completed a short exercise while the students in the advanced class developed a detailed memo. Findings Results suggest that students in the introductory course are significantly more aware of the use of data in the industry as well as methods to deal with Big data after completing the exercise as compared to their knowledge at the beginning of the exercise. Students in the advanced course are able to identify patterns, detect shortcoming and propose strategic plans based on their analysis of the data. Originality/value Proposed exercises in the study are developed with an aim to help business schools develop a culture supportive of analytics. The purpose of these exercises is to make students aware of the importance of Big data and analytics early on in their curriculum and reinforce their exposure in an advanced course.</t>
  </si>
  <si>
    <t>[Haywood, M. Elizabeth] Rider Univ, Dept Accounting, Lawrenceville, NJ 08648 USA; [Mishra, Anubha] Rider Univ, Dept Mkt, Lawrenceville, NJ 08648 USA</t>
  </si>
  <si>
    <t>Rider University; Rider University</t>
  </si>
  <si>
    <t>Mishra, A (corresponding author), Rider Univ, Dept Mkt, Lawrenceville, NJ 08648 USA.</t>
  </si>
  <si>
    <t>amishra@rider.edu</t>
  </si>
  <si>
    <t>0951-354X</t>
  </si>
  <si>
    <t>1758-6518</t>
  </si>
  <si>
    <t>INT J EDUC MANAG</t>
  </si>
  <si>
    <t>Int. J. Educ. Manag.</t>
  </si>
  <si>
    <t>JAN 7</t>
  </si>
  <si>
    <t>10.1108/IJEM-03-2018-0107</t>
  </si>
  <si>
    <t>HK7ZT</t>
  </si>
  <si>
    <t>WOS:000458209500006</t>
  </si>
  <si>
    <t>Demoulin, NTM; Coussement, K</t>
  </si>
  <si>
    <t>Demoulin, Nathalie T. M.; Coussement, Kristof</t>
  </si>
  <si>
    <t>Acceptance of text-mining systems: The signaling role of information quality</t>
  </si>
  <si>
    <t>INFORMATION &amp; MANAGEMENT</t>
  </si>
  <si>
    <t>Technology acceptance model (TAM); Text mining; Big data; Information quality; Top management support</t>
  </si>
  <si>
    <t>TECHNOLOGY ACCEPTANCE; USER ACCEPTANCE; PERCEIVED EASE; TOP MANAGEMENT; SOCIAL MEDIA; ADOPTION; MODEL; DETERMINANTS; RELEVANCE; FRAMEWORK</t>
  </si>
  <si>
    <t>The popularity of the big data domain has boosted corporate interest in collecting and storing tremendous amounts of consumers' textual information. However, decision makers are often overwhelmed by the abundance of information, and the usage of text mining (TM) tools is still at its infancy. This study validates an extended technology acceptance model integrating information quality (IQ) and top management support. Results confirm that IQ influences behavioral intentions and TM tools usage, through perceptions of external control, perceived ease of use, and perceived usefulness; top management support also has a key role in determining the usage of TM tools.</t>
  </si>
  <si>
    <t>[Demoulin, Nathalie T. M.] CNRS, Mkt IESEG Sch Management, LEM, UMR 9221, 3 Rue Digue, F-59000 Lille, France; [Coussement, Kristof] CNRS, Mkt Analyt IESEG Sch Management, LEM, UMR 9221, 3 Rue Digue, F-59000 Lille, France</t>
  </si>
  <si>
    <t>Centre National de la Recherche Scientifique (CNRS); CNRS - Institute for Humanities &amp; Social Sciences (INSHS); Centre National de la Recherche Scientifique (CNRS); CNRS - Institute for Humanities &amp; Social Sciences (INSHS)</t>
  </si>
  <si>
    <t>Demoulin, NTM (corresponding author), CNRS, Mkt IESEG Sch Management, LEM, UMR 9221, 3 Rue Digue, F-59000 Lille, France.</t>
  </si>
  <si>
    <t>n.demoulin@ieseg.fr; k.coussement@ieseg.fr</t>
  </si>
  <si>
    <t>Coussement, Kristof/0000-0003-1346-9425</t>
  </si>
  <si>
    <t>RADARWEG 29a, 1043 NX AMSTERDAM, NETHERLANDS</t>
  </si>
  <si>
    <t>0378-7206</t>
  </si>
  <si>
    <t>1872-7530</t>
  </si>
  <si>
    <t>INFORM MANAGE-AMSTER</t>
  </si>
  <si>
    <t>Inf. Manage.</t>
  </si>
  <si>
    <t>10.1016/j.im.2018.10.006</t>
  </si>
  <si>
    <t>KL2XP</t>
  </si>
  <si>
    <t>Bronze, Green Published</t>
  </si>
  <si>
    <t>WOS:000513292200005</t>
  </si>
  <si>
    <t>Nilashi, M; Ahmadi, H; Arji, G; Alsalem, KO; Samad, S; Ghabban, F; Alzahrani, AO; Ahani, A; Alarood, AA</t>
  </si>
  <si>
    <t>Nilashi, Mehrbakhsh; Ahmadi, Hossein; Arji, Goli; Alsalem, Khalaf Okab; Samad, Sarminah; Ghabban, Fahad; Alzahrani, Ahmed Omar; Ahani, Ali; Alarood, Ala Abdulsalam</t>
  </si>
  <si>
    <t>Big social data and customer decision making in vegetarian restaurants: A combined machine learning method</t>
  </si>
  <si>
    <t>Online reviews; Food quality; Vegetarian friendly restaurants; Text mining; Segmentation</t>
  </si>
  <si>
    <t>WORD-OF-MOUTH; REGRESSION TREE CART; ONLINE REVIEWS; CONSUMER PERCEPTIONS; SERVICE QUALITY; PERCEIVED VALUE; SATISFACTION; FOOD; CLASSIFICATION; SEGMENTATION</t>
  </si>
  <si>
    <t>Customers increasingly use various social media to share their opinion about restaurants service quality. Big data collected from social media provides a data platform to improve the service quality of restaurants through customers' online reviews, where online reviews are a trustworthy and reliable source that helps consumers to evaluate food quality. Developing methods for effective evaluation of customer-generated reviews of restaurant services is important. This study develops a new method through effective learning techniques for customer segmentation and their preferences prediction in vegetarian friendly restaurants. The method is developed through text mining (Latent Dirichlet Allocation), cluster analysis (Self Organizing Map) and predictive learning technique (Classification and Regression Trees) to reveal the customer' satisfaction levels from the service quality in vegetarian friendly restaurants. Based on the obtained results of our experiments on the data vegetarian friendly restaurants in Bangkok, the models constructed by Classification and Regression Trees were able to give an accurate prediction of customers' preferences on the basis of restaurants' quality factors. The results showed that customers' online reviews analysis can be an effective way for customers segmentation to predict their preferences and help the restaurant managers to set priority instructions for service quality improvements.</t>
  </si>
  <si>
    <t>[Nilashi, Mehrbakhsh] Univ Sains Malaysia, Ctr Global Sustainabil Studies CGSS, Usm Penang 11800, Malaysia; [Ahmadi, Hossein] Aston Univ, Aston Business Sch, OIM Dept, Birmingham B4 7ET, W Midlands, England; [Arji, Goli] Saveh Univ Med Sci, Sch Nursing &amp; Midwifery, Saveh, Iran; [Alsalem, Khalaf Okab] Jouf Univ, Coll Comp &amp; Informat Sci, Sakaka 72388, Saudi Arabia; [Samad, Sarminah] Princess Nourah Bint Abdulrahman Univ, Coll Business &amp; Adm, Dept Business Adm, Riyadh, Saudi Arabia; [Ghabban, Fahad] Taibah Univ, Informat Syst Dept, Coll Comp Sci &amp; Engn, Medina, Saudi Arabia; [Alzahrani, Ahmed Omar; Alarood, Ala Abdulsalam] Univ Jeddah, Coll Comp Sci &amp; Engn, Jeddah 21959, Saudi Arabia; [Ahani, Ali] Griffith Univ, Griffith Business Sch, Dept Business Strategy &amp; Innovat, Brisbane, Qld, Australia</t>
  </si>
  <si>
    <t>Universiti Sains Malaysia; Aston University; Al Jouf University; Princess Nourah bint Abdulrahman University; Taibah University; University of Jeddah; Griffith University</t>
  </si>
  <si>
    <t>Nilashi, M (corresponding author), Univ Sains Malaysia, Ctr Global Sustainabil Studies CGSS, Usm Penang 11800, Malaysia.</t>
  </si>
  <si>
    <t>nilashidotnet@hotmail.com</t>
  </si>
  <si>
    <t>Samad, Sarminah/AAX-7406-2021; Nilashi, Mehrbakhsh/AAM-2215-2020; Nilashi, Mehrbakhsh/C-4311-2016; GHABBAN, FAHAD/GZK-9025-2022; Alzahrani, Ahmed/ADB-5476-2022</t>
  </si>
  <si>
    <t>Nilashi, Mehrbakhsh/0000-0002-2804-3227; Nilashi, Mehrbakhsh/0000-0003-0099-8299; Alzahrani, Ahmed/0000-0002-0114-3295; ahmadi, hosseinis/0000-0002-7910-1239</t>
  </si>
  <si>
    <t>10.1016/j.jretconser.2021.102630</t>
  </si>
  <si>
    <t>TY0JB</t>
  </si>
  <si>
    <t>WOS:000683469300007</t>
  </si>
  <si>
    <t>Tsiotsou, RH</t>
  </si>
  <si>
    <t>Tsiotsou, Rodoula H.</t>
  </si>
  <si>
    <t>Identifying value-creating aspects in luxury hotel services via third-party online reviews: a cross-cultural study</t>
  </si>
  <si>
    <t>INTERNATIONAL JOURNAL OF RETAIL &amp; DISTRIBUTION MANAGEMENT</t>
  </si>
  <si>
    <t>Value creation; Online reviews; e-WOM; Cultural differences; Customer engagement; Third-party sites; European tourists</t>
  </si>
  <si>
    <t>WORD-OF-MOUTH; USER-GENERATED CONTENT; CO-CREATION; PRICE PROMOTIONS; MODERATING ROLE; DESTRUCTION; GENEROSITY; BEHAVIOR; QUALITY; IMPACT</t>
  </si>
  <si>
    <t>Purpose The purpose of the study is to identify critical value-creating elements of luxury services expressed in ratings and reviews posted on third-party sites and examine cross-cultural differences. To this end, the research analyzed online ratings and reviews of luxury hotels posted on TripAdvisor from customers of four European regions (East, North, South and West). Design/methodology/approach Eight hundred thirty-eight online user-generated ratings and reviews of luxury hotels were analyzed quantitatively using MANOVA and qualitatively using text analysis. Findings The study findings support (a) that product and physical evidence are the most critical experiential elements of luxury hotels' offerings and (b) cultural differences among tourists from various regions of Europe in their hotel ratings and reviews. Specifically, Eastern and Northern Europeans are more generous in their review ratings than western and southern Europeans. Moreover, eastern Europeans value the hotel's physical evidence/environment whereas western Europeans prioritize the core product (room and food) followed by the physical environment/servicescape. Southern Europeans and Northern Europeans value most the personnel, followed by the physical environment and the core product, respectively. Practical implications Cultural differences provide several implications with regard to luxury services segmentation, social media management, service marketing mix development and hotel promotion. Originality/value The value of this study originates from studying post-purchase customer behavior in luxury services from a cross-cultural perspective. Moreover, identifying critical aspects of value-creating customer experience in a luxury context adds to the available literature.</t>
  </si>
  <si>
    <t>[Tsiotsou, Rodoula H.] Univ Macedonia, Dept Business Adm, Mkt Lab MARLAB, Thessaloniki, Greece</t>
  </si>
  <si>
    <t>University of Macedonia</t>
  </si>
  <si>
    <t>Tsiotsou, RH (corresponding author), Univ Macedonia, Dept Business Adm, Mkt Lab MARLAB, Thessaloniki, Greece.</t>
  </si>
  <si>
    <t>rtsiotsou@uom.edu.gr</t>
  </si>
  <si>
    <t>TSIOTSOU, RODOULA/H-7219-2013</t>
  </si>
  <si>
    <t>TSIOTSOU, RODOULA/0000-0003-2035-0334</t>
  </si>
  <si>
    <t>0959-0552</t>
  </si>
  <si>
    <t>1758-6690</t>
  </si>
  <si>
    <t>INT J RETAIL DISTRIB</t>
  </si>
  <si>
    <t>Int. J. Retail Distrib. Manag.</t>
  </si>
  <si>
    <t>FEB 18</t>
  </si>
  <si>
    <t>10.1108/IJRDM-04-2021-0207</t>
  </si>
  <si>
    <t>ZO6CP</t>
  </si>
  <si>
    <t>WOS:000712502200001</t>
  </si>
  <si>
    <t>Norazmi, FAN; Mazlan, NS; Said, R; Rahmat, RWOK</t>
  </si>
  <si>
    <t>Norazmi, Fatin Aimi Naemah; Mazlan, Nur Syazwani; Said, Rusmawati; Rahmat, Rahmita Wirza O. K.</t>
  </si>
  <si>
    <t>Understanding the Sentiment on Gig Economy: Good or Bad?</t>
  </si>
  <si>
    <t>JOURNAL OF ASIAN FINANCE ECONOMICS AND BUSINESS</t>
  </si>
  <si>
    <t>Industrial Revolution 4.0; Gig Economy; Social Media; Sentiment Analysis</t>
  </si>
  <si>
    <t>ADOPTION</t>
  </si>
  <si>
    <t>The gig economy offers many advantages, such as flexibility, variety, independence, and lower cost. However, there are also safety concerns, lack of regulations, uncertainty, and unsatisfactory services, causing people to voice their opinion on social media. This paper aims to explore the sentiments of consumers concerning gig economy services (Grab, Foodpanda and Airbnb) through the analysis of social media. First, Vader Lexicon was used to classify the comments into positive, negative, and neutral sentiments. Then, the comments were further classified into three machine learning algorithms: Support Vector Machine, Light Gradient Boosted Machine, and Logistic Regression. Results suggested that gig economy services in Malaysia received more positive sentiments (52%) than negative sentiments (19%) and neutral sentiments (29%). Based on the three algorithms used in this research, LGBM has been the best model with the highest accuracy of 85%, while SVM has 84% and LR 82%. The results of this study proved the power of text mining and sentiment analysis in extracting business value and providing insight to businesses. Additionally, it aids gig managers and service providers in understanding clients' sentiments about their goods and services and making necessary adjustments to optimize satisfaction.</t>
  </si>
  <si>
    <t>[Norazmi, Fatin Aimi Naemah; Mazlan, Nur Syazwani; Said, Rusmawati] Univ Putra Malaysia, Sch Business &amp; Econ, 43400 UPM, Serdang, Selangor, Malaysia; [Rahmat, Rahmita Wirza O. K.] Univ Putra Malaysia, Fac Comp Sci &amp; Technol, Serdang, Malaysia</t>
  </si>
  <si>
    <t>Universiti Putra Malaysia; Universiti Putra Malaysia</t>
  </si>
  <si>
    <t>Mazlan, NS (corresponding author), Univ Putra Malaysia, Sch Business &amp; Econ, 43400 UPM, Serdang, Selangor, Malaysia.</t>
  </si>
  <si>
    <t>aiminaemah@gmail.com; nur.syazwani@upm.edu.my; rusmawati@upm.edu.my; rahmita@fsktm.upm.edu.my</t>
  </si>
  <si>
    <t>Fundamental Research Grant Scheme [FRGS/1/2020/SS0/UPM/02/28, 05-01-20-2354FR]; Ministry of Higher Education (MOHE) Malaysia</t>
  </si>
  <si>
    <t>Fundamental Research Grant Scheme; Ministry of Higher Education (MOHE) Malaysia</t>
  </si>
  <si>
    <t>Funding for this project comes from the Fundamental Research Grant Scheme (FRGS/1/2020/SS0/UPM/02/28; Grant No. 05-01-20-2354FR) provided by the Ministry of Higher Education (MOHE) Malaysia.</t>
  </si>
  <si>
    <t>KOREA DISTRIBUTION SCIENCE ASSOC</t>
  </si>
  <si>
    <t xml:space="preserve"> Seongnam City</t>
  </si>
  <si>
    <t>HANSHIN OFFICETEL STE 1030, 2463-4, SHINHEUNG-DONG SUJEONG-GU,  Seongnam City, Gyeonggi-do, SOUTH KOREA</t>
  </si>
  <si>
    <t>2288-4637</t>
  </si>
  <si>
    <t>2288-4645</t>
  </si>
  <si>
    <t>J ASIAN FINANC ECON</t>
  </si>
  <si>
    <t>J. Asian Financ. Econ. Bus.</t>
  </si>
  <si>
    <t>10.13106/jafeb.2022.vol9.no10.0189</t>
  </si>
  <si>
    <t>8C9AP</t>
  </si>
  <si>
    <t>WOS:000917893500018</t>
  </si>
  <si>
    <t>Dubiel, A; Mukherji, P</t>
  </si>
  <si>
    <t>Dubiel, Anna; Mukherji, Prokriti</t>
  </si>
  <si>
    <t>Same, same but different! New service development in the context of emerging markets: a review</t>
  </si>
  <si>
    <t>Emerging markets; New service development; Subsistence marketplaces; Bottom-of-the-Pyramid; Service launch; International marketing; Text mining; Bibliometric analysis</t>
  </si>
  <si>
    <t>DEVELOPING-COUNTRIES; CUSTOMER LOYALTY; SUCCESS FACTORS; HEALTH-CARE; INNOVATION; PRODUCTS; QUALITY; DIFFUSION; INSIGHTS; FIRMS</t>
  </si>
  <si>
    <t>Purpose The purpose of this paper is to systematically review and critically examine the international marketing and innovation management research on new service development (NSD) in the context of emerging markets (EM). Research on services in EM, a heterogenous set of countries with an increasing contribution to global economic output, is sparse. This paper attempts to underscore the academic and managerial relevance of the field. Design/methodology/approach A systematic review of published empirical literature from peer-reviewed journals focusing on an 11-year period, 2010-2020, was undertaken. Further, bibliometric and text mining analyses were conducted using VOSviewer and Leximancer software programmes. Findings This analysis of 36 journal articles reveals that NSD research is a dynamic field with an increasing number of quantitative, multi-country and multi-method studies encompassing a variety of geographical settings and industries. Originality/value Doing justice to this vibrant field of research and its managerial importance, the authors create an overview of existing empirical studies to serve as a repository of knowledge on NSD for both academics and practitioners. Further, the authors offer a thematic and temporal overview of the content of existing studies. Drawing upon the abovementioned, the authors suggest some promising avenues for future research.</t>
  </si>
  <si>
    <t>[Dubiel, Anna; Mukherji, Prokriti] Kings Coll London, Kings Business Sch, London, England</t>
  </si>
  <si>
    <t>University of London; King's College London</t>
  </si>
  <si>
    <t>Dubiel, A (corresponding author), Kings Coll London, Kings Business Sch, London, England.</t>
  </si>
  <si>
    <t>anna.dubiel@kcl.ac.uk</t>
  </si>
  <si>
    <t>Dubiel, Anna/0000-0001-9567-171X</t>
  </si>
  <si>
    <t>OCT 25</t>
  </si>
  <si>
    <t>10.1108/IMR-01-2021-0047</t>
  </si>
  <si>
    <t>5N2ZL</t>
  </si>
  <si>
    <t>WOS:000861978100001</t>
  </si>
  <si>
    <t>Winkler, HJ; Rieger, V; Engelen, A</t>
  </si>
  <si>
    <t>Winkler, Hans-Joerg; Rieger, Verena; Engelen, Andreas</t>
  </si>
  <si>
    <t>Does the CMO's personality matter for web traffic? Evidence from technology-based new ventures</t>
  </si>
  <si>
    <t>Chief marketing officer; Technology-based new ventures; Personality; Firm maturity</t>
  </si>
  <si>
    <t>CHIEF MARKETING OFFICERS; CEO NARCISSISM; BIG 5; UPPER ECHELONS; RISK-TAKING; PERFORMANCE; MODEL; FIRMS; CUSTOMER; FUTURE</t>
  </si>
  <si>
    <t>This study investigates whether the personalities of Chief Marketing Officers (CMOs) of technology-based new ventures affect how the increasing maturity of new ventures translates into web traffic. Drawing on upper echelon theory and the interactionist theory of job performance, we explain how certain personality traits from the five-factor model are relevant to the job demands a CMO faces in technology-based new ventures. We build a multi-source dataset on 627 new ventures and use a novel approach to measuring personality that is based on computer text analysis-specifically, the LIWC application-which we apply to the CMOs' Twitter accounts. Our findings indicate that a CMO's extraversion positively moderates the relationship between a new venture's maturity and web traffic, while a CMO's conscientiousness is a negative moderator of this relationship. These results have useful theoretical and practical implications for the role of the CMO and for marketing new ventures in general.</t>
  </si>
  <si>
    <t>[Winkler, Hans-Joerg; Rieger, Verena] TU Dortmund Univ, Fac Business &amp; Econ, D-44227 Dortmund, Germany; [Engelen, Andreas] Univ Dusseldorf, Dept Management, D-40225 Dusseldorf, Germany</t>
  </si>
  <si>
    <t>Dortmund University of Technology; Heinrich Heine University Dusseldorf</t>
  </si>
  <si>
    <t>Engelen, A (corresponding author), Univ Dusseldorf, Dept Management, D-40225 Dusseldorf, Germany.</t>
  </si>
  <si>
    <t>andreas.engelen@hhu.de</t>
  </si>
  <si>
    <t>Rieger, Verena/0000-0001-6623-4043</t>
  </si>
  <si>
    <t>10.1007/s11747-019-00671-9</t>
  </si>
  <si>
    <t>KR8SF</t>
  </si>
  <si>
    <t>WOS:000517884500009</t>
  </si>
  <si>
    <t>Nadkarni, S; Shenoy, PP</t>
  </si>
  <si>
    <t>A Bayesian network approach to making inferences in causal maps</t>
  </si>
  <si>
    <t>EUROPEAN JOURNAL OF OPERATIONAL RESEARCH</t>
  </si>
  <si>
    <t>causal maps; cognitive maps; Bayesian networks; Bayesian causal maps</t>
  </si>
  <si>
    <t>COGNITIVE MAPS; MENTAL MODELS; INDEPENDENCE; KNOWLEDGE; STRATEGY</t>
  </si>
  <si>
    <t>The main goal of this paper is to describe a new graphical structure called 'Bayesian causal maps' to represent and analyze domain knowledge of experts. A Bayesian causal map is a causal map, i.e., a network-based representation of an expert's cognition. It is also a Bayesian network, i.e., a graphical representation of an expert's knowledge based on probability theory. Bayesian causal maps enhance the capabilities of causal maps in many ways. We describe how the textual analysis procedure for constructing causal maps can be modified to construct Bayesian causal maps, and we illustrate it using a causal map of a marketing expert in the context of a product development decision. (C) 2001 Elsevier Science B.V. All rights reserved.</t>
  </si>
  <si>
    <t>Univ Kansas, Sch Business, Lawrence, KS 66045 USA</t>
  </si>
  <si>
    <t>University of Kansas</t>
  </si>
  <si>
    <t>Shenoy, PP (corresponding author), Univ Kansas, Sch Business, Summerfield Hall, Lawrence, KS 66045 USA.</t>
  </si>
  <si>
    <t>Shenoy, Prakash Pundalik/A-7939-2009</t>
  </si>
  <si>
    <t>Shenoy, Prakash Pundalik/0000-0002-8425-896X</t>
  </si>
  <si>
    <t>0377-2217</t>
  </si>
  <si>
    <t>EUR J OPER RES</t>
  </si>
  <si>
    <t>Eur. J. Oper. Res.</t>
  </si>
  <si>
    <t>10.1016/S0377-2217(99)00368-9</t>
  </si>
  <si>
    <t>384HH</t>
  </si>
  <si>
    <t>WOS:000165936400002</t>
  </si>
  <si>
    <t>Hong, W; Yu, ZM; Wu, LH; Pu, XJ</t>
  </si>
  <si>
    <t>Hong, Wei; Yu, Zemin; Wu, Linhai; Pu, Xujin</t>
  </si>
  <si>
    <t>Influencing factors of the persuasiveness of online reviews considering persuasion methods</t>
  </si>
  <si>
    <t>Online review; Persuasiveness; Persuasion method; Text mining; Benchmark lexicon; Regression analysis</t>
  </si>
  <si>
    <t>WORD-OF-MOUTH; CONSUMER REVIEWS; HELPFULNESS; CREDIBILITY; COMMUNICATION; DETERMINANTS; LANGUAGE; SERVICES</t>
  </si>
  <si>
    <t>Online reviews are important references for purchasing decision. These reviews influence consumer behavior through their awareness and persuasive effects. Persuasion methods used by online reviewers are based on their own expression habits, which have a persuasive effect on other consumers. This study uses theories of linguistics and psychology, and combines with the features of online reviews. At the same time, Text mining techniques are employed to study persuasion methods. We establish a benchmark lexicon for every kind of persuasion method, and also quantify persuasion methods and do quantitative research by scanning every online review and regression analysis. The main conclusions are as follows. Logos, Pathos, and Feature statements have significant roles in improving the persuasiveness of online reviews, while Ethos has less impact in comparison. In addition, as for the characteristics of online review content and reviewers, the number of images, number of videos and member factors also play critical roles.</t>
  </si>
  <si>
    <t>[Hong, Wei; Wu, Linhai; Pu, Xujin] Jiangnan Univ, Food Safety Res Base Jiangsu Prov, Wuxi 214122, Jiangsu, Peoples R China; [Hong, Wei; Yu, Zemin; Wu, Linhai; Pu, Xujin] Jiangnan Univ, Sch Business, Wuxi 214122, Jiangsu, Peoples R China; [Hong, Wei; Wu, Linhai; Pu, Xujin] Jiangnan Univ, Inst Food Safety Risk Management, Wuxi 214122, Jiangsu, Peoples R China</t>
  </si>
  <si>
    <t>Jiangnan University; Jiangnan University; Jiangnan University</t>
  </si>
  <si>
    <t>Hong, W (corresponding author), Jiangnan Univ, Food Safety Res Base Jiangsu Prov, Wuxi 214122, Jiangsu, Peoples R China.</t>
  </si>
  <si>
    <t>hongwei@jiangnan.edu.cn</t>
  </si>
  <si>
    <t>National Natural Science Foundation of China, China [71303094, 71871105]; National Social Science Fund Major Project, China [14ZDA069]; Fundamental Research Funds for the Central Universities, China [JUSRP51641A]</t>
  </si>
  <si>
    <t>National Natural Science Foundation of China, China(National Natural Science Foundation of China (NSFC)); National Social Science Fund Major Project, China; Fundamental Research Funds for the Central Universities, China(Fundamental Research Funds for the Central Universities)</t>
  </si>
  <si>
    <t>This research is supported by the National Natural Science Foundation of China, China (Grant No. 71303094, Grant No. 71871105); National Social Science Fund Major Project, China (Grant No. 14ZDA069); Fundamental Research Funds for the Central Universities, China (Grant No. JUSRP51641A).</t>
  </si>
  <si>
    <t>10.1016/j.elerap.2019.100912</t>
  </si>
  <si>
    <t>KR4BQ</t>
  </si>
  <si>
    <t>WOS:000517564000014</t>
  </si>
  <si>
    <t>Gratz, ET; Sarkees, ME; Fitzgerald, MP</t>
  </si>
  <si>
    <t>Gratz, Elizabeth T.; Sarkees, Matthew E.; Fitzgerald, M. Paula</t>
  </si>
  <si>
    <t>Whose view is it anyway?Media coverage of litigation in for-profit firms' role in the opioid crisis</t>
  </si>
  <si>
    <t>JOURNAL OF MARKETING THEORY AND PRACTICE</t>
  </si>
  <si>
    <t>SOCIAL MEDIA; CONSEQUENCES; ATTENTION</t>
  </si>
  <si>
    <t>The United States opioid epidemic continues to bring suffering to individuals and families as well as a crushing economic toll to communities. Stakeholders require resources to combat the epidemic. Firms that manufacture, distribute, and market opioids are the primary defendants of lawsuits, which play out in public view. This study investigates the public statements made by firms and media coverage in opioid lawsuits through the lens of their word choices. We use text analysis to uncover the similarities and differences in the language used to discuss the opioid crisis. The results provide guidance for marketing, public relations, and communications.</t>
  </si>
  <si>
    <t>[Gratz, Elizabeth T.; Fitzgerald, M. Paula] West Virginia Univ, John Chambers Coll Business &amp; Econ, Dept Mkt, Morgantown, WV 26506 USA; [Sarkees, Matthew E.] Villanova Univ, Villanova Sch Business, Dept Mkt, 800 Lancaster Ave, Villanova, PA 19085 USA</t>
  </si>
  <si>
    <t>West Virginia University; Villanova University</t>
  </si>
  <si>
    <t>Sarkees, ME (corresponding author), Villanova Univ, Villanova Sch Business, Dept Mkt, 800 Lancaster Ave, Villanova, PA 19085 USA.</t>
  </si>
  <si>
    <t>matthew.sarkees@villanova.edu</t>
  </si>
  <si>
    <t>1069-6679</t>
  </si>
  <si>
    <t>1944-7175</t>
  </si>
  <si>
    <t>J MARKET THEORY PRAC</t>
  </si>
  <si>
    <t>J. Market. Theory Pract.</t>
  </si>
  <si>
    <t>OCT 2</t>
  </si>
  <si>
    <t>10.1080/10696679.2021.1979411</t>
  </si>
  <si>
    <t>4I3AD</t>
  </si>
  <si>
    <t>WOS:000702613900001</t>
  </si>
  <si>
    <t>Zheng, YL; Wang, YR; Mian, SA</t>
  </si>
  <si>
    <t>Zheng, Yilong; Wang, Yiru; Mian, Sarfraz A.</t>
  </si>
  <si>
    <t>Strategic positioning of projects in crowdfunding platforms: do advanced technology terms referencing, signaling and articulation matter?</t>
  </si>
  <si>
    <t>INTERNATIONAL JOURNAL OF ENTREPRENEURIAL BEHAVIOR &amp; RESEARCH</t>
  </si>
  <si>
    <t>Crowdfunding; Marketing; Technology; Signaling</t>
  </si>
  <si>
    <t>SUCCESS; ENTREPRENEURSHIP; INVESTMENTS; ORIENTATION; INNOVATION; CROWD</t>
  </si>
  <si>
    <t>PurposeTracking trends in new technology funding patterns is essential for venture scaling. The emerging advanced digital technologies (ADT) such as virtual reality (VR), artificial intelligence (AI), blockchain and Internet-of-things (IoT) promote business innovation adaptations, and in turn, reshape the industrial landscape. To attract nascent funding for such prospective projects among the public, well-articulated project pitches that are equipped with effective marketing communication convey the projects' importance and marketability. Specifically, when the entrepreneurs and the crowdfunding platform users interact via different types of crowdfunding platforms, pitch framing, including the signaling of ADT terms, project location and fundraising goal, becomes imperative to help facilitate crowdfunding success.Design/methodology/approachDrawing on data collected from six leading US-based equity and reward-based crowdfunding platforms in 2020, an empirical study was performed. Using the text analysis approach, the authors examined the positive effects of incorporating technology orientation on crowdfunding success. While the effect between the project description's signaling of geographic location, fundraising goal and articulation style on fundraising success, while controlling for project and platform characteristics.FindingsThe results suggested that the technology-orientated projects are more likely to achieve better fundraising outcomes. Taking crowdfunding platform types, project locations, minimum fundraising goals and articulation with analytical and authentic into consideration, the results still hold.Originality/valueBuilding on the theoretical framework of signaling theory, the authors consider the crowdfunding-specific contextual factors to enhance the understanding of the positivity impact of technology orientation. By such addition, it facilitates more effective strategic composition of entrepreneurs' fundraising conversations.</t>
  </si>
  <si>
    <t>[Zheng, Yilong] Merrimack Coll, Girard Sch Business, N Andover, MA 01845 USA; [Wang, Yiru; Mian, Sarfraz A.] SUNY Coll Oswego, Sch Business, Oswego, NY USA</t>
  </si>
  <si>
    <t>Merrimack College; State University of New York (SUNY) System; State University of New York (SUNY) - Oswego</t>
  </si>
  <si>
    <t>Zheng, YL (corresponding author), Merrimack Coll, Girard Sch Business, N Andover, MA 01845 USA.</t>
  </si>
  <si>
    <t>zhengy@merrimack.edu; yiru.wang@oswego.edu; sarfraz.mian@oswego.edu</t>
  </si>
  <si>
    <t>1355-2554</t>
  </si>
  <si>
    <t>1758-6534</t>
  </si>
  <si>
    <t>INT J ENTREP BEHAV R</t>
  </si>
  <si>
    <t>Int. J. Entrep. Behav. Res.</t>
  </si>
  <si>
    <t>10.1108/IJEBR-01-2022-0071</t>
  </si>
  <si>
    <t>6R8SK</t>
  </si>
  <si>
    <t>WOS:000892566700001</t>
  </si>
  <si>
    <t>Song, M; Shin, KS</t>
  </si>
  <si>
    <t>Song, Minchae; Shin, Kyung-shik</t>
  </si>
  <si>
    <t>Forecasting economic indicators using a consumer sentiment index: Survey-based versus text-based data</t>
  </si>
  <si>
    <t>JOURNAL OF FORECASTING</t>
  </si>
  <si>
    <t>consumer sentiment index; economic indicator forecasting; sentiment analysis; text mining</t>
  </si>
  <si>
    <t>AGGREGATE DEMAND; PREDICTIVE POWER; ANIMAL SPIRITS; BUSINESS; TWITTER; CONFIDENCE; LEXICON</t>
  </si>
  <si>
    <t>Given the confirmed effectiveness of the survey-based consumer sentiment index (CSI) as a leading indicator of real economic conditions, the CSI is actively used in making policy judgments and decisions in many countries. However, although the CSI offers qualitative information for presenting current conditions and predicting a household's future economic activity, the survey-based method has several limitations. In this context, we extracted sentiment information from online economic news articles and demonstrated that the Korean cases are a good illustration of applying a text mining technique when generating a CSI using sentiment analysis. By applying a simple sentiment analysis based on the lexicon approach, this paper confirmed that news articles can be an effective source for generating an economic indicator in Korea. Even though cross-national comparative research results are suited better than national-level data to generalize and verify the method used in this study, international comparisons are quite challenging to draw due to the necessary linguistic preprocessing. We hope to encourage further cross-national comparative research to apply the approach proposed in this study.</t>
  </si>
  <si>
    <t>[Song, Minchae] Ewha Womans Univ, Big Data Analyt, Seoul, South Korea; [Shin, Kyung-shik] Ewha Womans Univ, Sch Business, 52 Ewhayeodae Gil, Seoul 120750, South Korea</t>
  </si>
  <si>
    <t>Ewha Womans University; Ewha Womans University</t>
  </si>
  <si>
    <t>Shin, KS (corresponding author), Ewha Womans Univ, Sch Business, 52 Ewhayeodae Gil, Seoul 120750, South Korea.</t>
  </si>
  <si>
    <t>ksshin@ewha.ac.kr</t>
  </si>
  <si>
    <t>Shin, Kyung-shik/0000-0002-2312-5274</t>
  </si>
  <si>
    <t>0277-6693</t>
  </si>
  <si>
    <t>1099-131X</t>
  </si>
  <si>
    <t>J FORECASTING</t>
  </si>
  <si>
    <t>J. Forecast.</t>
  </si>
  <si>
    <t>10.1002/for.2584</t>
  </si>
  <si>
    <t>Economics; Management</t>
  </si>
  <si>
    <t>IN3RX</t>
  </si>
  <si>
    <t>WOS:000478595100002</t>
  </si>
  <si>
    <t>Paras, MK; Pal, R; Ekwall, D</t>
  </si>
  <si>
    <t>Paras, Manoj Kumar; Pal, Rudrajeet; Ekwall, Daniel</t>
  </si>
  <si>
    <t>Systematic literature review to develop a conceptual framework for a reuse-based clothing value chain</t>
  </si>
  <si>
    <t>INTERNATIONAL REVIEW OF RETAIL DISTRIBUTION AND CONSUMER RESEARCH</t>
  </si>
  <si>
    <t>Closed loop chain; clothing value chain; reuse; literature review; conceptual framework</t>
  </si>
  <si>
    <t>LOOP SUPPLY-CHAIN; REVERSE LOGISTICS NETWORK; UK RETAIL SECTOR; PRODUCT-RECOVERY; SUSTAINABLE OPERATIONS; AUTOMOTIVE INDUSTRY; PROGRAMMING-MODEL; DECISION-MAKING; LIFE-CYCLE; DESIGN</t>
  </si>
  <si>
    <t>A closed loop value chain is a concept that maximises a product's utility both before and after end-of-life. This chain's primary components are reuse, repair, up-cycling and down-cycling. This paper reviews the literature in the domain of 'reuse' to formulate and propose a conceptual framework for a 'reuse-based clothing value chain'. We performed a systematic literature review in which a range of online databases were searched to select papers related to reuse between September 1994 and March 2015. Our review is presented broadly and in two parts: the first part provides a descriptive analysis of the articles, and the second part develops propositions based on the textual analysis. The review revealed that there are six primary drivers of the reuse-based clothing value chain: system, redesignability, price, information, legislation, and consumer attitude. Corresponding propositions highlight the key importance of system, product redesignability, product price, information, government legislation and consumer attitude to the economic success of the reuse-based clothing value chain. Finally, this work proposes a conceptual framework based on our propositions. This research may help scholars and practitioners to understand the current state of the literature. The list of references may be considered a source for future research in this area.</t>
  </si>
  <si>
    <t>[Paras, Manoj Kumar; Pal, Rudrajeet; Ekwall, Daniel] Univ Boras, Fac Text Engn &amp; Business, Boras, Sweden; [Paras, Manoj Kumar] Gheorghe Asachi Tech Univ Iasi, Fac Text Leather &amp; Ind Management, Iasi, Romania; [Paras, Manoj Kumar] Soochow Univ, Sch Text &amp; Clothing Engn, Suzhou, Peoples R China; [Ekwall, Daniel] Hanken Sch Econ, Supply Chain Management &amp; Social Responsibil, Helsinki, Finland</t>
  </si>
  <si>
    <t>University of Boras; Soochow University - China; Hanken School of Economics</t>
  </si>
  <si>
    <t>Paras, MK (corresponding author), Univ Boras, Fac Text Engn &amp; Business, Boras, Sweden.;Paras, MK (corresponding author), Gheorghe Asachi Tech Univ Iasi, Fac Text Leather &amp; Ind Management, Iasi, Romania.;Paras, MK (corresponding author), Soochow Univ, Sch Text &amp; Clothing Engn, Suzhou, Peoples R China.</t>
  </si>
  <si>
    <t>manoj.kr.paras@gmail.com</t>
  </si>
  <si>
    <t>Pal, Rudrajeet/AAR-5543-2021</t>
  </si>
  <si>
    <t>SMDTex, Erasmus Mundus, European Commission</t>
  </si>
  <si>
    <t>We would like to acknowledge the financial support provided by SMDTex, Erasmus Mundus, European Commission</t>
  </si>
  <si>
    <t>0959-3969</t>
  </si>
  <si>
    <t>1466-4402</t>
  </si>
  <si>
    <t>INT REV RETAIL DISTR</t>
  </si>
  <si>
    <t>Int. Rev. Retail Distrib. Consum. Res.</t>
  </si>
  <si>
    <t>10.1080/09593969.2017.1380066</t>
  </si>
  <si>
    <t>GI8LP</t>
  </si>
  <si>
    <t>WOS:000434776500001</t>
  </si>
  <si>
    <t>Aleti, Torgeir/AAG-6310-2020; van Laer, Tom/AAC-2500-2019; Tuan, Annamaria/ABD-4320-2020; Pallant, Jason Ian/AHA-4192-2022</t>
  </si>
  <si>
    <t>Khansa, L; Zobel, CW; Goicochea, G</t>
  </si>
  <si>
    <t>Khansa, Lara; Zobel, Christopher W.; Goicochea, Guillermo</t>
  </si>
  <si>
    <t>Creating a Taxonomy for Mobile Commerce Innovations Using Social Network and Cluster Analyses</t>
  </si>
  <si>
    <t>Cluster analysis; co-creation; empowerment; innovation; mobile commerce; social network analysis; taxonomy</t>
  </si>
  <si>
    <t>SPECIAL-ISSUE; CO-CREATION; TECHNOLOGY; SERVICES; DESIGN; MODEL; STRATEGY; PLATFORM; LOYALTY; SCIENCE</t>
  </si>
  <si>
    <t>Increasing numbers of people are spending time focused on the third screen of a mobile device. Through ubiquitous connectivity, personalization, and affordability, such mobile devices have become much more than just entertainment handsets. In particular, e-commerce has harnessed the power of wireless computing to expand to mobile commerce (m-commerce), thus providing consumers with commercial services on the go. Because such services are often driven by customer input, it is important to consider the relevance of consumers to the development of new service offerings. We therefore dissect innovations in m-commerce by conducting a textual analysis of all filed m-commerce patent applications (over 2,300 in total). By using social network analysis and cluster analysis, we subsequently capture the focal innovation areas in m-commerce and develop a corresponding taxonomy of these innovations. The results clearly illustrate the importance of consumer empowerment and co-creation in the context of m-commerce innovations.</t>
  </si>
  <si>
    <t>[Khansa, Lara] Virginia Tech, Dept Business Informat Technol, Blacksburg, VA USA; [Goicochea, Guillermo] Ericsson, Atlanta, GA USA</t>
  </si>
  <si>
    <t>Virginia Polytechnic Institute &amp; State University; Ericsson</t>
  </si>
  <si>
    <t>Khansa, L (corresponding author), Virginia Tech, Dept Business Informat Technol, Blacksburg, VA USA.</t>
  </si>
  <si>
    <t>larak@vt.edu; czobel@vt.edu; guillermo.goicochea@ericsson.com</t>
  </si>
  <si>
    <t>Zobel, Christopher/B-2094-2008</t>
  </si>
  <si>
    <t>Zobel, Christopher/0000-0002-0952-7322; Khansa, Lara/0000-0001-7305-5190</t>
  </si>
  <si>
    <t>10.2753/JEC1086-4415160402</t>
  </si>
  <si>
    <t>964LF</t>
  </si>
  <si>
    <t>WOS:000305696000002</t>
  </si>
  <si>
    <t>Park, YE</t>
  </si>
  <si>
    <t>Park, Young-Eun</t>
  </si>
  <si>
    <t>Data Empowered Insights for Sustainability of Korean MNEs</t>
  </si>
  <si>
    <t>Korean Multinational Enterprises; Data mining; News media; Social media; Sustainability</t>
  </si>
  <si>
    <t>This study aims to utilize big data contents of news and social media for developing a corporate strategy of multinational enterprises and their global decision-making through the data mining technique, especially text mining. In this paper, the data of 2 news media (BBC and CNN) and 2 social media (Facebook and Twitter) were collected for the three global leading Korean companies (Samsung, Hyundai Motor Company, and LG) from April, 2018 to April, 2019. The findings of this paper have shown that traditional news media and also modern social media have become devastating tools to extract global trends or phenomena for businesses. Moreover, this presents that a company can adopt a two-track strategy through two different types of media by deriving the key issues or trends from news media channels and also grasping consumers' sentiments, preference or issues of interest such as battery or design from social media. In addition, analyzing the texts of those media and understanding the association rules greatly contribute to the comparison between two different types of media channels to see the difference. Lastly, this provides meaningful and valuable data empowered insights to find a future direction comprehensively and develop a global strategy for sustainability of business.</t>
  </si>
  <si>
    <t>[Park, Young-Eun] Prince Sultan Univ Riyadh, Coll Business Adm, Management Dept, Riyadh, Saudi Arabia</t>
  </si>
  <si>
    <t>Prince Sultan University</t>
  </si>
  <si>
    <t>Park, YE (corresponding author), Prince Sultan Univ Riyadh, Coll Business Adm, Management Dept, Riyadh, Saudi Arabia.</t>
  </si>
  <si>
    <t>ypark@psu.edu.sa</t>
  </si>
  <si>
    <t>Park, Young-Eun/T-8362-2018</t>
  </si>
  <si>
    <t>Park, Young-Eun/0000-0002-3057-7930</t>
  </si>
  <si>
    <t>Business, Society &amp; Environment (BSE) Research Lab, Prince Sultan University, Saudi Arabia</t>
  </si>
  <si>
    <t>The author would like to acknowledge Business, Society &amp; Environment (BSE) Research Lab, Prince Sultan University, Saudi Arabia for their support.</t>
  </si>
  <si>
    <t>GYEONGGI</t>
  </si>
  <si>
    <t>HANSHIN OFFICETEL STE 1030, 2463-4, SHINHEUNG-DONG SUJEONG-GU, SEONGNAM, GYEONGGI, 461-713, SOUTH KOREA</t>
  </si>
  <si>
    <t>10.13106/jafeb.2019.vol6.no3.173</t>
  </si>
  <si>
    <t>IV6BB</t>
  </si>
  <si>
    <t>WOS:000484352800016</t>
  </si>
  <si>
    <t>Lee, WJ</t>
  </si>
  <si>
    <t>Lee, Won-Jun</t>
  </si>
  <si>
    <t>Evaluating Perceived Smartness of Product from Consumer's Point of View: The Concept and Measurement</t>
  </si>
  <si>
    <t>Smartness; Intelligence; Scale Development; Multi-functionality; Human-like touch; Ability to cooperate; Autonomy; Situatedness; Network connectivity; Integrity; Learning capability</t>
  </si>
  <si>
    <t>PARADIGM</t>
  </si>
  <si>
    <t>Due to the rapid development of IT (information technology) and internet, products become smart and able to collect, process and produce information and can think of themselves to provide better service to consumers. However, research on the characteristics of smart product is still sparse. In this paper, we report the systemic development of a scale to measure the perceived product smartness associated with smart product. To develop product smartness scale, this study follows systemic scale development processes of item generation, item reduction, scale validation, reliability and validity test consequently. And, after acquiring a large amount of qualitative interview data asking the definition of smart product, we add a unique process to reduce the initial items using both a text mining method using 'r' s/w and traditional reliability and validity tests including factor analysis. Based on an initial qualitative inquiry and subsequent quantitative survey, an eight-factor scale of product smartness is developed. The eight factors are multi-functionality, human-like touch, ability to cooperate, autonomy, situatedness, network connectivity, integrity, and learning capability consequently. Results from Korean samples support the proposed measures of product smartness in terms of reliability, validity, and dimensionality. Implications and directions for further study are discussed. The developed scale offers important theoretical and pragmatic implications for researchers and practitioners.</t>
  </si>
  <si>
    <t>[Lee, Won-Jun] Cheongju Univ, Business Dept, Cheongju, South Korea</t>
  </si>
  <si>
    <t>Cheongju University</t>
  </si>
  <si>
    <t>Lee, WJ (corresponding author), Cheongju Univ, Business Dept, Cheongju, South Korea.</t>
  </si>
  <si>
    <t>marketing@cju.ac.kr</t>
  </si>
  <si>
    <t>Ministry of Education of the Republic of Korea; National Research Foundation of Korea [NRF-2015S1A5A2A01010814]</t>
  </si>
  <si>
    <t>Ministry of Education of the Republic of Korea(Ministry of Education (MOE), Republic of Korea); National Research Foundation of Korea(National Research Foundation of Korea)</t>
  </si>
  <si>
    <t>This work was supported by the Ministry of Education of the Republic of Korea and the National Research Foundation of Korea (NRF-2015S1A5A2A01010814).</t>
  </si>
  <si>
    <t>10.13106/jafeb.2019.vol6.no1.149</t>
  </si>
  <si>
    <t>HQ3TK</t>
  </si>
  <si>
    <t>WOS:000462333200013</t>
  </si>
  <si>
    <t>Roundy, PT; Asllani, A</t>
  </si>
  <si>
    <t>Roundy, Philip T.; Asllani, Arben</t>
  </si>
  <si>
    <t>The Themes of Entrepreneurship Discourse: A Data Analytics Approach</t>
  </si>
  <si>
    <t>JOURNAL OF ENTREPRENEURSHIP MANAGEMENT AND INNOVATION</t>
  </si>
  <si>
    <t>entrepreneurship; entrepreneurial communication; discourse; text analysis; data analytics</t>
  </si>
  <si>
    <t>SPECIAL-ISSUE; VALUE CREATION; BIG DATA; NARRATIVES; ORGANIZATIONS; STORIES; COMMUNICATION; CONSTRUCTION; PERSPECTIVE; DIRECTIONS</t>
  </si>
  <si>
    <t>Scholars are devoting heightened attention to the language of entrepreneurship and to its influence on the cognition, behaviors, and outcomes of entrepreneurs and their stakeholders. However, the primary themes that constitute entrepreneurs' language are unexamined. In this partially-inductive study, we identify the most common themes in entrepreneurship discourse and explore how they have changed over time. To map the themes in entrepreneurs' language, we use data analytic techniques coupled with text mining algorithms to analyze a longitudinal corpus of entrepreneurial discourse. Our findings reveal five dominant and recurring themes in entrepreneurship discourse - marketing activities, technology-oriented entrepreneurship, digital entrepreneurship, professional investment, and new venture entrepreneurship and illustrate how these themes are evolving. By examining the key themes in the discourse of entrepreneurs and charting their transformation over time, our study makes theoretical and methodological contributions to entrepreneurship research. We identify the areas where the academic literature seems to be lagging practitioner discussions and suggest that scholars should evaluate research for how closely topics are calibrated with the main themes in the discourse of entrepreneurs. Our findings also produce practical implications for entrepreneurs by identifying the main themes receiving attention, which allows entrepreneurs to evaluate if the topics that comprise their day-to-day discourse align with the themes emphasized in the larger body of entrepreneurship discourse.</t>
  </si>
  <si>
    <t>[Roundy, Philip T.] Univ Tennessee, Dept Mkt &amp; Entrepreneurship, Gary W Rollins Coll Business, 615 McCallie Ave, Chattanooga, TN 37403 USA; [Asllani, Arben] Univ Tennessee, Dept Management, Management, Gary W Rollins Coll Business, 615 McCallie Ave, Chattanooga, TN 37403 USA</t>
  </si>
  <si>
    <t>University of Tennessee System; University of Tennessee at Chattanooga; University of Tennessee System; University of Tennessee at Chattanooga</t>
  </si>
  <si>
    <t>Roundy, PT (corresponding author), Univ Tennessee, Dept Mkt &amp; Entrepreneurship, Gary W Rollins Coll Business, 615 McCallie Ave, Chattanooga, TN 37403 USA.</t>
  </si>
  <si>
    <t>philip-roundy@utc.edu; beni-asllani@utc.edu</t>
  </si>
  <si>
    <t>Roundy, Philip/H-4002-2017</t>
  </si>
  <si>
    <t>Roundy, Philip/0000-0002-4262-5274</t>
  </si>
  <si>
    <t>WYZSZA SZKOLA BIZNESU, NATL LOUIS UNIV</t>
  </si>
  <si>
    <t>NOWY SACZ</t>
  </si>
  <si>
    <t>UL ZIELONA 27, NOWY SACZ, 33300, POLAND</t>
  </si>
  <si>
    <t>2299-7075</t>
  </si>
  <si>
    <t>2299-7326</t>
  </si>
  <si>
    <t>J ENTREP MANAG INNOV</t>
  </si>
  <si>
    <t>J. Entrep. Manag. Innov.</t>
  </si>
  <si>
    <t>10.7341/20181436</t>
  </si>
  <si>
    <t>GU1IY</t>
  </si>
  <si>
    <t>WOS:000445014700007</t>
  </si>
  <si>
    <t>Wilden, R; Akaka, MA; Karpen, IO; Hohberger, J</t>
  </si>
  <si>
    <t>Wilden, Ralf; Akaka, Melissa Archpru; Karpen, Ingo O.; Hohberger, Jan</t>
  </si>
  <si>
    <t>The Evolution and Prospects of Service-Dominant Logic: An Investigation of Past, Present, and Future Research</t>
  </si>
  <si>
    <t>service-dominant logic; service research; Leximancer; cocreation</t>
  </si>
  <si>
    <t>VALUE CO-CREATION; CONSUMER CULTURE THEORY; DYNAMIC CAPABILITIES; RESOURCE INTEGRATION; RESEARCH PRIORITIES; VALUE COCREATION; INNOVATION; MICROFOUNDATIONS; ORIENTATION; BUSINESS</t>
  </si>
  <si>
    <t>Service-dominant logic (SDL) emerged over a decade ago as a potential framework and paradigmatic lens for rethinking the role of service in exchange and value creation. The growth of SDL reflects a major shift in service research. However, SDL's relationship to prior service literature and its potential for future development in this field have not been empirically examined. We explore the foundational research areas and evolution of SDL research through a systematic investigation, which combines cocitation analysis with a novel text mining tool, Leximancer. Specifically, we investigate the research streams connected with SDL and compare core themes across two time periods (2004 to 2008 vs. 2009 to 2015). The findings reveal SDL's interdisciplinary theoretical heritage and significant changes in the structure of focal themes and concepts over time. Our analyses identify current limitations and subsequent research areas and questions to further develop strategic approaches for SDL and advance a service ecosystems view. These include open innovation, dynamic capabilities, organizational microfoundations, and service systems, as well as social capital and consumer culture theories. Integration of midrange theories and strategic frameworks in these particular areas can help to guide managers in improving service innovation and enhancing value creation in service ecosystems.</t>
  </si>
  <si>
    <t>[Wilden, Ralf] Univ Newcastle, Newcastle Business Sch, Univ Dr, Callaghan, NSW 2308, Australia; [Akaka, Melissa Archpru] Univ Denver, Daniels Coll Business, Denver, CO USA; [Karpen, Ingo O.] RMIT Univ, Grad Sch Business &amp; Law, Melbourne, Vic, Australia; [Karpen, Ingo O.] Copenhagen Business Sch, Dept Mkt, Copenhagen, Denmark; [Hohberger, Jan] Univ Technol Sydney, UTS Business Sch, Broadway, NSW, Australia</t>
  </si>
  <si>
    <t>University of Newcastle; University of Denver; Royal Melbourne Institute of Technology (RMIT); Copenhagen Business School; University of Technology Sydney</t>
  </si>
  <si>
    <t>Wilden, R (corresponding author), Univ Newcastle, Newcastle Business Sch, Univ Dr, Callaghan, NSW 2308, Australia.</t>
  </si>
  <si>
    <t>ralf.wilden@newcastle.edu.au</t>
  </si>
  <si>
    <t>Wilden, Ralf/0000-0002-1088-5792; Karpen, Ingo Oswald/0000-0003-0700-0495</t>
  </si>
  <si>
    <t>10.1177/1094670517715121</t>
  </si>
  <si>
    <t>FJ8XK</t>
  </si>
  <si>
    <t>WOS:000413051700001</t>
  </si>
  <si>
    <t>Agrawal, R; Wankhede, VA; Kumar, A; Luthra, S; Majumdar, A; Kazancoglu, Y</t>
  </si>
  <si>
    <t>Agrawal, Rohit; Wankhede, Vishal A.; Kumar, Anil; Luthra, Sunil; Majumdar, Abhijit; Kazancoglu, Yigit</t>
  </si>
  <si>
    <t>An Exploratory State-of-the-Art Review of Artificial Intelligence Applications in Circular Economy using Structural Topic Modeling</t>
  </si>
  <si>
    <t>OPERATIONS MANAGEMENT RESEARCH</t>
  </si>
  <si>
    <t>Artificial intelligence; Circular economy; Emerging technologies; Structural topic modeling; Text mining; Big data analytics</t>
  </si>
  <si>
    <t>SUSTAINABLE DEVELOPMENT; PERFORMANCE; SYSTEMS</t>
  </si>
  <si>
    <t>The world is moving into a situation where resource scarcity leads to an increase in material cost. A possible way to deal with the above challenge is to adopt Circular Economy (CE) concepts to make a close loop of material by eliminating industrial or post-consumer wastes. Integration of emerging technologies such as Artificial Intelligence (AI), machine learning, and big data analytics provides significant support in successfully adopting and implementing CE practices. This study aims to explore the applications of AI techniques in enhancing the adoption and implementation of CE practices. A systematic literature review was performed to analyze the existing scenario and the potential research directions of AI in CE. A collection of 220 articles was shortlisted from the SCOPUS database in the field of AI in CE. A text mining approach, known as Structural Topic Modeling (STM), was used to generate different thematic topics of AI applications in CE. Each generated topic was then discussed with shortlisted articles. Further, a bibliometric study was performed to analyze the research trends in the field of AI applications in CE. A research framework was proposed for AI in CE based on the review conducted, which could help industrial practitioners, and researchers working in this domain. Further, future research propositions on AI in CE were proposed.</t>
  </si>
  <si>
    <t>[Agrawal, Rohit; Majumdar, Abhijit] Indian Inst Technol, Dept Text &amp; Fibre Engn, New Delhi 110016, India; [Wankhede, Vishal A.] Pandit Deendayal Energy Univ, Dept Mech Engn, Gandhinagar, Gujarat, India; [Kumar, Anil] London Metropolitan Univ, Guildhall Sch Business &amp; Law, London, England; [Luthra, Sunil] Ch Ranbir Singh State Inst Engn &amp; Technol, Dept Mech Engn, Jhajjar, Haryana, India; [Kazancoglu, Yigit] Yasar Univ, Dept Int Logist Management, Univ Caddesi 37-39, Izmir, Turkey</t>
  </si>
  <si>
    <t>Indian Institute of Technology System (IIT System); Indian Institute of Technology (IIT) - Delhi; Pandit Deendayal Energy University; London Metropolitan University; Yasar University</t>
  </si>
  <si>
    <t>Luthra, S (corresponding author), Ch Ranbir Singh State Inst Engn &amp; Technol, Dept Mech Engn, Jhajjar, Haryana, India.</t>
  </si>
  <si>
    <t>sunilluthra1977@gmail.com</t>
  </si>
  <si>
    <t>Wankhede, Vishal Ashok/J-9480-2016; Kumar, Anil/A-2657-2013; Luthra, Sunil/D-4135-2014; Kazancoglu, Yigit/E-7705-2015; Boothapati, Anil Kumar/HHS-1813-2022; Kumar, Anil/HJB-2850-2022; Kazancoglu, Yigit/AAT-5676-2021; Wankhede, Vishal Ashok/Y-7165-2018</t>
  </si>
  <si>
    <t>Kumar, Anil/0000-0002-1691-0098; Luthra, Sunil/0000-0001-7571-1331; Kazancoglu, Yigit/0000-0001-9199-671X; Kumar, Anil/0000-0002-5817-5829; Kazancoglu, Yigit/0000-0001-9199-671X; Wankhede, Vishal Ashok/0000-0001-9769-9062</t>
  </si>
  <si>
    <t>1936-9735</t>
  </si>
  <si>
    <t>1936-9743</t>
  </si>
  <si>
    <t>OPER MANAGE RES</t>
  </si>
  <si>
    <t>Oper. Manag. Res.</t>
  </si>
  <si>
    <t>10.1007/s12063-021-00212-0</t>
  </si>
  <si>
    <t>6I6HG</t>
  </si>
  <si>
    <t>WOS:000698137600002</t>
  </si>
  <si>
    <t>Negative online reviews, brand equity and emotional contagion</t>
  </si>
  <si>
    <t>Brand equity; SERVQUAL; Service quality; Data analysis; Online reviews; Emotional contagion; Accommodative and defensive response</t>
  </si>
  <si>
    <t>WORD-OF-MOUTH; SERVICE QUALITY DIMENSIONS; CUSTOMER REVIEWS; CONSUMER REVIEWS; MODERATING ROLE; RELATIVE IMPORTANCE; IMPACT; COMMUNICATION; SATISFACTION; TRUST</t>
  </si>
  <si>
    <t>Purpose Despite the growing consensus that consumers extensively use online reviews and that negative reviews can significantly damage brand equity, it remains uncertain whether negative online reviews that focus on different aspects of a service have a similar or differential effect on brand equity. This study aims to fill this gap and explores the mediating role of emotional contagion and what kind of response helps better deter their negative effect. Design/methodology/approach This research is conducted through a one-panel study and three experimental studies. SAS enterprise miner is used for text mining analysis and Analysis of variance (ANOVA) and Process macro models are used to analyze the experimental data. Findings Negative reviews related to the tangibility, responsiveness and empathy dimensions have a more detrimental effect on brand equity than negative reviews related to the assurance and reliability dimensions. The results also provide evidence that emotional contagion is more prevalent when consumers read reviews that are specific to the empathy and responsiveness dimensions. Finally, accommodative responses from the service provider are more effective in deterring the effect of a negative online review on brand equity. Research limitations/implications The generalizability of this study is limited to the restaurant and hotel industry. Practical implications The findings will also help the brand manager in understanding the comparative effect of service quality-specific negative reviews on brand equity and also the type of responses that brand managers should give to negative reviews. Originality/value Despite online reviews receiving increased attention in academic research, Service quality (SERVQUAL) dimension-specific reviews have not been studied until now. This study contributes to the service quality-related literature by providing evidence that not all negative online reviews related to different Service quality (SERVQUAL) dimensions equally affect brand equity.</t>
  </si>
  <si>
    <t>[Ahmad, Fayez; Guzman, Francisco] Univ North Texas, Dept Mkt &amp; Logist, Denton, TX 76203 USA</t>
  </si>
  <si>
    <t>University of North Texas System; University of North Texas Denton</t>
  </si>
  <si>
    <t>Ahmad, F (corresponding author), Univ North Texas, Dept Mkt &amp; Logist, Denton, TX 76203 USA.</t>
  </si>
  <si>
    <t>fayez.ahmad@unt.edu</t>
  </si>
  <si>
    <t>NOV 10</t>
  </si>
  <si>
    <t>10.1108/EJM-10-2019-0820</t>
  </si>
  <si>
    <t>WU3EY</t>
  </si>
  <si>
    <t>WOS:000664132100001</t>
  </si>
  <si>
    <t>Bruce, T; Tini, T</t>
  </si>
  <si>
    <t>Bruce, Toni; Tini, Tahlia</t>
  </si>
  <si>
    <t>Unique crisis response strategies in sports public relations: Rugby league and the case for diversion</t>
  </si>
  <si>
    <t>crisis communication; rugby league; sport; diversion; Australia</t>
  </si>
  <si>
    <t>DISCOURSE; MEDIA</t>
  </si>
  <si>
    <t>Sport is a unique 'product' in that most of its messages and images are conveyed through media coverage rather than through advertising or sales campaigns. While the coverage is usually positive, media interest becomes more problematic in high profile scandals which can be very damaging. In this paper, we propose that the culture of elite men's sport and its interdependence with mass media creates a situation in which sports public relations personnel have access to crisis communication strategies not previously specified in the existing literature. Based on textual analysis of media coverage of an Australasian men's rugby league salary cap scandal, we argue that, in certain situations, a sports organisation may draw upon a crisis response strategy that we term diversion in order to successfully limit the damage to the organisation's reputation. In particular, we suggest that the often intense 'relationship' that fans have with players may allow team sports to focus attention on players (and fans) as innocent victims with the result that negative publicity for the sport overall is reduced. (C) 2008 Elsevier Inc. All rights reserved.</t>
  </si>
  <si>
    <t>[Bruce, Toni] Univ Waikato, Dept Sport &amp; Leisure Studies, Hamilton, New Zealand</t>
  </si>
  <si>
    <t>University of Waikato</t>
  </si>
  <si>
    <t>Bruce, T (corresponding author), Univ Waikato, Dept Sport &amp; Leisure Studies, Hamilton, New Zealand.</t>
  </si>
  <si>
    <t>tbruce@waikato.ac.nz; tahliulah@hotmail.com</t>
  </si>
  <si>
    <t>Bruce, Toni/0000-0003-4998-2861</t>
  </si>
  <si>
    <t>10.1016/j.pubrev.2008.03.015</t>
  </si>
  <si>
    <t>316DY</t>
  </si>
  <si>
    <t>WOS:000256930300004</t>
  </si>
  <si>
    <t>Cripps, H; Singh, A; Mejtoft, T; Salo, J</t>
  </si>
  <si>
    <t>Cripps, Helen; Singh, Abhay; Mejtoft, Thomas; Salo, Jari</t>
  </si>
  <si>
    <t>The use of Twitter for innovation in business markets</t>
  </si>
  <si>
    <t>Social media; Innovation; Twitter; Crowdsourcing; Topic modelling; Business to business marketing</t>
  </si>
  <si>
    <t>SOCIAL MEDIA RESEARCH; B2B; COMMUNICATION; KNOWLEDGE; CREATION; TEXT; TECHNOLOGIES; CUSTOMERS; NETWORKS; MEANINGS</t>
  </si>
  <si>
    <t>Purpose The purpose of this research is to investigate the use of Twitter in business as a medium for knowledge sharing and to crowdsource information to support innovation and enhance business relationships in the context of business-to-business (B2B) marketing. Design/methodology/approach This study uses a combination of methodologies for gathering data in 52 face-to-face interviews across five countries and the downloaded posts from each of the interviewees' Twitter accounts. The tweets were analysed using structural topic modelling (STM), and then compared to the interview data. This method enabled triangulation between stated use of Twitter and respondent's actual tweets. Findings The research confirmed that individuals used Twitter as a source of information, ideas, promotion and innovation within their industry. Twitter facilitates building relevant business relationships through the exchange of new, expert and high-quality information within like-minded communities in real time, between companies and with their suppliers, customers and also their peers. Research limitations/implications - As this study covered five countries, further comparative research on the use of Twitter in the B2B context is called for. Further investigation of the formalisation of social media strategies and return on investment for social media marketing efforts is also warranted. Practical implications - This research highlights the business relationship building capacity of Twitter as it enables customer and peer conversations that eventually support the development of product and service innovations. Twitter has the capacity for marketers to informand engage customers and peers in their networks on wider topics thereby building the brand of the individual users and their companies simultaneously. Originality/value This study focuses on interactions at the individual level illustrating that Twitter is used for both customer and peer interactions that can lead to the sourcing of ideas, knowledge and ultimately innovation. The study is novel in its methodological approach of combining structured interviews and text mining that found the topics of the interviewees' tweets aligned with their interview responses.</t>
  </si>
  <si>
    <t>[Cripps, Helen; Singh, Abhay] Edith Cowan Univ, Joondalup Campus, Joondalup, Australia; [Singh, Abhay] Macquarie Univ, Sydney, NSW, Australia; [Mejtoft, Thomas] Umea Univ, Umea, Sweden; [Salo, Jari] Univ Helsinki, Fac Agr &amp; Forestry, Helsinki, Finland</t>
  </si>
  <si>
    <t>Edith Cowan University; Macquarie University; Umea University; University of Helsinki</t>
  </si>
  <si>
    <t>Cripps, H (corresponding author), Edith Cowan Univ, Joondalup Campus, Joondalup, Australia.</t>
  </si>
  <si>
    <t>h.cripps@ecu.edu.au</t>
  </si>
  <si>
    <t>Singh, Abhay/AAG-9813-2021; Salo, Jari/N-5876-2014</t>
  </si>
  <si>
    <t>Salo, Jari/0000-0002-4661-2307; Singh, Abhay/0000-0002-3783-6325</t>
  </si>
  <si>
    <t>AUG 3</t>
  </si>
  <si>
    <t>10.1108/MIP-06-2019-0349</t>
  </si>
  <si>
    <t>ME6CH</t>
  </si>
  <si>
    <t>WOS:000523033300001</t>
  </si>
  <si>
    <t>Han, SM; Reinartz, W; Skiera, B</t>
  </si>
  <si>
    <t>Han, Simeng; Reinartz, Werner; Skiera, Bernd</t>
  </si>
  <si>
    <t>Capturing Retailers' Brand and Customer Focus</t>
  </si>
  <si>
    <t>Brand focus; Customer focus; Text analysis; Earnings call; Content analysis</t>
  </si>
  <si>
    <t>CONFERENCE CALLS; EQUITY; ANALYSTS; IMPACT; FIRMS; DETERMINANTS; DISCLOSURE</t>
  </si>
  <si>
    <t>This article uses information from two data sources, Compustat and Nexis Uni, and textual analysis to measure and validate the brand focus and customer focus of 109 U.S. listed retailers. The results from an analysis of their 853 earnings calls in 2010 and 2018 outline that on average, both foci increased over time. Although both foci vary substantially, brand focus varies more widely across retailers than their customer focus. Both foci are independent of each other. Specialty retailers have the highest brand focus, and internet &amp; direct marketing retailers have the highest customer focus. A positive correlation exists between a retailer's customer focus and its profitability, but not between a retailer's brand focus and its profitability. The authors use the results to generate a research agenda that can direct future research in further systematically exploring firms' brand and customer focus. (c) 2021 The Author(s). Published by Elsevier Inc. on behalf of New York University. This is an open access article under the CC BY license (http:// creativecommons.org/licenses/by/4.0/).</t>
  </si>
  <si>
    <t>[Han, Simeng; Skiera, Bernd] Goethe Univ Frankfurt Main, Fac Business &amp; Econ, Dept Mkt, Theodor W Adorno Pl 4, D-60629 Frankfurt, Germany; [Reinartz, Werner] Univ Cologne, Dept Retailing &amp; Customer Management, Albertus Magnus Pl 1, D-50931 Cologne, Germany</t>
  </si>
  <si>
    <t>Goethe University Frankfurt; University of Cologne</t>
  </si>
  <si>
    <t>Reinartz, W (corresponding author), Univ Cologne, Dept Retailing &amp; Customer Management, Albertus Magnus Pl 1, D-50931 Cologne, Germany.</t>
  </si>
  <si>
    <t>han@wiwi.uni-frankfurt.de; werner.reinartz@uni-koeln.de; skiera@wiwi.uni-frankfurt.de</t>
  </si>
  <si>
    <t>; Skiera, Bernd/B-6978-2013</t>
  </si>
  <si>
    <t>Reinartz, Werner/0000-0002-2440-3117; Skiera, Bernd/0000-0001-9285-2013</t>
  </si>
  <si>
    <t>10.1016/j.jretai.2021.01.001</t>
  </si>
  <si>
    <t>XS5KA</t>
  </si>
  <si>
    <t>WOS:000732946500006</t>
  </si>
  <si>
    <t>Gunasekar, S; Kumar, DS; Purani, K; Sudhakar, S; Dixit, SK; Menon, D</t>
  </si>
  <si>
    <t>Gunasekar, Sangeetha; Kumar, Deepak S.; Purani, Keyoor; Sudhakar, Sooriya; Dixit, Saurabh Kumar; Menon, Dileep</t>
  </si>
  <si>
    <t>Understanding service quality attributes that drive user ratings: A text mining approach</t>
  </si>
  <si>
    <t>Hard and soft attributes; hotel ratings; online reviews; SERVQUAL; text mining</t>
  </si>
  <si>
    <t>ONLINE REVIEWS; CUSTOMER SATISFACTION; GENERATED CONTENT; CONSUMER PERCEPTIONS; HOTEL RATINGS; BIG DATA; TOURISM; HOSPITALITY; MODEL; SENTIMENT</t>
  </si>
  <si>
    <t>Studies based on online textual data are increasingly used in the hospitality sector to gain better consumer insights. Using text mining of TripAdvisor reviews and mapping it to hard and soft attributes of SERVQUAL dimensions, this research attempts to identify service quality characteristics that influence the customers' online ratings of hotels. The moderating effects of the reviewer characteristics, namely (a) domestic vs foreign (b) novice vs experienced, (c) less vs more popular and (d) brief vs elaborate writing, on the relationship between quality attributes and online hotel ratings are also analyzed. The results imply that reviewers emphasize hard attributes of service quality in general, such as tangibles, reliability, and responsiveness, while providing online ratings to hotels. Furthermore, reviewer characteristics also influence the attributes emphasized in reviews and the resultant ratings. Finally, along with the theoretical contributions, managerial contributions, such as the usefulness of service planning outcomes, are discussed.</t>
  </si>
  <si>
    <t>[Gunasekar, Sangeetha] Amrita Vishwa Vidyapeetham, Amrita Sch Business, Coimbatore, Tamil Nadu, India; [Kumar, Deepak S.; Purani, Keyoor] Indian Inst Management, Kozhikode, India; [Sudhakar, Sooriya; Menon, Dileep] Amrita Vishwa Vidyapeetham, Coimbatore, Tamil Nadu, India; [Dixit, Saurabh Kumar] North Eastern Hill Univ, Shillong, Meghalaya, India; [Menon, Dileep] Narsee Monjee Inst Management Studies, Bengaluru, India</t>
  </si>
  <si>
    <t>Amrita Vishwa Vidyapeetham; Amrita Vishwa Vidyapeetham Coimbatore; Indian Institute of Management (IIM System); Indian Institute of Management Kozhikode; Amrita Vishwa Vidyapeetham; Amrita Vishwa Vidyapeetham Coimbatore; North Eastern Hill University; SVKM's NMIMS (Deemed to be University)</t>
  </si>
  <si>
    <t>Dixit, SK (corresponding author), North Eastern Hill Univ, Dept Tourism &amp; Hotel Management, Shillong 793022, Meghalaya, India.</t>
  </si>
  <si>
    <t>saurabh5sk@yahoo.com</t>
  </si>
  <si>
    <t>Dixit, Saurabh Kumar/F-7856-2015</t>
  </si>
  <si>
    <t>Dixit, Saurabh Kumar/0000-0002-9478-084X</t>
  </si>
  <si>
    <t>10.1177/13567667211003246</t>
  </si>
  <si>
    <t>UQ3CC</t>
  </si>
  <si>
    <t>WOS:000638759000001</t>
  </si>
  <si>
    <t>Tobback, E; Naudts, H; Daelemans, W; de Fortuny, EJ; Martens, D</t>
  </si>
  <si>
    <t>Tobback, Ellen; Naudts, Hans; Daelemans, Walter; de Fortuny, Enric Junque; Martens, David</t>
  </si>
  <si>
    <t>Belgian economic policy uncertainty index: Improvement through text mining</t>
  </si>
  <si>
    <t>INTERNATIONAL JOURNAL OF FORECASTING</t>
  </si>
  <si>
    <t>Economic policy; Uncertainty; Text mining; Forecasting</t>
  </si>
  <si>
    <t>Recently, the literature has measured economic policy uncertainty using news references, resulting in the frequently-mentioned 'Economic Policy Uncertainty index' (EPU). In the original setup, a news article is assumed to address policy uncertainty if it contains certain predefined keywords. We argue that the original setup is prone to measurement error, and propose an alternative methodology using text mining techniques. We compare the original method to modality annotation and support vector machines (SVM) classification in order to create an EPU index for Belgium. Validation on an out-of-sample test set speaks in favour of using an SVM classification model for constructing a news-based policy uncertainty indicator. The indicators are then used to forecast 10 macroeconomic and financial variables. The original method of measuring EPU does not have predictive power for any of these 10 variables. The SVM indicator has a higher predictive power and, notably, changes in the level of policy uncertainty during tumultuous periods of high uncertainty and risk can predict changes in the sovereign bond yield and spread, the credit default swap spread, and consumer confidence. (C) 2016 International Institute of Forecasters. Published by Elsevier B.V. All rights reserved.</t>
  </si>
  <si>
    <t>[Tobback, Ellen; Martens, David] Univ Antwerp, Dept Engn Management, Antwerp, Belgium; [Naudts, Hans] European Commiss, DG Econ &amp; Finance, Brussels, Belgium; [Daelemans, Walter] Univ Antwerp, Dept Linguist, Antwerp, Belgium; [de Fortuny, Enric Junque] Rotterdam Sch Management, Dept Mkt Management, Rotterdam, Netherlands</t>
  </si>
  <si>
    <t>University of Antwerp; University of Antwerp; Erasmus University Rotterdam</t>
  </si>
  <si>
    <t>Tobback, E (corresponding author), Univ Antwerp, Dept Engn Management, Antwerp, Belgium.</t>
  </si>
  <si>
    <t>ellen.tobback@uantwerp.be</t>
  </si>
  <si>
    <t>Daelemans, Walter/N-5785-2014</t>
  </si>
  <si>
    <t>Daelemans, Walter/0000-0002-9832-7890</t>
  </si>
  <si>
    <t>Flemish Research Council (FWO); National Bank of Belgium</t>
  </si>
  <si>
    <t>Flemish Research Council (FWO)(FWO); National Bank of Belgium</t>
  </si>
  <si>
    <t>We thank Michael Schoenmaekers for labelling the test set. Ellen Tobback thanks the Flemish Research Council (FWO) for financial support. We also thank the National Bank of Belgium for their financial support that enabled us to create a web page containing an up-to-date, publicly available version of our EPU index. The views expressed are the authors' alone and do not necessarily correspond to those of the European Central Bank or the European Commission.</t>
  </si>
  <si>
    <t>0169-2070</t>
  </si>
  <si>
    <t>1872-8200</t>
  </si>
  <si>
    <t>INT J FORECASTING</t>
  </si>
  <si>
    <t>Int. J. Forecast.</t>
  </si>
  <si>
    <t>10.1016/j.ijforecast.2016.08.006</t>
  </si>
  <si>
    <t>GC1BV</t>
  </si>
  <si>
    <t>WOS:000429512500015</t>
  </si>
  <si>
    <t>Stevenson, M; Mues, C; Bravo, C</t>
  </si>
  <si>
    <t>Stevenson, Matthew; Mues, Christophe; Bravo, Cristian</t>
  </si>
  <si>
    <t>The value of text for small business default prediction: A Deep Learning approach</t>
  </si>
  <si>
    <t>OR in banking; Risk analysis; Deep Learning; Text mining; Small business lending</t>
  </si>
  <si>
    <t>SOFT INFORMATION; ANALYTICS; FINANCE; MODELS; NEWS</t>
  </si>
  <si>
    <t>Compared to consumer lending, Micro, Small and Medium Enterprise (mSME) credit risk modelling is particularly challenging, as, often, the same sources of information are not available. Therefore, it is standard policy for a loan officer to provide a textual loan assessment to mitigate limited data availability. In turn, this statement is analysed by a credit expert alongside any available standard credit data. In our paper, we exploit recent advances from the field of Deep Learning and Natural Language Processing (NLP), including the BERT (Bidirectional Encoder Representations from Transformers) model, to extract information from 60,000 textual assessments provided by a lender. We consider the performance in terms of the AUC (Area Under the receiver operating characteristic Curve) and Brier Score metrics and find that the text alone is surprisingly effective for predicting default. However, when combined with traditional data, it yields no additional predictive capability, with performance dependent on the text's length. Our proposed Deep Learning model does, however, appear to be robust to the quality of the text and therefore suitable for partly automating the mSME lending process. We also demonstrate how the content of loan assessments influences performance, leading us to a series of recommendations on a new strategy for collecting future mSME loan assessments. (c) 2021 Elsevier B.V. All rights reserved.</t>
  </si>
  <si>
    <t>[Stevenson, Matthew; Mues, Christophe] Univ Southampton, Southampton Business Sch, Dept Decis Analyt &amp; Risk, Univ Rd, Southampton SO17 1BJ, Hants, England; [Stevenson, Matthew; Mues, Christophe] Univ Southampton, Ctr Operat Res Management Sci &amp; Informat Syst COR, Univ Rd, Southampton SO17 1BJ, Hants, England; [Bravo, Cristian] Univ Western Ontario, Dept Stat &amp; Actuarial Sci, 1151 Richmond St, London, ON N6A 3K7, Canada</t>
  </si>
  <si>
    <t>Solent University; University of Southampton; University of Southampton; Western University (University of Western Ontario)</t>
  </si>
  <si>
    <t>Stevenson, M (corresponding author), Univ Southampton, Southampton Business Sch, Dept Decis Analyt &amp; Risk, Univ Rd, Southampton SO17 1BJ, Hants, England.</t>
  </si>
  <si>
    <t>mps2e15@soton.ac.uk</t>
  </si>
  <si>
    <t>Bravo, Cristian/K-1919-2012; Mues, Christophe/HLH-7473-2023</t>
  </si>
  <si>
    <t>Bravo, Cristian/0000-0003-1579-1565; Mues, Christophe/0000-0002-6289-5490; Stevenson, Matthew/0000-0001-6232-0745</t>
  </si>
  <si>
    <t>Economic and Social Research Council [ES/P000673/1]; Natural Sciences and Engineering Research Council of Canada (NSERC) [RGPIN202007114]; Canada Research Chairs program</t>
  </si>
  <si>
    <t>Economic and Social Research Council(UK Research &amp; Innovation (UKRI)Economic &amp; Social Research Council (ESRC)); Natural Sciences and Engineering Research Council of Canada (NSERC)(Natural Sciences and Engineering Research Council of Canada (NSERC)); Canada Research Chairs program(Canada Research Chairs)</t>
  </si>
  <si>
    <t>This work was supported by the Economic and Social Research Council [grant number ES/P000673/1] . The last author acknowledges the support of the Natural Sciences and Engineering Research Council of Canada (NSERC) [Discovery Grant RGPIN202007114] . This research was undertaken, in part, thanks to funding from the Canada Research Chairs program. The authors acknowledge the use of the IRIDIS High Performance Computing Facility, and associated support services at the University of Southampton, in the completion of this work.</t>
  </si>
  <si>
    <t>1872-6860</t>
  </si>
  <si>
    <t>10.1016/j.ejor.2021.03.008</t>
  </si>
  <si>
    <t>TC9AQ</t>
  </si>
  <si>
    <t>WOS:000668929800024</t>
  </si>
  <si>
    <t>Pramanik, P; Jana, RK</t>
  </si>
  <si>
    <t>Pramanik, Paritosh; Jana, Rabin K.</t>
  </si>
  <si>
    <t>Identifying research trends of machine learning in business: a topic modeling approach</t>
  </si>
  <si>
    <t>MEASURING BUSINESS EXCELLENCE</t>
  </si>
  <si>
    <t>Machine learning; Latent Dirichlet allocation; Machine learning adoption in business; Topic modeling</t>
  </si>
  <si>
    <t>BIG DATA; DATA ANALYTICS; DIGITALIZATION; MANAGEMENT; STRATEGY; FINANCE; METHODOLOGY; CHALLENGES; PREDICTION; INNOVATION</t>
  </si>
  <si>
    <t>Purpose This paper aims to discuss the suitability of topic modeling as a review method, identifies and compares the machine learning (ML) research trends in five primary business organization verticals. Design/methodology/approach This study presents a review framework of published research about adopting ML techniques in a business organization context. It identifies research trends and issues using topic modeling through the Latent Dirichlet allocation technique in conjunction with other text analysis techniques in five primary business verticals - human resources (HR), marketing, operations, strategy and finance. Findings The results identify that the ML adoption is maximum in the marketing domain and minimum in the HR domain. The operations domain witnesses the application of ML to the maximum number of distinct research areas. The results also help to identify the potential areas of ML applications in future. Originality/value This paper contributes to the existing literature by finding trends of ML applications in the business domain through the review of published research. Although there is a growth of research publications in ML in the business domain, literature review papers are scarce. Therefore, the endeavor of this study is to do a thorough review of the current status of ML applications in business by analyzing research articles published in the past ten years in various journals.</t>
  </si>
  <si>
    <t>[Pramanik, Paritosh; Jana, Rabin K.] Indian Inst Management Raipur, Operat &amp; Quantitat Methods Area, Raipur, Madhya Pradesh, India</t>
  </si>
  <si>
    <t>Indian Institute of Management (IIM System); Indian Institute of Management Raipur</t>
  </si>
  <si>
    <t>Pramanik, P (corresponding author), Indian Inst Management Raipur, Operat &amp; Quantitat Methods Area, Raipur, Madhya Pradesh, India.</t>
  </si>
  <si>
    <t>19efpm002@iimraipur.ac.in</t>
  </si>
  <si>
    <t>Jana, R. K./J-9768-2016</t>
  </si>
  <si>
    <t>Jana, R. K./0000-0001-8564-112X</t>
  </si>
  <si>
    <t>1368-3047</t>
  </si>
  <si>
    <t>1758-8057</t>
  </si>
  <si>
    <t>MEAS BUS EXCELL</t>
  </si>
  <si>
    <t>Meas. Bus. Excell.</t>
  </si>
  <si>
    <t>10.1108/MBE-07-2021-0094</t>
  </si>
  <si>
    <t>ZK0GJ</t>
  </si>
  <si>
    <t>WOS:000762675600001</t>
  </si>
  <si>
    <t>Isla, A</t>
  </si>
  <si>
    <t>Lalanne, M; Cochoy, F</t>
  </si>
  <si>
    <t>Isla, Anne</t>
  </si>
  <si>
    <t>Label the traceability in the wine sector: answer the simultaneous requirements of the regulator, the producer and the amateur of wine</t>
  </si>
  <si>
    <t>MONTRER LE MARCHE: AFFICHER, EMBALLER, ETIQUETER</t>
  </si>
  <si>
    <t>Sciences de la Societe</t>
  </si>
  <si>
    <t>French</t>
  </si>
  <si>
    <t>labeling; traceability; construction of wine's market; institutional framework</t>
  </si>
  <si>
    <t>While the wine sector is in the midst of significant transformations, there are new needs in terms of traceability and labeling. In that context, the Geowine geotraceability system offers the consumers the choice among a set of information going from the grape to the bottle through the producer, the climatic and geological conditions of the vineyard, the assembly, etc. That new labeling procedure must take into account the evolution of the institutional framework. Starting from the hypothesis that a rule is a framework for actions but also, at the same time, their result; and that it evolves depending on the representations, the interpretations and its implementations, we have listed the different relevant European and French texts. We used the Alceste textual analysis software as a tool in helping us identifying the meanings given to the institutional framework by all the different actors involved. Thus we were able to notably underline the French particularities, the stakes of CAP standardization and the consequences of the brands-labels debate that is still going on at the global level.</t>
  </si>
  <si>
    <t>Univ Toulouse 1 Capitole, LEREPS, Toulouse, France</t>
  </si>
  <si>
    <t>Universite de Toulouse; Universite Toulouse 1 Capitole; Universite Toulouse III - Paul Sabatier; Universite Federale Toulouse Midi-Pyrenees (ComUE); Institut d'Etudes Politiques Toulouse (SciencePo Toulouse)</t>
  </si>
  <si>
    <t>Isla, A (corresponding author), Univ Toulouse 1 Capitole, LEREPS, Toulouse, France.</t>
  </si>
  <si>
    <t>anne.isla@univ-tlse1.fr</t>
  </si>
  <si>
    <t>PRESSES UNIV MIRAIL</t>
  </si>
  <si>
    <t>TOULOUSE</t>
  </si>
  <si>
    <t>UNIV TOULOUSE MIRAIL, 5 ALLEES ANTONIO MACHADO, 31058 TOULOUSE, FRANCE</t>
  </si>
  <si>
    <t>1168-1446</t>
  </si>
  <si>
    <t>978-2-8107-0154-4</t>
  </si>
  <si>
    <t>SCI SOC-FRANCE</t>
  </si>
  <si>
    <t>BWM59</t>
  </si>
  <si>
    <t>WOS:000294236100006</t>
  </si>
  <si>
    <t>Guerreiro, J; Rita, P</t>
  </si>
  <si>
    <t>Guerreiro, Joao; Rita, Paulo</t>
  </si>
  <si>
    <t>How to predict explicit recommendations in online reviews using text mining and sentiment analysis</t>
  </si>
  <si>
    <t>JOURNAL OF HOSPITALITY AND TOURISM MANAGEMENT</t>
  </si>
  <si>
    <t>eWOM; Online recommendations; Text mining; CART</t>
  </si>
  <si>
    <t>EXPERIENCE; ALGORITHMS; ANALYTICS; MEDIA</t>
  </si>
  <si>
    <t>Opinions shared by peer travelers help tourists decrease the risks of making a poor decision. However, the increasing number of reviews per experience makes it difficult to read all reviews for an informed decision. Therefore, reviewers who make a personal and explicit recommendation of the services by using expressions such as I highly recommend or don't recommend may help consumers in their decision-making process. Such reviews suggest that the reviewer was satisfied to a point that (s)he would advise others to try or was unsatisfied and will for sure avoid coming back. The current research note explores what may drive reviewers to make direct endorsements in text. A text mining method was applied to online reviews to identify drivers of explicit recommendations. Lack of competences from the provider and negative attitudes are triggers of negative direct recommendations, whereas positive feelings predict a positive recommendation in the body of the review.</t>
  </si>
  <si>
    <t>[Guerreiro, Joao] Inst Univ Lisboa ISCTE IUL, Business Res Unit BRU IUL, Lisbon, Portugal; [Guerreiro, Joao] Inst Univ Lisboa ISCTE IUL, ISTAR IUL, Lisbon, Portugal; [Rita, Paulo] Univ Nova Lisboa, NOVA Informat Management Sch NOVA IMS, Lisbon, Portugal; [Guerreiro, Joao] Av Forcas Armadas, P-1649026 Lisbon, Portugal</t>
  </si>
  <si>
    <t>Instituto Universitario de Lisboa; Instituto Universitario de Lisboa; Universidade Nova de Lisboa</t>
  </si>
  <si>
    <t>Guerreiro, J (corresponding author), Inst Univ Lisboa ISCTE IUL, Business Res Unit BRU IUL, Lisbon, Portugal.</t>
  </si>
  <si>
    <t>joao.guerreiro@iscte-iul.pt; prita@novaims.unl.pt</t>
  </si>
  <si>
    <t>1447-6770</t>
  </si>
  <si>
    <t>1839-5260</t>
  </si>
  <si>
    <t>J HOSP TOUR MANAG</t>
  </si>
  <si>
    <t>J. Hosp. Tour. Manag.</t>
  </si>
  <si>
    <t>10.1016/j.jhtm.2019.07.001</t>
  </si>
  <si>
    <t>LS7TC</t>
  </si>
  <si>
    <t>WOS:000536583000028</t>
  </si>
  <si>
    <t>Rocklage, MD; Rucker, DD</t>
  </si>
  <si>
    <t>Kardes, FR; Herr, PM; Schwarz, N</t>
  </si>
  <si>
    <t>Rocklage, Matthew D.; Rucker, Derek D.</t>
  </si>
  <si>
    <t>TEXT ANALYSIS IN CONSUMER RESEARCH An Overview and Tutorial</t>
  </si>
  <si>
    <t>HANDBOOK OF RESEARCH METHODS IN CONSUMER PSYCHOLOGY</t>
  </si>
  <si>
    <t>REPRESENTATION; CONCRETENESS; COGNITION; DISTANCE; VALENCE</t>
  </si>
  <si>
    <t>Language saturates the marketplace. We use it to convey meaning and to spread information about products, services, and brands. Marketers use it to position and sell their products, and consumers use it to assess and evaluate them. Although language has long been a part of the lives of consumers, the recent emergence of behavioral traces left online has ushered forth a big data revolution, with incredible opportunities for researchers. Amazon, TripAdvisor, and Yelp alone are repositories for over half a billion reviews, and people send more than 500 million tweets on Twitter per day (Krikorian, 2013). Researchers have taken note. Consumer behavior research now routinely makes use of data that range from hundreds to millions of pieces of text. For example, researchers have used language to understand what is shared and spreads (Berger &amp; Milkman, 2012), what makes for an impactful online review (Moore, 2015), how people attempt to persuade one another (Rocklage, Rucker, &amp; Nordgren, 2018a), and even common themes present across consumer behavior research itself (Wang, Bendle, Mai, &amp; Cotte, 2015). However, these opportunities also bring challenges. How do researchers quantify language in a sensible manner? How are these measures to be validated? Is one approach to linguistic analysis just as good as any other? When should researchers use one technique versus another? Indeed, despite the rapid growth of work utilizing language in the last 10 years, few resources exist to guide researchers on how to integrate language into their projects (but see Humphreys and Wang, 2018, for a recent discussion of automated text analysis). In this chapter, we offer an overview of key methods used to quantify language and their ability to offer insights into consumer behavior. Specifically, we overview three major approaches to text analysis: Manual coding, top-down dictionary-based approaches, and bottom-up data-driven approaches. We explain the basic logic behind each approach and its subdivisions, provide an introductory how-to for each approach, and conclude with a discussion of each approach's pros and cons. Table 21.1 provides a brief summary of the approaches explored in this chapter.</t>
  </si>
  <si>
    <t>[Rocklage, Matthew D.] Northeastern Univ, DAmore McKim Sch Business, Mkt, Boston, MA 02115 USA; [Rucker, Derek D.] Northwestern Univ, Entrepreneurial Studies Mkt Kellogg, Evanston, IL 60208 USA</t>
  </si>
  <si>
    <t>Northeastern University; Northwestern University</t>
  </si>
  <si>
    <t>Rocklage, MD (corresponding author), Northeastern Univ, DAmore McKim Sch Business, Mkt, Boston, MA 02115 USA.</t>
  </si>
  <si>
    <t>ROUTLEDGE</t>
  </si>
  <si>
    <t>2 PARK SQ, MILTON PARK, ABINGDON OX14 4RN, OXFORD, ENGLAND</t>
  </si>
  <si>
    <t>978-0-8153-5298-3; 978-1-351-13771-3; 978-0-8153-5293-8</t>
  </si>
  <si>
    <t>Business; Psychology, Multidisciplinary</t>
  </si>
  <si>
    <t>BO2YJ</t>
  </si>
  <si>
    <t>WOS:000509553400022</t>
  </si>
  <si>
    <t>Dahlke, J; Bogner, K; Becker, M; Schlaile, MP; Pyka, A; Ebersberger, B</t>
  </si>
  <si>
    <t>Dahlke, Johannes; Bogner, Kristina; Becker, Maike; Schlaile, Michael P.; Pyka, Andreas; Ebersberger, Bernd</t>
  </si>
  <si>
    <t>Crisis-driven innovation and fundamental human needs: A typological framework of rapid-response COVID-19 innovations</t>
  </si>
  <si>
    <t>COVID-19; Human needs; Innovation systems; Topic modeling; Content analysis</t>
  </si>
  <si>
    <t>SYSTEMS; FIRMS; UK</t>
  </si>
  <si>
    <t>As a microcosm for future challenges, the COVID-19 pandemic exhibits increasingly transboundary dynamics, causing interconnected problems across multiple societal systems. To examine the role of innovations as a social mechanism to reconcile these arising challenges, we view the unfolding of the pandemic through the lens of a content analysis of 707 innovation projects that address the fundamental human needs of consumers and businesses. This study proposes a novel procedure to characterize large-scale innovative activities via text mining and employs a theoretical framework for identifying the pressing societal needs amidst crises. Our typology of rapid-response COVID-19 innovations exhibits a diverse set of domains ranging from technological innovations to what may be described as frugal and social innovations. We provide evidence for the growing prevalence of social needs beyond the basic notion of safety during the early months of the crisis. Our contributions show that a structural model of innovation activities and their latent drivers may help policy makers and innovators to move toward achieving a systemic reaction to such crises.</t>
  </si>
  <si>
    <t>[Dahlke, Johannes; Bogner, Kristina; Becker, Maike; Ebersberger, Bernd] Univ Hohenheim, Dept Innovat Management 570F, Schloss Hohenheim 1, D-70599 Stuttgart, Germany; [Schlaile, Michael P.; Pyka, Andreas] Univ Hohenheim, Dept Innovat Econ 520I, Schloss Hohenheim 1, D-70599 Stuttgart, Germany</t>
  </si>
  <si>
    <t>University Hohenheim; University Hohenheim</t>
  </si>
  <si>
    <t>Dahlke, J (corresponding author), Univ Hohenheim, Dept Innovat Management 570F, Schloss Hohenheim 1, D-70599 Stuttgart, Germany.</t>
  </si>
  <si>
    <t>johannes.dahlke@uni-hohenheim.de; kristina.bogner@uni-hohenheim.de; maike.becker@uni-hohenheim.de; schlaile@uni-hohenheim.de; a.pyka@uni-hohenheim.de; ebersberger@uni-hohenheim.de</t>
  </si>
  <si>
    <t>Schlaile, Michael P./Q-8095-2019; Bogner, Kristina/GWV-5586-2022</t>
  </si>
  <si>
    <t>Schlaile, Michael P./0000-0002-9269-0306; Bogner, Kristina/0000-0002-1871-9828; Ebersberger, Bernd/0000-0002-2279-4003; Dahlke, Johannes/0000-0002-9268-3632</t>
  </si>
  <si>
    <t>Heinrich-Boll-Foundation [P143003]</t>
  </si>
  <si>
    <t>Heinrich-Boll-Foundation</t>
  </si>
  <si>
    <t>In his work for this article, Johannes Dahlke was supported by the Heinrich-Boll-Foundation [grant number P143003].</t>
  </si>
  <si>
    <t>10.1016/j.techfore.2021.120799</t>
  </si>
  <si>
    <t>TE9WV</t>
  </si>
  <si>
    <t>WOS:000670360200008</t>
  </si>
  <si>
    <t>Petrescu, M; Ajjan, H; Harrison, DL</t>
  </si>
  <si>
    <t>Petrescu, Maria; Ajjan, Haya; Harrison, Dana L.</t>
  </si>
  <si>
    <t>Man vs machine - Detecting deception in online reviews</t>
  </si>
  <si>
    <t>INFORMATION MANIPULATION; SELF-PRESENTATION; FAKE REVIEWS; ASSISTING CONSUMERS; TEXT ANALYSIS; PERCEPTIONS; CONSTITUTES; BUSINESS; WORDS</t>
  </si>
  <si>
    <t>This study focused on three main research objectives: analyzing the methods used to identify deceptive online consumer reviews, evaluating insights provided by multi-method automated approaches based on individual and aggregated review data, and formulating a review interpretation framework for identifying deception. The theoretical framework is based on two critical deception-related models, information manipulation theory and self-presentation theory. The findings confirm the interchangeable characteristics of the various automated text analysis methods in drawing insights about review characteristics and underline their significant complementary aspects. An integrative multi-method model that approaches the data at the individual and aggregate level provides more complex insights regarding the quantity and quality of review information, sentiment, cues about its relevance and contextual information, perceptual aspects, and cognitive material.</t>
  </si>
  <si>
    <t>[Petrescu, Maria] Embry Riddle Aeronaut Univ, Daytona Beach, FL 32114 USA; [Ajjan, Haya] Elon Univ, Elon, NC USA; [Harrison, Dana L.] East Tennessee State Univ, Johnson City, TN USA</t>
  </si>
  <si>
    <t>Embry-Riddle Aeronautical University; Elon University; East Tennessee State University</t>
  </si>
  <si>
    <t>Petrescu, M (corresponding author), Embry Riddle Aeronaut Univ, Daytona Beach, FL 32114 USA.</t>
  </si>
  <si>
    <t>petrescm@erau.edu; hajjan@elon.edu; harrisondl@etsu.edu</t>
  </si>
  <si>
    <t>10.1016/j.jbusres.2022.113346</t>
  </si>
  <si>
    <t>7T0TX</t>
  </si>
  <si>
    <t>WOS:000911162300005</t>
  </si>
  <si>
    <t>Jiang, SY; Pu, RH</t>
  </si>
  <si>
    <t>Jiang, Songyu; Pu, Ruihui</t>
  </si>
  <si>
    <t>RECONCEPTUALIZING AND MODELING SUSTAINABLE CONSUMPTION BEHAVIOR: A SYNTHESIS OF QUALITATIVE EVIDENCE FROM ONLINE EDUCATION INDUSTRY</t>
  </si>
  <si>
    <t>INNOVATIVE MARKETING</t>
  </si>
  <si>
    <t>SCBOEI; Chongqing; identify; value; consumer; environmental education</t>
  </si>
  <si>
    <t>CONSUMER-BEHAVIOR; KNOWLEDGE; ATTITUDES; IDENTITY; ECONOMY; PRODUCTS; GENDER; NORMS</t>
  </si>
  <si>
    <t>In recent years, the concept of sustainable consumption behavior (SCB) is largely introduced and changed continuously to be discussed with industries such as energy sector, agriculture, transportation, sharing economy, and tourism. However, the study of sustainable consumption behavior in the online education industry (SCBOEI) remains a research gap. Thus, this paper aims to identify the significance of sustainable consumption behavior and theoretically conceptualize SCBOEI. This study employs content and text analysis to reconceptualize the major theories that contribute to the research of SCB. The findings in this study show that SCBOEI is contributed of great significance to promote sustainable development. In addition, this study introduces a model of SCBOEI, in which the consumer value theory, social exchange theory, and planned behavior theory are integrated. Additionally, this paper suggests that value, environmental attitude, identity, consumer engagement, and contextual factors (government behavior, market conditions, and environmental education) are highly important to extend the research on SCBOEI. In conclusion, this study strongly recommends that SCB research shall be directed to the online education industry. Furthermore, future studies shall emphasize the empirical effects of psychological factors, activity factors, and contextual factors for SCBOEI to find the correlation.</t>
  </si>
  <si>
    <t>[Jiang, Songyu] Rajamangala Univ Technol Rattanakosin, Rattanakosin Int Coll Creat Entrepreneurship, Salaya, Thailand; [Pu, Ruihui] Srinakharinwirot Univ, Fac Econ, Bangkok, Thailand</t>
  </si>
  <si>
    <t>Rajamangala University of Technology Rattanakosin; Srinakharinwirot University</t>
  </si>
  <si>
    <t>Pu, RH (corresponding author), Srinakharinwirot Univ, Fac Econ, Bangkok, Thailand.</t>
  </si>
  <si>
    <t>Pu, Ruihui/0000-0002-8523-242X</t>
  </si>
  <si>
    <t>LLC CPC BUSINESS PERSPECTIVES</t>
  </si>
  <si>
    <t>SUMY</t>
  </si>
  <si>
    <t>HRYHORII SKOVORODA LN, 10, SUMY, 40022, UKRAINE</t>
  </si>
  <si>
    <t>1814-2427</t>
  </si>
  <si>
    <t>1816-6326</t>
  </si>
  <si>
    <t>INNOV MARKET</t>
  </si>
  <si>
    <t>Innovation Marketing</t>
  </si>
  <si>
    <t>10.21511/im.17(3).2021.12</t>
  </si>
  <si>
    <t>4U1QQ</t>
  </si>
  <si>
    <t>WOS:000858577600012</t>
  </si>
  <si>
    <t>Ramjaun, TA</t>
  </si>
  <si>
    <t>Topic, M; Lodorfos, G</t>
  </si>
  <si>
    <t>Ramjaun, Tauheed A.</t>
  </si>
  <si>
    <t>EXPLORING THE #ZEROWASTE LIFESTYLE TREND ON INSTAGRAM</t>
  </si>
  <si>
    <t>SUSTAINABILITY DEBATE: Policies, Gender and the Media</t>
  </si>
  <si>
    <t>Critical Studies on Corporate Responsibility Governance and Sustainability</t>
  </si>
  <si>
    <t>Zero Waste; sustainable consumer behaviour; consumer activism; Instagram; anti-consumption; consumer resistance</t>
  </si>
  <si>
    <t>SUSTAINABLE CONSUMPTION; CONSUMER-BEHAVIOR; GREEN CONSUMPTION; DETERMINANTS; INFLUENCERS; LANGUAGE; STORIES; CULTURE; CONTEXT; WRITTEN</t>
  </si>
  <si>
    <t>Purpose: This study explores the Zero Waste lifestyle trend through the lens of user-generated content posted on Instagram. The aim is to investigate consumer-driven activities and shared beliefs associated with the Zero Waste lifestyle movement from a consumer culture perspective. Method: Data were collected from 313 public posts associated with the #zerowaste hashtag from 313 individual users on Instagram. A textual analysis of user biographies and a thematic analysis of both visual and textual posts were carried out. Findings: Findings suggest a female-led consumer lifestyle movement that seems to believe in the power of community to cause an environmentally significant impact. Zero Waste seems to be regarded as a long-term goal rather than an immediate radical action by members of the social media community. This study also identifies an emergence of Zero Waste productlbrand influencers which could be categorised as follows: (1) Product promoters, (2) Product critics, (3) Sponsored brand promoters and (4) Non-sponsored brand admirers. Originality/Value of Paper: This study provides a richer understanding of the Zero Waste lifestyle phenomenon which has grown in popularity through social media during recent years. Besides, findings allow for a better understanding of the role of consumer activists and social media influencers in promoting the Zero Waste lifestyle within online communities.</t>
  </si>
  <si>
    <t>[Ramjaun, Tauheed A.] Bournemouth Univ, Corp &amp; Brand Commun, Fac Media &amp; Commun, Bournemouth, Dorset, England</t>
  </si>
  <si>
    <t>Bournemouth University</t>
  </si>
  <si>
    <t>Ramjaun, TA (corresponding author), Bournemouth Univ, Corp &amp; Brand Commun, Fac Media &amp; Commun, Bournemouth, Dorset, England.</t>
  </si>
  <si>
    <t>2043-9059</t>
  </si>
  <si>
    <t>978-1-80043-778-4; 978-1-80043-779-1</t>
  </si>
  <si>
    <t>CRIT STUD CORP RESPO</t>
  </si>
  <si>
    <t>10.1108/S2043-905920210000015012</t>
  </si>
  <si>
    <t>Environmental Studies; Management; Women's Studies</t>
  </si>
  <si>
    <t>Environmental Sciences &amp; Ecology; Business &amp; Economics; Women's Studies</t>
  </si>
  <si>
    <t>BU0SL</t>
  </si>
  <si>
    <t>WOS:000871662100012</t>
  </si>
  <si>
    <t>Chatterjee, S; Ghatak, A; Nikte, R; Gupta, S; Kumar, A</t>
  </si>
  <si>
    <t>Chatterjee, Swagato; Ghatak, Arpita; Nikte, Ratnadeep; Gupta, Shivam; Kumar, Ajay</t>
  </si>
  <si>
    <t>Measuring SERVQUAL dimensions and their importance for customer-satisfaction using online reviews: a text mining approach</t>
  </si>
  <si>
    <t>JOURNAL OF ENTERPRISE INFORMATION MANAGEMENT</t>
  </si>
  <si>
    <t>SERVQUAL; Customer satisfaction; User generated content; Text mining; Sentiment analysis</t>
  </si>
  <si>
    <t>SERVICE QUALITY; CONSUMER REVIEWS; AIRLINE SERVICES; SYSTEMS SUCCESS; PRICE PREMIUMS; LOYALTY; PRODUCT; RECOMMENDATIONS; MODEL; FUTURE</t>
  </si>
  <si>
    <t>Purpose The extant literature has utilized the SERVQUAL scale to measure service quality dimensions and their importance towards customer-satisfaction using close-ended survey-based questions and not open-ended questions and/or user-generated qualitative responses. On the other hand, while measuring customer-satisfaction drivers from user-generated content (UGC), extant studies have majorly used overall or aspect-wise evaluations and not evaluations specific to SERVQUAL dimensions. In this study, the authors try to bridge the gap. Design/methodology/approach The authors suggest a methodology consisting of text mining, machine learning and econometric techniques that can measure consumer evaluations of SERVQUAL dimensions. The authors used qualitative and quantitative UGC obtained from 27,052 online reviews on 362 airlines by reviewers of 158 nationalities for our analysis. Findings The authors established a unique method which combines qualitative and qualitative UGC to measure service quality. The authors have also uncovered the comparative importance of such dimensions in creating customer-satisfaction and recommendation in the context of the airline industry. Originality/value The paper is one of the pioneering studies that try to find measures of SERVQUAL dimensions from online consumer reviews and their influence on customer satisfaction.</t>
  </si>
  <si>
    <t>[Chatterjee, Swagato] Indian Inst Technol Kharagpur, Vinod Gupta Sch Management, Kharagpur, W Bengal, India; [Ghatak, Arpita] Indian Inst Technol Kharagpur, Rajendra Mishra Sch Engn Entrepreneurship, Kharagpur, W Bengal, India; [Nikte, Ratnadeep] Indian Inst Technol Kharagpur, Kharagpur, W Bengal, India; [Gupta, Shivam] NEOMA Business Sch, Dept Informat Syst Supply Chain Management &amp; Deci, Reims, France; [Kumar, Ajay] EMLYON Business Sch, AIM Res Ctr Artificial Intelligence Value Creat, Ecully, France</t>
  </si>
  <si>
    <t>Indian Institute of Technology System (IIT System); Indian Institute of Technology (IIT) - Kharagpur; Indian Institute of Technology System (IIT System); Indian Institute of Technology (IIT) - Kharagpur; Indian Institute of Technology System (IIT System); Indian Institute of Technology (IIT) - Kharagpur; EMLYON Business School</t>
  </si>
  <si>
    <t>Gupta, S (corresponding author), NEOMA Business Sch, Dept Informat Syst Supply Chain Management &amp; Deci, Reims, France.</t>
  </si>
  <si>
    <t>shivam.gupta@neoma-bs.fr</t>
  </si>
  <si>
    <t>Gupta, Shivam/R-2996-2016</t>
  </si>
  <si>
    <t>Gupta, Shivam/0000-0002-2714-4958; Nikte, Ratnadeep/0000-0001-8423-9526; Chatterjee, Swagato/0000-0002-3907-3528</t>
  </si>
  <si>
    <t>Sponsored Research and Industry Consultancy, Indian Institute of Technology Kharagpur [UAE]</t>
  </si>
  <si>
    <t>Sponsored Research and Industry Consultancy, Indian Institute of Technology Kharagpur</t>
  </si>
  <si>
    <t>The paper is funded by Sponsored Research and Industry Consultancy, Indian Institute of Technology Kharagpur with the project id UAE.</t>
  </si>
  <si>
    <t>1741-0398</t>
  </si>
  <si>
    <t>1758-7409</t>
  </si>
  <si>
    <t>J ENTERP INF MANAG</t>
  </si>
  <si>
    <t>J. Enterp. Inf. Manag.</t>
  </si>
  <si>
    <t>JAN 27</t>
  </si>
  <si>
    <t>10.1108/JEIM-06-2021-0252</t>
  </si>
  <si>
    <t>Computer Science, Interdisciplinary Applications; Information Science &amp; Library Science; Management</t>
  </si>
  <si>
    <t>8H2YI</t>
  </si>
  <si>
    <t>WOS:000772763700001</t>
  </si>
  <si>
    <t>Kim, JM; Park, KKC; Mariani, MM</t>
  </si>
  <si>
    <t>Kim, Jong Min; Park, Keeyeon Ki-Cheon; Mariani, Marcello M.</t>
  </si>
  <si>
    <t>Do online review readers react differently when exposed to credible versus fake online reviews?</t>
  </si>
  <si>
    <t>Fake reviews; Review manipulation; Topic modelling; Latent Dirichlet Allocation; Movie; Revenue</t>
  </si>
  <si>
    <t>WORD-OF-MOUTH; CONSUMER-GENERATED MEDIA; INFORMATION ADOPTION; SOURCE CREDIBILITY; PRODUCT REVIEWS; MODEL; TRUST; COMMUNICATION; MANIPULATION; PERFORMANCE</t>
  </si>
  <si>
    <t>Marketing research on online reviews has attempted to understand the antecedents and consequences of review manipulation. Building on the elaboration likelihood model (ELM), this study deploys a rare dataset that allows distinguishing credible from less credible (and likely fake) online reviews by means of the online review posting policy adopted by the movie review website Naver.com. We use text analysis entailing word embedding and topic modelling techniques such as Latent Dirichlet Allocation, to capture content depth across different types of online reviews (credible vs manipulated). Furthermore, we explore how differences in the textual content of credible vs manipulated online reviews affect customer purchase decisions. Our results highlight that less credible reviews tend to contain more superficial information compared to more credible reviews, and that different levels of source credibility lead to distinctively different impacts of online reviews on box office revenue.</t>
  </si>
  <si>
    <t>[Kim, Jong Min] Wenzhou Kean Univ, Coll Business &amp; Management, Wenzhou, Peoples R China; [Park, Keeyeon Ki-Cheon] Kedge Business Sch, 680 Cr Liberat, F-33405 Talence, France; [Mariani, Marcello M.] Univ Reading, Henley Business Sch, Henley On Thames RG9 3AU, Oxon, England; [Mariani, Marcello M.] Univ Bologna, Bologna, Italy</t>
  </si>
  <si>
    <t>Wenzhou-Kean University; Kedge Business School; University of Reading; University of Bologna</t>
  </si>
  <si>
    <t>Mariani, MM (corresponding author), Univ Reading, Henley Business Sch, Henley On Thames RG9 3AU, Oxon, England.;Mariani, MM (corresponding author), Univ Bologna, Bologna, Italy.</t>
  </si>
  <si>
    <t>jokim@kean.edu; parkky88@kaist.ac.kr; m.mariani@henley.ac.uk</t>
  </si>
  <si>
    <t>Mariani, Marcello/0000-0002-7916-2576</t>
  </si>
  <si>
    <t>10.1016/j.jbusres.2022.113377</t>
  </si>
  <si>
    <t>6Y1TQ</t>
  </si>
  <si>
    <t>WOS:000896885200008</t>
  </si>
  <si>
    <t>Francesco, G; Roberta, G</t>
  </si>
  <si>
    <t>Francesco, Galati; Roberta, Galati</t>
  </si>
  <si>
    <t>Cross-country analysis of perception and emphasis of hotel attributes</t>
  </si>
  <si>
    <t>User-generated contents; Cross-country; Perception; Emphasis; Text-mining; Hotel attribute; Customer satisfaction</t>
  </si>
  <si>
    <t>IMPORTANCE-PERFORMANCE ANALYSIS; CUSTOMER SATISFACTION; TOURIST SATISFACTION; ONLINE REVIEWS; RATINGS; DRIVERS; CULTURE; GUESTS; HOME; EXPECTATIONS</t>
  </si>
  <si>
    <t>This study attempts to investigate the effect of cross-country differences on online hotel reviews. More specifically, it attempts to investigate whether there are differences in the way Italians, Americans, and Chinese travelers perceive and emphasize several hotel attributes, even when including hotel star ratings and travelers' profiles in the analysis. Based on a random sample of 9000 online reviews, the study adopted text link analysis to extrapolate the frequencies of predefined hotel attributes on which the multivariate analyses and tests were performed. Answers are provided to two research questions: Do travelers from different countries place different emphasis on hotel attributes? Do travelers from different countries perceive hotel attributes differently? The results suggest that the differences in perceptions and emphasis are significant. The adopted text-mining method could help hotel business managers to hear the voices of consumers and include them in performance evaluation and service design processes.</t>
  </si>
  <si>
    <t>[Francesco, Galati; Roberta, Galati] Univ Parma, Dept Engn &amp; Architecture, Parco Area Sci 181-A, Parma, Italy</t>
  </si>
  <si>
    <t>University of Parma</t>
  </si>
  <si>
    <t>Francesco, G (corresponding author), Univ Parma, Dept Engn &amp; Architecture, Parco Area Sci 181-A, Parma, Italy.</t>
  </si>
  <si>
    <t>francesco.galati@unipr.it</t>
  </si>
  <si>
    <t>galati, Francesco/AAF-6830-2021</t>
  </si>
  <si>
    <t>galati, Francesco/0000-0002-7294-6183; GALATI, ROBERTA/0000-0001-6132-4840</t>
  </si>
  <si>
    <t>10.1016/j.tourman.2019.02.011</t>
  </si>
  <si>
    <t>IA9PW</t>
  </si>
  <si>
    <t>WOS:000469890300003</t>
  </si>
  <si>
    <t>Choi, J; Lee, HJ; Choeh, JY</t>
  </si>
  <si>
    <t>Choi, Jaewon; Lee, Hong Joo; Choeh, Joon Yeon</t>
  </si>
  <si>
    <t>HARNESSING THE PREDICTIVE VALUE OF ONLINE WORD-OF-MOUTH FOR IDENTIFYING MARKET SUCCESS OF NEW AUTOMOBILES: INPUT VERSUS OUTPUT WORD-OF-MOUTH PERSPECTIVES</t>
  </si>
  <si>
    <t>E &amp; M EKONOMIE A MANAGEMENT</t>
  </si>
  <si>
    <t>Market success; word-of-mouth; text mining; LDA; purchase decision</t>
  </si>
  <si>
    <t>PURCHASE INTENTION; CONSUMER REVIEWS; BRAND IMAGE; MODEL; INFORMATION; SYSTEMS; EXTRACTION; PRODUCTS; DECISION; DEMAND</t>
  </si>
  <si>
    <t>The automotive industry evaluates various success factors to achieve competitive advantage in selling products. Existing studies have predicted the success of newly launched automobiles based on an economic perspective. However, factors such as dynamic changes in consumer preferences and the emergence of numerous automobile brands pose difficulty in understanding product quality. This study proposes a method of understanding the automotive market using text mining techniques and online user opinions for newly launched cars. By analyzing customer experiences and expectations through their opinions, we can anticipate automobile demand in the market more easily. The proposed method is based on online reviews from an online portal for automobiles. Based on a literature review, this study presents a framework for analyzing input versus output word-of-mouth (WOM). It also integrates the success factors from existing automobile studies and derives functional categories and relevant keywords. The analysis identifies differences in consumer-interest factors that lead to short-term success or normal results in automobile sales. In addition, it confirms that the elements of WOM produces varying results depending on the timing these are employed in relation to the product launch (i.e., before or after a product???s launch). It revealed which dimensions of automobile characteristics are important factors in identifying sales volume and market share for specific types and brands of automobile models. The results of this study provide theoretical advantage in predicting market success in the automobile industry. In addition, the study derives practical insights into characteristics of classification information for market forecasts in the automotive industry. The paper provides empirical insights about how input WOM and output WOM which are analyzed differently can have predictive power in forecasting market share and sales volume for automobiles.</t>
  </si>
  <si>
    <t>[Choi, Jaewon] Soonchunhyang Univ, Dept Business Adm, Asan, South Korea; [Lee, Hong Joo] Catholic Univ Korea, Dept Business Adm, Seoul, South Korea; [Choeh, Joon Yeon] Sejong Univ, Dept Software, Seoul, South Korea</t>
  </si>
  <si>
    <t>Soonchunhyang University; Catholic University of Korea; Sejong University</t>
  </si>
  <si>
    <t>Choeh, JY (corresponding author), Sejong Univ, Dept Software, Seoul, South Korea.</t>
  </si>
  <si>
    <t>jaewonchoi@sch.ac.kr; hongjoo@catholic.ac.kr; zoon@sejong.edu</t>
  </si>
  <si>
    <t>National Research Foundation of Korea (NRF) - Korea government (MSIT) [NRF-2020R1A2C2099665]; Soonchunhyang University Research Fund</t>
  </si>
  <si>
    <t>National Research Foundation of Korea (NRF) - Korea government (MSIT)(National Research Foundation of KoreaMinistry of Science, ICT &amp; Future Planning, Republic of Korea); Soonchunhyang University Research Fund</t>
  </si>
  <si>
    <t>This work was supported by the National Research Foundation of Korea (NRF) grant funded by the Korea government (MSIT) . [NRF-2020R1A2C2099665] and the Soonchunhyang University Research Fund.</t>
  </si>
  <si>
    <t>TECHNICAL UNIV LIBEREC</t>
  </si>
  <si>
    <t>LIBEREC 1</t>
  </si>
  <si>
    <t>FAC ECONOMICS, STUDENTSKA 2, IC 46747885, LIBEREC 1, 461 17, CZECH REPUBLIC</t>
  </si>
  <si>
    <t>1212-3609</t>
  </si>
  <si>
    <t>2336-5064</t>
  </si>
  <si>
    <t>E M EKON MANAG</t>
  </si>
  <si>
    <t>E M Ekon. Manag.</t>
  </si>
  <si>
    <t>10.15240/tul/001/2022-2-012</t>
  </si>
  <si>
    <t>2C0FU</t>
  </si>
  <si>
    <t>WOS:000810555600012</t>
  </si>
  <si>
    <t>Hung, YC; Guan, C</t>
  </si>
  <si>
    <t>Hung, Yu-Chen; Guan, Chong</t>
  </si>
  <si>
    <t>Winning box office with the right movie synopsis</t>
  </si>
  <si>
    <t>LIWC; Box office performance; Computerised content analysis; Expectancy confirmation; Linguistic cues; Movie synopsis; Structure equation modelling</t>
  </si>
  <si>
    <t>INDIVIDUAL-DIFFERENCES; PERFORMANCE; LANGUAGE; PRODUCT; WORDS; MEDIA; PREFERENCES; REVIEWS; SUCCESS; STYLE</t>
  </si>
  <si>
    <t>Purpose Consumers often search for movie information and purchase tickets on the go. A synopsis is often provided by producers and theatres in mobile apps and websites. However, to the best of the authors' knowledge, little research has investigated whether the synopsis has an impact on a movie's box office. This research uses computerized text analysis in examining the influence of linguistic cues of a synopsis on the movie's financial performance. This paper aims to show that language choice in a synopsis is a significant factor in predicting box office performance. Design/methodology/approach A total usable sample of 5973 movies was collected using a web crawler. Computerised text analysis using linguistic inquiry and word count was adopted to analyse the movie synopses data. The empirical study comprises two phases. Phase 1 used exploratory factor analysis on 50 per cent of the sample (Sample 1) to establish the dimensionality of psychological processes as reflected in the linguistic expressions. The analysis identified 11 linguistic variables that loaded on four dimensions. The factor structure was replicated on an independent sample (Sample 2) using confirmatory factor analysis. Phase 2 tested the hypotheses using structure equation modelling. Findings Results show that consistency between movie genres and linguistic cues in a film synopsis promotes movie box office revenue when linguistic cues shown in the synopsis confirm a consumer's expectancies about a focal movie genre. Conversely, a synopsis reduces the movie box office revenue when the linguistic cues shown disconfirm the genre-based expectancies. These linguistic cues exert similar effects on action and crime films but different effects on comedies and drama films. Originality/value To our knowledge, this research is the first in studying the linguistic cues in synopses and its relation to box office performance. It addresses this knowledge gap by answering the basic question of whether movie synopses matter. Methodically, the paper marks the first attempt to use the two-step structural equation modelling method on computerised content analysis data.</t>
  </si>
  <si>
    <t>[Hung, Yu-Chen; Guan, Chong] Singapore Univ Social Sci, Singapore, Singapore</t>
  </si>
  <si>
    <t>Singapore University of Social Sciences (SUSS)</t>
  </si>
  <si>
    <t>Hung, YC (corresponding author), Singapore Univ Social Sci, Singapore, Singapore.</t>
  </si>
  <si>
    <t>ychung@suss.edu.sg</t>
  </si>
  <si>
    <t>Hung, Yu-chen/0000-0001-5462-4378</t>
  </si>
  <si>
    <t>FEB 24</t>
  </si>
  <si>
    <t>10.1108/EJM-01-2019-0096</t>
  </si>
  <si>
    <t>LB7AM</t>
  </si>
  <si>
    <t>WOS:000514706000001</t>
  </si>
  <si>
    <t>Pham, T; Mathmann, F; Jin, HS; Higgins, ET</t>
  </si>
  <si>
    <t>Thuy Pham; Mathmann, Frank; Jin, Hyun Seung; Higgins, E. Tory</t>
  </si>
  <si>
    <t>How regulatory focus-mode fit impacts variety-seeking</t>
  </si>
  <si>
    <t>attitude certainty; choice engagement; regulatory fit; regulatory focus; regulatory mode; variety-seeking</t>
  </si>
  <si>
    <t>PURCHASE QUANTITY; ATTITUDE CERTAINTY; PROMOTION PRIDE; SELF-REGULATION; NEGATIVE AFFECT; VALUE CREATION; TEXT ANALYSIS; PREVENTION; CONSUMER; DECISION</t>
  </si>
  <si>
    <t>Variety-seeking research has examined antecedents in terms of contextual factors and individual differences. However, it does not consider the interaction of individual difference factors such as regulatory focus (promotion vs. prevention) and regulatory mode (locomotion vs. assessment) to predict variety-seeking. Drawing on regulatory fit theory, this study introduces a new kind of regulatory fit based on the interaction between regulatory focus and mode (i.e., regulatory focus-mode fit), thereby extending previous work examining fit based on either regulatory focus or regulatory mode in isolation. Results from five studies, including field data from 10,547 music app consumers (text analysis), two preregistered studies, and two online experiments, show that regulatory focus-mode fit (vs. non-fit) decreases variety-seeking. Engagement and attitude certainty serially mediate regulatory focus-mode fit effects. Findings provide implications for consumer segmentation and message framing.</t>
  </si>
  <si>
    <t>[Thuy Pham; Mathmann, Frank; Jin, Hyun Seung] Queensland Univ Technol, Sch Advertising Mkt &amp; Publ Relat, 2 George St, Brisbane, Qld 4000, Australia; [Higgins, E. Tory] Columbia Univ, Dept Psychol, New York, NY 10027 USA</t>
  </si>
  <si>
    <t>Queensland University of Technology (QUT); Columbia University</t>
  </si>
  <si>
    <t>Pham, T; Mathmann, F (corresponding author), Queensland Univ Technol, Sch Advertising Mkt &amp; Publ Relat, 2 George St, Brisbane, Qld 4000, Australia.</t>
  </si>
  <si>
    <t>t58.pham@qut.edu.au; f.mathmann@qut.edu.au</t>
  </si>
  <si>
    <t>Pham, Thuy Thi Minh/AAC-7060-2022</t>
  </si>
  <si>
    <t>Pham, Thuy Thi Minh/0000-0003-4041-5924</t>
  </si>
  <si>
    <t>10.1002/jcpy.1317</t>
  </si>
  <si>
    <t>3I4EJ</t>
  </si>
  <si>
    <t>WOS:000832672000001</t>
  </si>
  <si>
    <t>Peng, L; Cui, G; Bao, Z; Liu, S</t>
  </si>
  <si>
    <t>Crowdfunding; Text mining; Natural language processing (NLP); Language expectancy theory (LET); Promotion pitch</t>
  </si>
  <si>
    <t>BOX-OFFICE; STAR POWER; REVIEWS; CRITICS</t>
  </si>
  <si>
    <t>[Peng, Ling; Cui, Geng; Bao, Ziru; Liu, Shuman] Lingnan Univ, Dept Mkt &amp; Int Business, 8 Castle Peak Rd, Hong Kong, Peoples R China</t>
  </si>
  <si>
    <t>Lingnan University</t>
  </si>
  <si>
    <t>Peng, L (corresponding author), Lingnan Univ, Dept Mkt &amp; Int Business, 8 Castle Peak Rd, Hong Kong, Peoples R China.</t>
  </si>
  <si>
    <t>lingpeng@ln.edu.hk; gcui@ln.edu.hk; zirubao@ln.hk; shumanliu@ln.hk</t>
  </si>
  <si>
    <t>Peng, Ling/0000-0002-6034-4580</t>
  </si>
  <si>
    <t>10.1007/s11002-021-09595-3</t>
  </si>
  <si>
    <t>0V4MV</t>
  </si>
  <si>
    <t>WOS:000695377200001</t>
  </si>
  <si>
    <t>Gao, ZH</t>
  </si>
  <si>
    <t>Gao, Zhihong</t>
  </si>
  <si>
    <t>Mapping the official discourse of frugality in China between 1979 and 2015</t>
  </si>
  <si>
    <t>China; Anti-consumption; Frugality; Official discourse</t>
  </si>
  <si>
    <t>Purpose - This paper aims to examine how the official discourse of frugality evolved in China between 1979 and 2015. Design/methodology/approach - The study uses historical and textual analysis. It divides the Chinese official discourse on frugality between 1979 and 2015 into four periods: 1979-1992, 1993-2002, 2003-2012 and 2013-2015. Findings - A Chinese official discourse on frugality persisted between 1979 and 2015, even though during the same period, China transformed from a socialist economy of central planning and insufficient supply to a market economy of excessive supply and weak consumer demand. The intensity of this official discourse frequently vacillated, adjusting to both economic and political conditions of the time as part of the larger political-economic contestation between competing ideas and policies. Originality/value - There have been calls for more studies on how frugality discourses have evolved in international markets, especially in terms of how they are shaped by local historical antecedents and long-standing tensions. Through the Chinese case, this article illuminates why some traditional values persist and obtain a paradoxical co-existence with consumerist ethos in our modern society.</t>
  </si>
  <si>
    <t>[Gao, Zhihong] Rider Univ, Lawrenceville, NJ 08648 USA</t>
  </si>
  <si>
    <t>Rider University</t>
  </si>
  <si>
    <t>Gao, ZH (corresponding author), Rider Univ, Lawrenceville, NJ 08648 USA.</t>
  </si>
  <si>
    <t>zgao@rider.edu</t>
  </si>
  <si>
    <t>10.1108/JHRM-05-2017-0013</t>
  </si>
  <si>
    <t>HA9IP</t>
  </si>
  <si>
    <t>WOS:000450614300002</t>
  </si>
  <si>
    <t>Le, TH; Arcodia, C; Novais, MA; Kralj, A; Phan, TC</t>
  </si>
  <si>
    <t>Le, Truc H.; Arcodia, Charles; Novais, Margarida Abreu; Kralj, Anna; Thanh Cong Phan</t>
  </si>
  <si>
    <t>Exploring the multi-dimensionality of authenticity in dining experiences using online reviews</t>
  </si>
  <si>
    <t>Authenticity; Restaurant; User-generated content (UGC); Text mining; Integrated learning; Human-machine learning; Machine learning; Classification</t>
  </si>
  <si>
    <t>MODEL</t>
  </si>
  <si>
    <t>The quest for authenticity in dining experiences has become increasingly important. This paper explores authenticity dimensions that are of value to customers in dining experiences, and by that gains a multidimensional understanding of authenticity in this context. Following an integrated learning approach using text mining and classification techniques, this paper explores and confirms different dimensions of authenticity by identifying and classifying authenticity judgements in online restaurant reviews. The results suggest that authenticity is a multi-dimensional concept encompassing Authenticity of the Other, Authenticity of the Producer, and Authenticity of the Self as first-level dimensions. Additionally, besides historical and categorical authenticity which have been previously explored in the literature, a new type of authenticity - Deviated Authenticity - emerged as a second-level dimension falling under Authenticity of the Other. This paper enhances existing conceptualisations of authenticity and establishes avenues for exploring the multi-dimensionality of other consumer research concepts using user-generated content.</t>
  </si>
  <si>
    <t>[Le, Truc H.; Arcodia, Charles; Novais, Margarida Abreu] Griffith Univ, Dept Tourism Sport &amp; Hotel Management, 170 Kessels Rd, Nathan, Qld 4111, Australia; [Kralj, Anna] Griffith Univ, Dept Tourism Sport &amp; Hotel Management, Parklands Dr, Southport, Qld 4215, Australia; [Thanh Cong Phan] Griffith Univ, Sch Informat &amp; Commun Technol, Parklands Dr, Southport, Qld 4215, Australia</t>
  </si>
  <si>
    <t>Griffith University; Griffith University; Griffith University</t>
  </si>
  <si>
    <t>Le, TH (corresponding author), Griffith Univ, 170 Kessels Rd, Nathan, Qld 4111, Australia.</t>
  </si>
  <si>
    <t>truc.le@griffith.edu.au; c.arcodia@griffith.edu.au; m.abreunovais@griffith.edu.au; a.kralj@griffith.edu.au; thanhcong.phan@griffithuni.edu.au</t>
  </si>
  <si>
    <t>Le, Truc H/0000-0001-6201-1504; Phan, Cong/0000-0002-4715-1610; Abreu Novais, Margarida/0000-0002-5046-4159</t>
  </si>
  <si>
    <t>Griffith Institute for Tourism (GIFT)</t>
  </si>
  <si>
    <t>This work was partially supported by Griffith Institute for Tourism (GIFT) in 2018 under the Higher Degree by Research Data Collection Support Scheme. We also sincerely thank Dr Quoc Viet Hung (Henry) Nguyen -Senior Lecturer and ARC DECRA Fellow at School of Information and Communication Technology at Griffith University for his guidance in the analytical approach.</t>
  </si>
  <si>
    <t>10.1016/j.tourman.2021.104292</t>
  </si>
  <si>
    <t>WOS:000642474700003</t>
  </si>
  <si>
    <t>Zhang, ZL; Li, HY; Meng, F; Li, YS</t>
  </si>
  <si>
    <t>Zhang, Zili; Li, Hengyun; Meng, Fang; Li, Yuanshuo</t>
  </si>
  <si>
    <t>The effect of management response similarity on online hotel booking Field evidence from Expedia</t>
  </si>
  <si>
    <t>Online review; Management response; Response similarity; Online hotel booking</t>
  </si>
  <si>
    <t>WORD-OF-MOUTH; REVIEWS INFLUENCE; PRICE PREMIUMS; SOCIAL MEDIA; IMPACT; TRUST; CUSTOMERS; COMMUNICATION; MARKETPLACES; PERFORMANCE</t>
  </si>
  <si>
    <t>Purpose - This paper aims to examine the influences of the number of hotel management responses and especially the textual similarity in hotel management responses to online reviews on hotel online booking. Design/methodology/approach - This study used the data from 437 hotels in New York City on Expedia. The data specifically include online reviews, management responses and real-time number of online hotel bookings, which were merged to create one dataset for this study. To calculate the management response similarity, three widely recognized text mining functions of calculating textual similarity were adopted in this model. Fixed-effect panel data model was then used to examine the influence of management response to consumer online reviews on online hotel booking volume. Findings - The empirical results demonstrate that the number of management responses to consumer online reviews does not significantly affect hotel booking; compared to none or only one management response, or management responses with low similarity, management responses with high similarity can significantly reduce the hotel booking on Expedia. Practical implications - This study suggests that the similarity of management responses influences customers' hotel booking, and hotelmanagers should avoid providing too similarmanagement responses. Originality/value - First, this study, for the first time, proposes the concept of management response similarity and its measurement methods. Second, this study takes an initial attempt to empirically test the influence of response similarity on hotel booking by using secondary data online.</t>
  </si>
  <si>
    <t>[Zhang, Zili; Li, Yuanshuo] Harbin Inst Technol, Sch Management, Harbin, Heilongjiang, Peoples R China; [Li, Hengyun] Hong Kong Polytech Univ, Sch Hotel &amp; Tourism Management, Hong Kong, Peoples R China; [Meng, Fang] Univ South Carolina, Sch Hotel Restaurant &amp; Tourism Management, Columbia, SC 29208 USA</t>
  </si>
  <si>
    <t>Harbin Institute of Technology; Hong Kong Polytechnic University; University of South Carolina System; University of South Carolina Columbia</t>
  </si>
  <si>
    <t>Li, HY (corresponding author), Hong Kong Polytech Univ, Sch Hotel &amp; Tourism Management, Hong Kong, Peoples R China.</t>
  </si>
  <si>
    <t>neilhengyun.li@polyu.edu.hk</t>
  </si>
  <si>
    <t>Li, Hengyun/ABE-6467-2020</t>
  </si>
  <si>
    <t>Li, Hengyun/0000-0002-2369-1567</t>
  </si>
  <si>
    <t>National Natural Science Foundation of China [71772053, 71671049]; Humanities and Social Science Research Foundation of the Ministry of Education of China [17YJA630136]; Fok Ying-Tong Education Foundation for Young Teachers in the Higher Education Institutions of China [151082]</t>
  </si>
  <si>
    <t>National Natural Science Foundation of China(National Natural Science Foundation of China (NSFC)); Humanities and Social Science Research Foundation of the Ministry of Education of China(Ministry of Education, China); Fok Ying-Tong Education Foundation for Young Teachers in the Higher Education Institutions of China(Fok Ying Tung Education Foundation)</t>
  </si>
  <si>
    <t>The authors acknowledge the support of research funds from the National Natural Science Foundation of China (71772053 and 71671049), the Humanities and Social Science Research Foundation of the Ministry of Education of China (17YJA630136), and Fok Ying-Tong Education Foundation for Young Teachers in the Higher Education Institutions of China (151082).</t>
  </si>
  <si>
    <t>10.1108/IJCHM-09-2018-0740</t>
  </si>
  <si>
    <t>JK7DC</t>
  </si>
  <si>
    <t>WOS:000495000300007</t>
  </si>
  <si>
    <t>Shankar, A; Tiwari, AK; Gupta, M</t>
  </si>
  <si>
    <t>Shankar, Amit; Tiwari, Aviral Kumar; Gupta, Manish</t>
  </si>
  <si>
    <t>Sustainable mobile banking application: a text mining approach to explore critical success factors</t>
  </si>
  <si>
    <t>Mobile banking application; Text mining; Latent semantic analysis; Sustainability</t>
  </si>
  <si>
    <t>WORD-OF-MOUTH; CONSUMER ADOPTION; SERVICE QUALITY; BIG DATA; SATISFACTION; INTERNET; REVIEWS; TRUST; DIMENSIONS; SALES</t>
  </si>
  <si>
    <t>Purpose This study aims at identifying critical success factors of a sustainable mobile banking application using text mining approach. Design/methodology/approach A total of 6,073 consumer reviews relating to a mobile banking application were collected and analyzed to meet the study objective. Latent Semantic Analysis (LSA) was done to identify the critical success factors of a sustainable mobile banking application. Findings The results indicated that privacy and security, navigation, customer support, convenience and efficiency are the key factors. Research limitations/implications The study findings enrich the mobile banking and sustainable service delivery channel literature. Practical implications The results are expected to benefit the bankers in delivering effective banking services through a mobile banking application. Originality/value Studies in the sustainability are few yet promising particularly the ones that use rigorous statistics suitable on thousands of data points to accomplish the study objectives.</t>
  </si>
  <si>
    <t>[Shankar, Amit] Indian Inst Management Visakhapatnam, Visakhapatnam, Andhra Pradesh, India; [Tiwari, Aviral Kumar] Rajagiri Business Sch, Cochin, Kerala, India; [Tiwari, Aviral Kumar] South Ural State Univ, Higher Sch Econ &amp; Management, State &amp; Municipal Adm, Econ Theory,Reg Econ, Chelyabinsk, Russia; [Gupta, Manish] IBS Hyderabad, Dept HR, Hyderabad, India</t>
  </si>
  <si>
    <t>Indian Institute of Management (IIM System); Indian Institute of Management Visakhapatnam; Rajagiri Business School (RBS); South Ural State University; The ICFAI Foundation for Higher Education (IFHE); ICFAI Business School (IBS)</t>
  </si>
  <si>
    <t>Tiwari, AK (corresponding author), Rajagiri Business Sch, Cochin, Kerala, India.;Tiwari, AK (corresponding author), South Ural State Univ, Higher Sch Econ &amp; Management, State &amp; Municipal Adm, Econ Theory,Reg Econ, Chelyabinsk, Russia.</t>
  </si>
  <si>
    <t>aviral.eco@gmail.com</t>
  </si>
  <si>
    <t>Shankar, Amit/AAU-6860-2020; Tiwari, Aviral Kumar/C-5556-2011; Gupta, Manish/E-5241-2015</t>
  </si>
  <si>
    <t>Shankar, Amit/0000-0002-9750-0380; Tiwari, Aviral Kumar/0000-0002-1822-9263; Gupta, Manish/0000-0001-9671-1605</t>
  </si>
  <si>
    <t>MAR 8</t>
  </si>
  <si>
    <t>10.1108/JEIM-10-2020-0426</t>
  </si>
  <si>
    <t>ZQ1YV</t>
  </si>
  <si>
    <t>WOS:000647765500001</t>
  </si>
  <si>
    <t>Chen, K; Kou, G; Shang, J; Chen, Y</t>
  </si>
  <si>
    <t>Chen, Kun; Kou, Gang; Shang, Jennifer; Chen, Yang</t>
  </si>
  <si>
    <t>Visualizing market structure through online product reviews: Integrate topic modeling, TOPSIS, and multi-dimensional scaling approaches</t>
  </si>
  <si>
    <t>Market structure; Text mining; Topic modeling; Ranking of products; TOPSIS</t>
  </si>
  <si>
    <t>WORD-OF-MOUTH; SALES; CONVERSATIONS; MCDM</t>
  </si>
  <si>
    <t>Studies have shown that perceptual maps derived from online consumer-generated data are effective for depicting market structure such as demonstrating positioning of competitive brands. However, most text mining algorithms would require manual reading to merge extracted product features with synonyms. In response, Topic modeling is introduced to group synonyms together under a topic automatically, leading to convenient and accurate evaluation of brands based on consumers' online reviews. To ensure the feasibility of employing Topic modeling in assessing competitive brands, we developed a unique and novel framework named WVAP (Weights from Valid Posterior Probability) based on Scree plot technique. WVAP can filter the noises in posterior distribution obtained from Topic modeling, and improve accuracy in brand evaluation. A case study exploring online reviews of mobile phones is conducted. We extract topics to reflect the features of the cell phones with a qualified validity. In addition to perceptual maps derived by multi-dimensional scaling (MDS) for product positioning, we also rank these products by TOPSIS (Technique for Order Performance by Similarity to Ideal Solution) so as to visualize the market structure from different perspectives. Our case study of cell phones shows that the proposed framework is effective in mining online reviews and providing insights into the competitive landscape. (C) 2014 Elsevier B.V. All rights reserved.</t>
  </si>
  <si>
    <t>[Chen, Kun] Univ Elect Sci &amp; Technol China, Sch Management &amp; Econ, Chengdu 610054, Sichuan, Peoples R China; [Kou, Gang; Chen, Yang] Southwestern Univ Finance &amp; Econ, Sch Business Adm, Chengdu 610074, Sichuan, Peoples R China; [Shang, Jennifer] Univ Pittsburgh, Katz Grad Sch Business, Pittsburgh, PA 15260 USA</t>
  </si>
  <si>
    <t>University of Electronic Science &amp; Technology of China; Southwestern University of Finance &amp; Economics - China; Pennsylvania Commonwealth System of Higher Education (PCSHE); University of Pittsburgh</t>
  </si>
  <si>
    <t>Kou, G (corresponding author), Southwestern Univ Finance &amp; Econ, Sch Business Adm, Chengdu 610074, Sichuan, Peoples R China.</t>
  </si>
  <si>
    <t>chengk@uestc.edu.cn; kougang@yahoo.com; shang@katz.pitt.edu; francisnju@gmail.com</t>
  </si>
  <si>
    <t>National Natural Science Foundation of China [70901014, 71222108, 71471149]; Postdoctoral Science Foundation of China [2011M501299]</t>
  </si>
  <si>
    <t>National Natural Science Foundation of China(National Natural Science Foundation of China (NSFC)); Postdoctoral Science Foundation of China(China Postdoctoral Science Foundation)</t>
  </si>
  <si>
    <t>This research was partially supported by grants from the National Natural Science Foundation of China (#70901014 for Kun Chen, #71222108 and #71471149 for Gang Kou), and Postdoctoral Science Foundation of China (#2011M501299 for Kun Chen).</t>
  </si>
  <si>
    <t>10.1016/j.elerap.2014.11.004</t>
  </si>
  <si>
    <t>CB4QE</t>
  </si>
  <si>
    <t>WOS:000349612100006</t>
  </si>
  <si>
    <t>Song, X; Mo, ZY; Liu, MT; Niu, B; Huang, L</t>
  </si>
  <si>
    <t>Song, Xi; Mo, Ziying; Liu, Matthew Tingchi; Niu, Ben; Huang, Li</t>
  </si>
  <si>
    <t>Cooperator or supporter: how can cross-boundary Macau-Zhuhai metropolis promote regional tourism together?</t>
  </si>
  <si>
    <t>Macau - Zhuhai metropolis; Destination image; Online reviews; Tourist-generated content (TGC); Text mining; Regional integration</t>
  </si>
  <si>
    <t>ONLINE DESTINATION IMAGE; HONG-KONG; REVIEWS; MODEL; REPRESENTATION; SATISFACTION; INTENTIONS; EXPERIENCE; ATTITUDES; CITY</t>
  </si>
  <si>
    <t>Purpose - This study initiated an investigation of how the Macau-Zhuhai tourism cooperated and discussed how Macau and Zhuhai could join hands to develop tourism in the region. The study demonstrated an approach for destination marketing organizations to explore online tourist-generated content and to understand tourists' perceptions of the destination image (DI). Design/methodology/approach - A total of 1,291,057 reviews (535,317 for Macau and 755,740 for Zhuhai) were collected, analyzed and examined to determine how the DI s of Macau and Zhuhai changed during the period of 2015-2019 based on tourist-generated content on travel websites (TripAdvisor, Ctrip.com and Qyer.com) through a text-mining approach. Findings - The result revealed that Macau and Zhuhai were in a hybrid of competition and collaboration on tourism DI s. First, Macau and Zhuhai competed in hotel and catering industry. Macau was appealing to international tourists and provided high-end and prestigious offerings; while Zhuhai was impressed by cost-effective accommodation and food. Second, Macau diversified industrial structure with diverse Tourism, Leisure and Recreation and Culture, History and Art more than Zhuhai did. Meanwhile, Macau should balance the different demands of international and Chinese tourists. Third, complementary potentials were found in natural resources, urbanization technology and tourism innovation and related projects. Practical implications - The research provides valuable insights for policymakers and industrial managers on their endeavors to develop DIs. Policymakers should be able to develop supportive mechanisms and tourism facilitators to promote industrial collaboration and mutual DIs. Managers could refer to the components in the changing DIs and identify the developmental gaps and cooperation potentials in their targeted areas. Originality/value - The research fulfills the gap in regional tourism studies on Macau, in which the evaluation on synergetic influence and neighbor effect from Zhuhai has been underexplored. Facilitated by up-to-date data mining techniques, the study contributes to both DI and coopetition literature in tourism marketing; and this should inspire further studies on the antecedences of DI changes, resolutions to the competing interests and DIs of different stakeholders in different forms of strategic cooperation in regional tourism. The employment of DIs is an explicit demonstration of tourists' immersion and values attached to the destination, providing effective cues on the status of coopetition.</t>
  </si>
  <si>
    <t>[Song, Xi] Univ Macau, Taipa, Macau, Peoples R China; [Liu, Matthew Tingchi] Univ Macau, Mkt, Taipa, Macau, Peoples R China; [Huang, Li] Univ Macau, FBA, Taipa, Macau, Peoples R China; [Song, Xi; Niu, Ben] Shenzhen Univ, Coll Management, Shenzhen, Peoples R China; [Mo, Ziying] Jinan Univ, Int Business Sch, Zhuhai, Peoples R China; [Mo, Ziying] Sun Yat Sen Univ, Int Sch Business &amp; Finance, Guangzhou, Peoples R China</t>
  </si>
  <si>
    <t>University of Macau; University of Macau; University of Macau; Shenzhen University; Jinan University; Sun Yat Sen University</t>
  </si>
  <si>
    <t>Mo, ZY (corresponding author), Jinan Univ, Int Business Sch, Zhuhai, Peoples R China.;Mo, ZY (corresponding author), Sun Yat Sen Univ, Int Sch Business &amp; Finance, Guangzhou, Peoples R China.</t>
  </si>
  <si>
    <t>sissie.song@gmail.com; ziying1225@gmail.com; MatthewL@um.edu.mo; drniuben@gmail.com; yb77013@um.edu.mo</t>
  </si>
  <si>
    <t>Liu, Matthew/0000-0002-1820-5691</t>
  </si>
  <si>
    <t>MOE (Ministry of Education in China) Project of Humanities and Social Sciences [20YJC630105]; Natural Science Foundation of China [71971143]; Natural Science Foundation of Guangdong Province [2020A1515010749]; Key Research Foundation of Higher Education of Guangdong Provincial Education Bureau [2019KZDXM030]; Philosophy and Social Science Program of Guangdong Province in China [GD19YGL20]; University of Macau [MYRG2019-00037-FBA, MYRG2020-00129-FBA]</t>
  </si>
  <si>
    <t>MOE (Ministry of Education in China) Project of Humanities and Social Sciences; Natural Science Foundation of China(National Natural Science Foundation of China (NSFC)); Natural Science Foundation of Guangdong Province(National Natural Science Foundation of Guangdong Province); Key Research Foundation of Higher Education of Guangdong Provincial Education Bureau; Philosophy and Social Science Program of Guangdong Province in China; University of Macau</t>
  </si>
  <si>
    <t>The work was jointly funded by MOE (Ministry of Education in China) Project of Humanities and Social Sciences (20YJC630105), The Natural Science Foundation of China (Grant No.71971143), Natural Science Foundation of Guangdong Province (2020A1515010749), Key Research Foundation of Higher Education of Guangdong Provincial Education Bureau (2019KZDXM030), Philosophy and Social Science Program of Guangdong Province in China (GD19YGL20) and University of Macau (Ref. No: MYRG2019-00037-FBA and MYRG2020-00129-FBA).</t>
  </si>
  <si>
    <t>NOV 22</t>
  </si>
  <si>
    <t>10.1108/APJML-02-2021-0137</t>
  </si>
  <si>
    <t>6J0IV</t>
  </si>
  <si>
    <t>WOS:000727760800001</t>
  </si>
  <si>
    <t>Hoang, C; Tran, HA</t>
  </si>
  <si>
    <t>Hoang, Chi; Tran, Hai-Anh</t>
  </si>
  <si>
    <t>Robot cleaners in tourism venues: The importance of robot-environment fit on consumer evaluation of venue cleanliness</t>
  </si>
  <si>
    <t>Robot cleaners; Cleanliness; Employee competence; Person-environment fit theory</t>
  </si>
  <si>
    <t>PERSON-ORGANIZATION FIT; SERVICE QUALITY; HOTEL; WORK; SCALE; STAKEHOLDER; PERCEPTIONS; PERFORMANCE; APPEARANCE; COMMITMENT</t>
  </si>
  <si>
    <t>Cleanliness is a key determinant of service quality, and robot cleaners are increasingly being deployed in tourism venues to reduce cleaning costs and increase efficiency. However, how robot deployment might alter tourists' perceptions of a venue's cleanliness remains unexplored. Building upon the person-environment fit theory, we propose that consumers' evaluations of robot cleaners are contingent on the fit between robots and the cleaning environment. We supplement two experiments with text analysis to show that deploying robot (vs. human) cleaners in a hotel/airport dilutes consumers' perceptions of the venue's cleanliness. Consumers generally perceive robot cleaners to be less competent than humans and thus expect a venue serviced by robot cleaners to be less clean. However, when the cleaning task is considered to be disgusting or disruptive, consumers view robot cleaners as more competent. These findings have important managerial implications for whether and how to deploy robot cleaners in tourism settings.</t>
  </si>
  <si>
    <t>[Hoang, Chi] ESCP Business Sch, London, England; [Tran, Hai-Anh] Univ Manchester, Alliance Manchester Business Sch, Manchester, England</t>
  </si>
  <si>
    <t>heSam Universite; ESCP Business School; University of Manchester; Alliance Manchester Business School</t>
  </si>
  <si>
    <t>Hoang, C (corresponding author), ESCP Business Sch, London, England.</t>
  </si>
  <si>
    <t>choang@escp.eu; hai-anh.tran@manchester.ac.uk</t>
  </si>
  <si>
    <t>Hoang, Chi/0000-0002-0223-8923</t>
  </si>
  <si>
    <t>10.1016/j.tourman.2022.104611</t>
  </si>
  <si>
    <t>3A4UZ</t>
  </si>
  <si>
    <t>WOS:000827258100002</t>
  </si>
  <si>
    <t>Letheren, K; Russell-Bennett, R; Mulcahy, RF; McAndrew, R</t>
  </si>
  <si>
    <t>Letheren, Kate; Russell-Bennett, Rebekah; Mulcahy, Rory Francis; McAndrew, Ryan</t>
  </si>
  <si>
    <t>Rules of (household) engagement: technology as manager, assistant and intern</t>
  </si>
  <si>
    <t>New technology; consumer engagement</t>
  </si>
  <si>
    <t>CUSTOMER ENGAGEMENT; DECISION-MAKING; CONSUMER; EXPERIENCE; TRUST; IMPACT; WEB; CONCEPTUALIZATION; PROPOSITIONS; MOTIVATIONS</t>
  </si>
  <si>
    <t>Purpose Practitioners need to understand how households will engage with connected-home technologies or risk the failure of these innovations. Current theory does not offer sufficient explanation for how households will engage; hence, this paper aims to address an important gap by examining how households set rules of engagement for connected-home technologies in the context of electricity use and monitoring. Design/methodology/approach A review of the extant psychology, technology and engagement literature is conducted and yields two research questions for exploration. The research questions are addressed via 43 in-depth household interviews. Analysis includes thematic analysis and computerized text analysis. Findings The results include a typology of technology engagement (the PIP typology) and discuss three main roles for technology in assisting households: intern, assistant and manager. Key contributions are as follows: consumers in household settings may experience compromised engagement where the perceived middle option is selected even if no-one selected that option originally; households open to using connected-home technologies are often taking advantage of their ability to delegate engagement to technology, and because consumers humanize technology, they also expect technology to follow social roles and boundaries. Originality/value This paper fulfills the need to understand how households will engage with connected-home technologies and the roles this technology may fulfill in the complex household service system.</t>
  </si>
  <si>
    <t>[Letheren, Kate; Russell-Bennett, Rebekah; McAndrew, Ryan] Queensland Univ Technol, Sch Advertising Mkt &amp; Publ Relat, Brisbane, Qld, Australia; [Mulcahy, Rory Francis] Univ Sunshine Coast, Sch Business, Sunshine Coast, Australia</t>
  </si>
  <si>
    <t>Queensland University of Technology (QUT); University of the Sunshine Coast</t>
  </si>
  <si>
    <t>Letheren, K (corresponding author), Queensland Univ Technol, Sch Advertising Mkt &amp; Publ Relat, Brisbane, Qld, Australia.</t>
  </si>
  <si>
    <t>kate.letheren@qut.edu.au; rebekah.bennett@qut.edu.au; rmulcahy@usc.edu.au; ryan.mcandrew@qut.edu.au</t>
  </si>
  <si>
    <t>Russell-Bennett, Rebekah/AAQ-3626-2020</t>
  </si>
  <si>
    <t>Russell-Bennett, Rebekah/0000-0002-9782-2427</t>
  </si>
  <si>
    <t>Energy Consumers Australia Limited; Energex Limited; TasNetworks; Ausgrid; Western Power; Ergon Energy; Essential Energy and Endeavour Energy</t>
  </si>
  <si>
    <t>This project was a collaboration with CitySmart, and the authors would like to acknowledge the important contributions to the project of Neil Horrocks and Reid Ossington. The project was funded by Energy Consumers Australia Limited (www.energyconsumersaustralia.com.au) as part of its grants process for consumer advocacy projects and research projects for the benefit of consumers of electricity and natural gas. The views expressed in this document do not necessarily reflect the views of Energy Consumers Australia. Funding was also provided by the following electricity network providers: Energex Limited, TasNetworks, Ausgrid, Western Power, Ergon Energy, Essential Energy and Endeavour Energy. The authors would also like to acknowledge the work of visual designer Natalie Sketcher, some of whose work accompanies this manuscript.</t>
  </si>
  <si>
    <t>SEP 9</t>
  </si>
  <si>
    <t>10.1108/EJM-10-2017-0759</t>
  </si>
  <si>
    <t>IZ4DQ</t>
  </si>
  <si>
    <t>WOS:000487034900012</t>
  </si>
  <si>
    <t>Lee, JH; Jung, SH; Park, J</t>
  </si>
  <si>
    <t>Lee, Jong Hyup; Jung, Sun Ho; Park, JaeHong</t>
  </si>
  <si>
    <t>The role of entropy of review text sentiments on online WOM and movie box office sales</t>
  </si>
  <si>
    <t>Review entropy; Online WOM effect; Text mining; Movie; Information search behavior</t>
  </si>
  <si>
    <t>WORD-OF-MOUTH; K SELECTION QUERIES; PERCEIVED HELPFULNESS; PRODUCT REVIEWS; NEGATIVITY BIAS; FILM-CRITICS; DYNAMICS; INFORMATION; PERFORMANCE; CASCADES</t>
  </si>
  <si>
    <t>Sentiments from online word-of-mouth (WOM) are often controversial, since individuals have different preferences toward the same products. Past studies have focused on online WOM effects by measuring WOM volume and valence. However, few studies have investigated how the entropy of the review text sentiment influences the relationship between online WOM and product sales. As WOM valence and volume are usually provided at an aggregated level, consumers often do not have enough information to make a decision. In this case, reading online review text has become an important process for consumers to make purchasing decisions. However, when consumers encounter too many positive review texts, they may doubt the credibility of online WOM itself. Thus, we analyzed the entropy of the review text sentiments by conducting text-mining techniques. We classified review text sentiment into positive, negative, and neutral categories and created an entropy variable. A high level of entropy in review texts indicates that sentiment from review texts are equally distributed, but not biased, towards positive or negative sentiment. We estimated our research model with the entropy variable in a panel dataset for 204 movies over a half-year period. The results suggest that the entropy level in the review texts has a positive moderating impact on the relationship between WOM (e. g., valence and volume) and movie box office sales. The findings imply that deleting negative reviews to enhance product sales may not help online retailers or related parties. (C) 2017 Elsevier B.V. All rights reserved.</t>
  </si>
  <si>
    <t>[Lee, Jong Hyup; Jung, Sun Ho; Park, JaeHong] Kyung Hee Univ, Sch Management, Seoul, South Korea</t>
  </si>
  <si>
    <t>Kyung Hee University</t>
  </si>
  <si>
    <t>Park, J (corresponding author), Kyung Hee Univ, Sch Management, Seoul, South Korea.</t>
  </si>
  <si>
    <t>jaehp@khu.ac.kr</t>
  </si>
  <si>
    <t>Jung, Sunho/AAF-9467-2021</t>
  </si>
  <si>
    <t>Ministry of Education of the Republic of Korea; National Research Foundation of Korea [NRF-2016S1A5A2A01024263]</t>
  </si>
  <si>
    <t>This work was supported by the Ministry of Education of the Republic of Korea and the National Research Foundation of Korea (NRF-2016S1A5A2A01024263).</t>
  </si>
  <si>
    <t>10.1016/j.elerap.2017.03.001</t>
  </si>
  <si>
    <t>ER6PL</t>
  </si>
  <si>
    <t>WOS:000398927700004</t>
  </si>
  <si>
    <t>Vaiciukynaite, E; Gatautis, R</t>
  </si>
  <si>
    <t>Vaiciukynaite, Egle; Gatautis, Rimantas</t>
  </si>
  <si>
    <t>HOW HOTEL COMPANIES CAN FOSTER CUSTOMER SOCIABILITY BEHAVIOUR ON FACEBOOK?</t>
  </si>
  <si>
    <t>JOURNAL OF BUSINESS ECONOMICS AND MANAGEMENT</t>
  </si>
  <si>
    <t>customer engagement behaviour; customer sociability behaviour; content type; emotionally rich messages; Facebook; social language</t>
  </si>
  <si>
    <t>SOCIAL-MEDIA ENGAGEMENT; CONTENT STRATEGIES; BRAND ENGAGEMENT; POSTS; POPULARITY; NETWORKS; WORDS; SCALE</t>
  </si>
  <si>
    <t>Social network sites (hereinafter, SNSs) have become extremely popular, playing an important role in consumers' every day lives. Empowered by SNSs, the customer becomes more active and spends more time with their family, friends or companies online. Therefore, companies seek to encourage online conversations for several beneficial reasons such as maintaining relationships with their customers and achieving customer loyalty. There are no widely accepted characteristics of company messages that foster customer sociability behaviour regarding likes, comments, shares and emotion expressions on Facebook in literature. The purpose of this paper is to explore the characteristics of company messages that facilitate customer sociability behaviour on Facebook. The current study integrates content analysis and text analysis with the Linguistic Inquiry and Word Count Software (LIWC). The data were obtained from two five-star hotel brands on Facebook from 18th October 2016 to 18th October 2017. A total of 306 messages were collected. The results indicated that social messages generated more consumer likes, comments and emotional expressions on Facebook. The number of likes, comments and emotion expressions can be facilitated by images with humans. Messages accompanied with social words exhibit customer comments and emotion expressions.</t>
  </si>
  <si>
    <t>[Vaiciukynaite, Egle; Gatautis, Rimantas] Kaunas Univ Technol, Sch Econ &amp; Business, Digitalizat Res Grp, Gedimino Str 50, Kaunas, Lithuania</t>
  </si>
  <si>
    <t>Kaunas University of Technology</t>
  </si>
  <si>
    <t>Vaiciukynaite, E (corresponding author), Kaunas Univ Technol, Sch Econ &amp; Business, Digitalizat Res Grp, Gedimino Str 50, Kaunas, Lithuania.</t>
  </si>
  <si>
    <t>egle.vaiciukynaite@ktu.lt</t>
  </si>
  <si>
    <t>VILNIUS GEDIMINAS TECH UNIV</t>
  </si>
  <si>
    <t>VILNIUS</t>
  </si>
  <si>
    <t>SAULETEKIO AL 11, VILNIUS, LT-10223, LITHUANIA</t>
  </si>
  <si>
    <t>1611-1699</t>
  </si>
  <si>
    <t>2029-4433</t>
  </si>
  <si>
    <t>J BUS ECON MANAG</t>
  </si>
  <si>
    <t>J. Bus. Econ. Manag.</t>
  </si>
  <si>
    <t>10.3846/jbem.2018.5691</t>
  </si>
  <si>
    <t>HE1OX</t>
  </si>
  <si>
    <t>WOS:000453042900004</t>
  </si>
  <si>
    <t>Rossetti, CL; Dooley, KJ</t>
  </si>
  <si>
    <t>Rossetti, Christian L.; Dooley, Kevin J.</t>
  </si>
  <si>
    <t>JOB TYPES IN THE SUPPLY CHAIN MANAGEMENT PROFESSION</t>
  </si>
  <si>
    <t>JOURNAL OF SUPPLY CHAIN MANAGEMENT</t>
  </si>
  <si>
    <t>supply chain management; human resources; archival research; text analysis; cluster analysis</t>
  </si>
  <si>
    <t>OPERATIONS-MANAGEMENT; LOGISTICS; TRENDS</t>
  </si>
  <si>
    <t>There is little academic consensus on a definition of supply chain management (SCM). Education and research could benefit from a better understanding of how practice is defining the profession, in terms of the type of jobs associated with SCM. Existing definitions of SCM suggest two archetypal job functions: functional integrator and process manager. To compare existing definitions to practice, we analyzed job descriptions associated with the field of SCM using computerized text analysis. We find tentative support that industry views a SCM professional as a process manager. In a post hoc analysis, cluster analyses based on similarity of job descriptions indicate eight different types of SCM jobs, differentiated by associated tasks as well as industry characteristics. This second analysis shows that SCM is most closely aligned with Sourcing and Operations Management. These results have important implications for the SCM profession. Pedagogically, our results indicate that SCM is becoming a more analytical field with tight links to information systems. There is also a lack of a common definition of SCM that Human Resource departments use when advertising for SCM positions. This lack of shared definition means that researchers should use caution when identifying key informants for empirical research as tasks and responsibilities vary widely between job descriptions in our sample.</t>
  </si>
  <si>
    <t>[Rossetti, Christian L.] N Carolina State Univ, Raleigh, NC 27695 USA; [Dooley, Kevin J.] Arizona State Univ, WP Carey Sch Business, Tempe, AZ USA</t>
  </si>
  <si>
    <t>North Carolina State University; Arizona State University; Arizona State University-Tempe</t>
  </si>
  <si>
    <t>Rossetti, CL (corresponding author), N Carolina State Univ, Raleigh, NC 27695 USA.</t>
  </si>
  <si>
    <t>Rossetti, Christian/0000-0002-9267-5990</t>
  </si>
  <si>
    <t>1523-2409</t>
  </si>
  <si>
    <t>1745-493X</t>
  </si>
  <si>
    <t>J SUPPLY CHAIN MANAG</t>
  </si>
  <si>
    <t>J. Supply Chain Manag.</t>
  </si>
  <si>
    <t>10.1111/j.1745-493X.2010.03197.x</t>
  </si>
  <si>
    <t>623NG</t>
  </si>
  <si>
    <t>WOS:000279747200004</t>
  </si>
  <si>
    <t>Li, HY; Meng, F; Jeong, MY; Zhang, ZL</t>
  </si>
  <si>
    <t>Li, Hengyun; Meng, Fang; Jeong, Miyoung; Zhang, Zili</t>
  </si>
  <si>
    <t>To follow others or be yourself? Social influence in online restaurant reviews</t>
  </si>
  <si>
    <t>Social influence; Dining experience; Cognitive effort; Online status; Review variance; Restaurant online review</t>
  </si>
  <si>
    <t>WORD-OF-MOUTH; MODERATING ROLE; PRODUCT; CONSUMERS; EXTREMITY; IMPACT; MODEL; BIAS</t>
  </si>
  <si>
    <t>Purpose Online reviews are often likely to be socially influenced by prior reviews. This study aims to examine key review and reviewer characteristics which may influence the social influence process. Design/methodology/approach Restaurant review data from Yelp.com are analyzed using an ordered logit model and text mining approach. Findings This study reveals that prior average review rating exerts a positive influence on subsequent review ratings for the same restaurant, but the effect is attenuated by the variance in existing review ratings. Moreover, social influence is stronger for consumers who had a moderate dining experience or invested less cognitive effort in writing online reviews. Compared to reviewers classified by Yelp as elite, non-elite reviewers appear more susceptible to the social influence of prior average review rating. Practical implications - This study provides guidelines for mitigating the social influence of prior reviews and improving the accuracy of online product/service ratings, which will eventually enhance business and the reputation of online review platforms. Originality/value The findings from this study contribute to the electronic word-of-mouth (eWOM) literature and social influence literature in terms of the bidirectional nature of social influence on eWOM.</t>
  </si>
  <si>
    <t>[Li, Hengyun] Hong Kong Polytech Univ, Sch Hotel &amp; Tourism Management, Kowloon, Hong Kong, Peoples R China; [Meng, Fang; Jeong, Miyoung] Univ South Carolina, Sch Hotel Restaurant &amp; Tourism Management, Coll Hospitality Retail &amp; Sport Management, Columbia, SC 29208 USA; [Zhang, Zili] Harbin Inst Technol, Sch Management, Harbin, Peoples R China</t>
  </si>
  <si>
    <t>Hong Kong Polytechnic University; University of South Carolina System; University of South Carolina Columbia; Harbin Institute of Technology</t>
  </si>
  <si>
    <t>Zhang, ZL (corresponding author), Harbin Inst Technol, Sch Management, Harbin, Peoples R China.</t>
  </si>
  <si>
    <t>zilizhang@hit.edu.cn</t>
  </si>
  <si>
    <t>Jeong, Miyoung/0000-0001-9008-0996; Li, Hengyun/0000-0002-2369-1567</t>
  </si>
  <si>
    <t>National Natural Science Foundation of China [71902169]; Hong Kong Polytechnic University Start-up Fund [1-BE1X]</t>
  </si>
  <si>
    <t>National Natural Science Foundation of China(National Natural Science Foundation of China (NSFC)); Hong Kong Polytechnic University Start-up Fund</t>
  </si>
  <si>
    <t>The authors acknowledge the support of research funds from the National Natural Science Foundation of China (71902169) and The Hong Kong Polytechnic University Start-up Fund (Project No. 1-BE1X).</t>
  </si>
  <si>
    <t>APR 1</t>
  </si>
  <si>
    <t>10.1108/IJCHM-03-2019-0263</t>
  </si>
  <si>
    <t>LF9JQ</t>
  </si>
  <si>
    <t>WOS:000522463000001</t>
  </si>
  <si>
    <t>Moro, S; Rita, P</t>
  </si>
  <si>
    <t>Moro, Sergio; Rita, Paulo</t>
  </si>
  <si>
    <t>Brand strategies in social media in hospitality and tourism</t>
  </si>
  <si>
    <t>Social media; Brand building; Text mining; Tourism and hospitality; Literature analysis; Brand strategies</t>
  </si>
  <si>
    <t>WORD-OF-MOUTH; CONSUMER-BEHAVIOR; COMMUNITY; LOYALTY; IMPACT; ONLINE; INTERNET; TRUST; PERFORMANCE; EXTENSION</t>
  </si>
  <si>
    <t>Purpose - This paper aims to present an automated literature analysis to unveil the drivers for incorporating social media in tourism and hospitality brand strategies. Design/methodology/approach - To gather relevant literature, Google Scholar was queried with brand/branding and social media for articles in ten top-ranked tourism and hospitality journals, resulting in a total of 479 collected articles. The methodology adopted for the analysis is based on text mining and topic modeling procedures. The topics discovered are characterized by terms belonging to a dictionary previously compiled and provide a segmentation of the articles in coherent sets of the literature. Findings - Most of the 213 articles that encompass a strong relation between social media and branding are mentioning mainly brand building stages. A large research gap was found in hospitality and tourism considering that, besides advertising, no topic was discovered related to known brand strategies such as co-branding or franchising. Practical implications - The present analysis concludes that specialized tourism and hospitality literature needs to keep pace with research that is being conducted on a wide range of industries to assess the influence of social media. Originality/value - The automated analysis approach used has no precedent in tourism and hospitality research. By including an innovative topical concept map, it led to identifying and summarizing the topics, providing a clear picture on the findings. This study calls for research by specialized tourism and hospitality publications, eventually leading to special issues on this vibrant subject.</t>
  </si>
  <si>
    <t>[Moro, Sergio] ISTAR IUL, Inst Univ Lisboa ISCTE IUL, Lisbon, Portugal; [Moro, Sergio] Univ Minho, ALGORITMI Res Ctr, Guimaraes, Portugal; [Rita, Paulo] CIS IUL, Inst Univ Lisboa ISCTE IUL, Lisbon, Portugal; [Rita, Paulo] Univ Nova Lisboa, NOVA Informat Management Sch NOVA IMS, Lisbon, Portugal</t>
  </si>
  <si>
    <t>Instituto Universitario de Lisboa; Universidade do Minho; Instituto Universitario de Lisboa; Universidade Nova de Lisboa</t>
  </si>
  <si>
    <t>Moro, S (corresponding author), ISTAR IUL, Inst Univ Lisboa ISCTE IUL, Lisbon, Portugal.;Moro, S (corresponding author), Univ Minho, ALGORITMI Res Ctr, Guimaraes, Portugal.</t>
  </si>
  <si>
    <t>Moro, Sérgio/N-9124-2015; Rita, Paulo/T-2950-2017</t>
  </si>
  <si>
    <t>Moro, Sérgio/0000-0002-4861-6686; Rita, Paulo/0000-0001-6050-9958</t>
  </si>
  <si>
    <t>10.1108/IJCHM-07-2016-0340</t>
  </si>
  <si>
    <t>FV3UI</t>
  </si>
  <si>
    <t>WOS:000424495000016</t>
  </si>
  <si>
    <t>Nie, RX; Chin, KS; Tian, ZP; Wang, JQ; Zhang, HY</t>
  </si>
  <si>
    <t>Nie, Ru-xin; Chin, Kwai-sang; Tian, Zhang-peng; Wang, Jian-qiang; Zhang, Hong-yu</t>
  </si>
  <si>
    <t>Exploring dynamic effects on classifying service quality attributes under the impacts of COVID-19 with evidence from online reviews</t>
  </si>
  <si>
    <t>Dynamic effects; Attractive quality theory; Service quality; Online reviews; COVID-19 pandemic</t>
  </si>
  <si>
    <t>SATISFACTION; MODEL</t>
  </si>
  <si>
    <t>Purpose The purpose of this paper is exploring the effects of segment dynamic and temporal dynamic triggered by the COVID-19 pandemic on classifying service quality attributes, thereby formulating improvement strategies to satisfy customers and respond to threats. Design/methodology/approach Given the dynamics of the attractive quality theory, this paper designs a framework with four phases by embedding techniques of text mining and deep learning based on evidence from online reviews. Findings This paper figures out dynamics of service quality attributes for distinct segments and their dynamic proportion along with different stages of the pandemic. Another finding demonstrates segment dynamic and temporal dynamic effects of sentiments toward service quality attributes on customer satisfaction under the impacts of pandemic. Classification results and improvement strategies are derived for varying segments at different pandemic situations. Practical implications This paper reveals dynamic effects on classifying service quality attributes, which contributes to assisting hospitality practitioners from different segments in improving service quality when facing with the challenges of crisis and potential risks. Originality/value Given hospitality industry is time- and segment-sensitive, the authors achieve the quantification of dynamics of attractive quality theory and extend it into hospitality marketing and crisis management from the perspective of dynamics with evidence from online reviews.</t>
  </si>
  <si>
    <t>[Nie, Ru-xin; Tian, Zhang-peng] China Univ Min &amp; Technol, Sch Econ &amp; Management, Xuzhou, Jiangsu, Peoples R China; [Nie, Ru-xin; Wang, Jian-qiang; Zhang, Hong-yu] Cent South Univ, Sch Business, Changsha, Peoples R China; [Nie, Ru-xin; Chin, Kwai-sang] City Univ Hong Kong, Dept Adv Design &amp; Syst Engn, Hong Kong, Peoples R China</t>
  </si>
  <si>
    <t>China University of Mining &amp; Technology; Central South University; City University of Hong Kong</t>
  </si>
  <si>
    <t>Tian, ZP (corresponding author), China Univ Min &amp; Technol, Sch Econ &amp; Management, Xuzhou, Jiangsu, Peoples R China.</t>
  </si>
  <si>
    <t>zp_tian@cumt.edu.cn; hyzhang@csu.edu.cn</t>
  </si>
  <si>
    <t>Jian-qiang, Wang/B-5012-2019</t>
  </si>
  <si>
    <t>Jian-qiang, Wang/0000-0001-7668-4881; Nie, Ru-xin/0000-0001-8071-0050</t>
  </si>
  <si>
    <t>National Natural Science Foundation of China [72001204]; China Postdoctoral Science Foundation [2020M681782]</t>
  </si>
  <si>
    <t>National Natural Science Foundation of China(National Natural Science Foundation of China (NSFC)); China Postdoctoral Science Foundation(China Postdoctoral Science Foundation)</t>
  </si>
  <si>
    <t>The authors thank the editor in chief, associate editors and the anonymous referees for their insightful and constructive comments and suggestions, which have significantly improved this paper. This work was supported by the National Natural Science Foundation of China (Number 72001204) and China Postdoctoral Science Foundation (Number 2020M681782).</t>
  </si>
  <si>
    <t>10.1108/IJCHM-12-2021-1474</t>
  </si>
  <si>
    <t>7M1NF</t>
  </si>
  <si>
    <t>WOS:000842627700001</t>
  </si>
  <si>
    <t>Murtas, G; Pedeliento, G; Mangio, F; Andreini, D</t>
  </si>
  <si>
    <t>Murtas, Gabriele; Pedeliento, Giuseppe; Mangio, Federico; Andreini, Daniela</t>
  </si>
  <si>
    <t>Co-branding strategies in luxury fashion: the Off-White case</t>
  </si>
  <si>
    <t>Luxury; co-branding; fashion; luxury brands; collaborations</t>
  </si>
  <si>
    <t>SOCIAL-MEDIA ENGAGEMENT; DESIGNER LUXURY; ALLIANCES; TYPOLOGY; RARITY; IMPACT</t>
  </si>
  <si>
    <t>Increasing competition has induced brands to find ever more innovative ways to raise awareness. Among the latter, co-branding has recently become pervasive in the luxury fashion sector. Despite the growing interest in co-branding, no study to date has examined how luxury fashion brands can strategically combine different types of co-branding and the amount of media visibility that they can gain by means of these brand alliances. Drawing on both case study analysis and automated text analysis, this paper on the longitudinal case of the luxury fashion brand Off-White offers important managerial implication. It shows that, to create a successful co-branding portfolio, luxury brands should initially collaborate with renowned brands in the same target market, and only later with brands operating in other sectors. This study also reports empirical findings with which to understand what are the most suitable forms of co-branding to pursue to increase media visibility and consumers' engagement in social media.</t>
  </si>
  <si>
    <t>[Murtas, Gabriele; Pedeliento, Giuseppe; Mangio, Federico; Andreini, Daniela] Univ Bergamo, Dept Management, Bergamo, Italy</t>
  </si>
  <si>
    <t>Pedeliento, G (corresponding author), Univ Bergamo, Dept Management, Bergamo, Italy.</t>
  </si>
  <si>
    <t>MURTAS, Gabriele/0000-0003-3325-5483</t>
  </si>
  <si>
    <t>10.1080/0965254X.2022.2160484</t>
  </si>
  <si>
    <t>7H1PR</t>
  </si>
  <si>
    <t>WOS:000902982100001</t>
  </si>
  <si>
    <t>Rossetti, CL; Handfield, R; Dooley, KJ</t>
  </si>
  <si>
    <t>Rossetti, Christian L.; Handfield, Robert; Dooley, Kevin J.</t>
  </si>
  <si>
    <t>Forces, trends, and decisions in pharmaceutical supply chain management</t>
  </si>
  <si>
    <t>INTERNATIONAL JOURNAL OF PHYSICAL DISTRIBUTION &amp; LOGISTICS MANAGEMENT</t>
  </si>
  <si>
    <t>Biopharmaceutical; Supply chain; Intermediaries; Supply chain regulation; Distribution strategy; Supply chain management</t>
  </si>
  <si>
    <t>INVENTORY SYSTEM; LOGISTICS; FRAMEWORK; OPPORTUNITIES; COMPETITION; COMPLEXITY; STRATEGIES; OPERATIONS; NETWORKS; DYNAMICS</t>
  </si>
  <si>
    <t>Purpose - The purpose of this paper is to identify and examine the major forces that are changing the way biopharmaceutical medications are purchased, distributed, and sold throughout the supply chain. This will become important as healthcare reform moves forward, and logistics will be transformed in this industry. Design/methodology/approach - Multiple interviews with key informants at each level of the value chain were combined with manifest text analysis from practitioner articles to derive key insights into the primary change drivers influencing the future of the biopharmaceutical supply chain. Findings - The research discovered radical shifts in the structure of the biopharmaceutical supply chain. Future research into biopharmaceutical supply chain practices will need to explore three primary issues: How will supply chain member compensation influence the power of parties within the network? How will the role of supply chain intermediaries change the landscape of medication delivery to the end customer? What impact will the role of regulatory constraints on product pedigree and proliferation have on this network? The relationship between these forces is mediated by operations strategy concerning inventory policy, supply chain visibility, and desired service levels. Research limitations/implications - The research was based on multiple interviews with a convenience sample, as well as text analysis from practitioner articles. These findings are an initial step to guide future more in-depth research for this dynamic and contextually rich supply chain environment that impacts consumers in every country in the world. Originality/value - The paper adds insights into the pharmaceutical supply chain, examining this from multiple perspectives.</t>
  </si>
  <si>
    <t>[Rossetti, Christian L.; Handfield, Robert] N Carolina State Univ, Coll Management, Raleigh, NC 27695 USA; [Dooley, Kevin J.] Arizona State Univ, WP Carey Sch Business, Phoenix, AZ USA</t>
  </si>
  <si>
    <t>North Carolina State University; Arizona State University; Arizona State University-Downtown Phoenix</t>
  </si>
  <si>
    <t>Rossetti, CL (corresponding author), N Carolina State Univ, Coll Management, Raleigh, NC 27695 USA.</t>
  </si>
  <si>
    <t>christian_rossetti@ncsu.edu</t>
  </si>
  <si>
    <t>Handfield, Robert B/D-3200-2015; Handfield, Robert/ADX-9687-2022</t>
  </si>
  <si>
    <t>Handfield, Robert B/0000-0003-3895-1955; Rossetti, Christian/0000-0002-9267-5990</t>
  </si>
  <si>
    <t>0960-0035</t>
  </si>
  <si>
    <t>1758-664X</t>
  </si>
  <si>
    <t>INT J PHYS DISTR LOG</t>
  </si>
  <si>
    <t>Int. J. Phys. Distrib. Logist. Manag.</t>
  </si>
  <si>
    <t>10.1108/09600031111147835</t>
  </si>
  <si>
    <t>816HD</t>
  </si>
  <si>
    <t>WOS:000294588400008</t>
  </si>
  <si>
    <t>Balvers, RJ; Gaski, JF; McDonald, B</t>
  </si>
  <si>
    <t>Balvers, Ronald J.; Gaski, John F.; McDonald, Bill</t>
  </si>
  <si>
    <t>Financial Disclosure and Customer Satisfaction: Do Companies Talking the Talk Actually Walk the Walk?</t>
  </si>
  <si>
    <t>American Customer Satisfaction Index; Business ethics; Customer satisfaction; Financial disclosure; Signaling; 10-K; Textual analysis</t>
  </si>
  <si>
    <t>PRODUCT PERFORMANCE; CONSUMER SENTIMENT; TEXTUAL ANALYSIS; ATTITUDES; ETHICS; INDEX</t>
  </si>
  <si>
    <t>Using the emerging technology of large-scale textual analysis, this study examines the use of the term 'customer satisfaction' and its variants in the annual reports issued by publicly traded U.S. corporations and filed with the Securities and Exchange Commission as Form 10-K. We document the frequency of the term's occurrence in 10-Ks over the 1995-2013 period and the differences in usage across industries. We then relate the term's usage in 10-Ks to subsequent scores from the American Customer Satisfaction Index (ACSI) to determine whether management's discussion of customer satisfaction in financial disclosures is credible. The commitment of management to shareholders versus, more broadly, stakeholders is a central question in business ethics, and the integrity of management communication is a fundamental construct in the American Marketing Association's Statement of Ethics. We document a complex relation between management's discussion of customer satisfaction and subsequently reported satisfaction. We find that the general use of customer satisfaction (and similar terms) in 10-K documents is negatively correlated with subsequent ACSI scores. However, for retail firms, when the phrase is located near words indicating measurement or monitoring of the phenomenon, the empirical relation is reversed and becomes positive.</t>
  </si>
  <si>
    <t>[Balvers, Ronald J.] McMaster Univ, Hamilton, ON L8S 4M4, Canada; [Gaski, John F.; McDonald, Bill] Univ Notre Dame, Notre Dame, IN 46556 USA</t>
  </si>
  <si>
    <t>McMaster University; University of Notre Dame</t>
  </si>
  <si>
    <t>Gaski, JF (corresponding author), Univ Notre Dame, Notre Dame, IN 46556 USA.</t>
  </si>
  <si>
    <t>balvers@mcmaster.ca; jgaski@nd.edu; mcdonald.1@nd.edu</t>
  </si>
  <si>
    <t>McDonald, Bill/A-9795-2017; Gaski, John/AAJ-6180-2021; Gaski, John F/V-2580-2018; Balvers, Ronald/AAT-5976-2021</t>
  </si>
  <si>
    <t>McDonald, Bill/0000-0002-6142-5681; Gaski, John/0000-0003-2809-0602; Gaski, John F/0000-0003-2809-0602; Balvers, Ronald/0000-0002-5285-6084</t>
  </si>
  <si>
    <t>10.1007/s10551-015-2612-6</t>
  </si>
  <si>
    <t>WOS:000387284300003</t>
  </si>
  <si>
    <t>Orea-Giner, A; Guerrero, TV</t>
  </si>
  <si>
    <t>Orea-Giner, Alicia; Guerrero, Trinidad Vacas</t>
  </si>
  <si>
    <t>Textual analysis as a method of identifying museum attributes perceived by tourists: An exploratory analysis of Thyssen-Bornemisza National Museum in Spain</t>
  </si>
  <si>
    <t>ESIC MARKET</t>
  </si>
  <si>
    <t>Cultural tourism; Textual analysis; Visitor experience; Attributes; Thyssen-Bornemisza National Museum</t>
  </si>
  <si>
    <t>EXPERIENCE; VISITOR; PERCEPTIONS; PERFORMANCE; SATISFACTION; CREDIBILITY; ANALYTICS; REVIEWS; CHOICE; IMAGE</t>
  </si>
  <si>
    <t>Objective: The identification of museum attributes is essential when analysing the different factors that attract visitors and studying it in order to improve efficiency in museums, as this could affect the use of funds for developing a marketing campaign to attract visitors. This paper offers a literature review that considers museum visits and museum attributes before proposing a methodology. Methodology: The use of big data applied to tourism research is vital, as it allows for the consideration of the opinions of museum visitors. The case study in this paper is the Thyssen-Bornemisza National Museum in Madrid, Spain. The method for identifying the attributes consists of a textual analysis of TripAdvisor reviews written in English (2500) and Spanish (2500). The information is captured using WebHarvy and is analysed using Nvivo12. Results: After analysing the thousand words that were used most frequently, the main attributes were detected, as well as whether the perception of these attributes was positive or negative. The museum's location and the building itself were the most highly valued attributes. Other attributes that were valued positively were the peripheral services of the museum, such as its food and beverage services. Limitations: The main limitation is that TripAdvisor is not an entirely reliable source of information, so it will be necessary to obtain more reviews to analyse. Practical implications: The identification of attributes allows for improved decision making, as well as facilitating a better understanding of the museum's visitors' perceptions. Being aware of these aspects enables the modification of the museum's services through proposals for changes and improvements.</t>
  </si>
  <si>
    <t>[Orea-Giner, Alicia] Univ Rey Juan Carlos, Social Sci Fac, Mkt &amp; Market Res, Paseo Artilleros S-N, Madrid 28032, Spain; [Orea-Giner, Alicia] Univ Paris 1 Pantheon Sorbonne, EIREST, Mkt &amp; Market Res, 21 Rue Broca, F-75005 Paris, France; [Guerrero, Trinidad Vacas] Univ Rey Juan Carlos, Social Sci Fac, Human Geog, Paseo Artilleros S-N, Madrid 28032, Spain</t>
  </si>
  <si>
    <t>Universidad Rey Juan Carlos; Universidad Rey Juan Carlos</t>
  </si>
  <si>
    <t>Orea-Giner, A (corresponding author), Univ Rey Juan Carlos, Social Sci Fac, Mkt &amp; Market Res, Paseo Artilleros S-N, Madrid 28032, Spain.;Orea-Giner, A (corresponding author), Univ Paris 1 Pantheon Sorbonne, EIREST, Mkt &amp; Market Res, 21 Rue Broca, F-75005 Paris, France.</t>
  </si>
  <si>
    <t>alicia.orea@urjc.es; trinidad.vacas@urjc.es</t>
  </si>
  <si>
    <t>Vacas-Guerrero, Trinidad/ABE-9367-2021; Orea-Giner, Alicia/AAZ-5581-2020</t>
  </si>
  <si>
    <t>Vacas-Guerrero, Trinidad/0000-0002-7555-0985; Orea-Giner, Alicia/0000-0001-8198-8169</t>
  </si>
  <si>
    <t>ESCUELA SUPERIOR GESTION COMERCIAL &amp; MARKETING</t>
  </si>
  <si>
    <t>MADRID</t>
  </si>
  <si>
    <t>AVE VALDENIGRALES, S-N, POZUELO ALARCON, MADRID, 28223, SPAIN</t>
  </si>
  <si>
    <t>0212-1867</t>
  </si>
  <si>
    <t>1989-3574</t>
  </si>
  <si>
    <t>ESIC MARK</t>
  </si>
  <si>
    <t>ESIC Mark.</t>
  </si>
  <si>
    <t>10.7200/esicm.167.0513.2</t>
  </si>
  <si>
    <t>OI3IY</t>
  </si>
  <si>
    <t>WOS:000583177900002</t>
  </si>
  <si>
    <t>Filieri, R; D'Amico, E; Destefanis, A; Paolucci, E; Raguseo, E</t>
  </si>
  <si>
    <t>Filieri, Raffaele; D'Amico, Elettra; Destefanis, Alessandro; Paolucci, Emilio; Raguseo, Elisabetta</t>
  </si>
  <si>
    <t>Artificial intelligence (AI) for tourism: an European-based study on successful AI tourism start-ups</t>
  </si>
  <si>
    <t>Artificial intelligence; Digital entrepreneurship; Tourism entrepreneurship; Start-up; AI technological domain; Tourism supply chain</t>
  </si>
  <si>
    <t>DIGITAL ENTREPRENEURSHIP; PLACE IDENTITY; CO-CREATION; PERFORMANCE; TECHNOLOGY; BUSINESS; ROBOTS; FOUNDATIONS; HOSPITALITY; INNOVATION</t>
  </si>
  <si>
    <t>Purpose The travel and tourism industry (TTI) could benefit the most from artificial intelligence (AI), which could reshape this industry. This study aims to explore the characteristics of tourism AI start-ups, the AI technological domains financed by Venture Capitalists (VCs), and the phases of the supply chain where the AI domains are in high demand. Design/methodology/approach This study developed a database of the European AI start-ups operating in the TTI from the Crunchbase database (2005-2020). The authors used start-ups as the unit of analysis as they often foster radical change. The authors complemented quantitative and qualitative methods. Findings AI start-ups have been mainly created by male Science, Technology, Engineering and Mathematics graduates between 2015 and 2017. The number of founders and previous study experience in non-start-up companies was positively related to securing a higher amount of funding. European AI start-ups are concentrated in the capital town of major tourism destinations (France, UK and Spain). The AI technological domains that received more funding from VCs were Learning, Communication and Services (i.e. big data, machine learning and natural language processing), indicating a strong interest in AI solutions enabling marketing automation, segmentation and customisation. Furthermore, VC-backed AI solutions focus on the pre-trip and post-trip. Originality/value To the best of the authors' knowledge, this is the first study focussing on digital entrepreneurship, specifically VC-backed AI start-ups operating in the TTI. The authors apply, for the first time, a mixed-method approach in the study of tourism entrepreneurship.</t>
  </si>
  <si>
    <t>[Filieri, Raffaele] Audencia Business Sch, Mkt Dept, Nantes, France; [D'Amico, Elettra; Destefanis, Alessandro; Paolucci, Emilio; Raguseo, Elisabetta] Politecn Torino, Dept Management &amp; Prod Engn, Turin, Italy</t>
  </si>
  <si>
    <t>Audencia; Polytechnic University of Turin</t>
  </si>
  <si>
    <t>Filieri, R (corresponding author), Audencia Business Sch, Mkt Dept, Nantes, France.</t>
  </si>
  <si>
    <t>raffaele.filieri@audencia.com</t>
  </si>
  <si>
    <t>Paolucci, Emilio/AFD-5843-2022; Filieri, Raffaele/AAK-2553-2021</t>
  </si>
  <si>
    <t>Paolucci, Emilio/0000-0003-1249-8179; D'Amico, Elettra/0000-0002-3938-7623; Filieri, Raffaele/0000-0002-3534-8547; DESTEFANIS, ALESSANDRO/0000-0002-9833-752X</t>
  </si>
  <si>
    <t>NOV 17</t>
  </si>
  <si>
    <t>10.1108/IJCHM-02-2021-0220</t>
  </si>
  <si>
    <t>WZ8AN</t>
  </si>
  <si>
    <t>WOS:000711125300001</t>
  </si>
  <si>
    <t>Wu, J; Zhao, HC; Chen, H</t>
  </si>
  <si>
    <t>Wu, Ji; Zhao, Haichuan; Chen, Haipeng (Allan)</t>
  </si>
  <si>
    <t>Coupons or Free Shipping? Effects of Price Promotion Strategies on Online Review Ratings</t>
  </si>
  <si>
    <t>coupon; free shipping; online consumer reviews; temporal distance; construal level; perceptions of monetary savings; perceived product quality</t>
  </si>
  <si>
    <t>WORD-OF-MOUTH; CONSTRUAL-LEVEL THEORY; CONSUMER PREFERENCES; PRODUCT REVIEWS; SALES PROMOTION; INFORMATION; PERCEPTIONS; MULTIPLE; IMPACT; ENDOGENEITY</t>
  </si>
  <si>
    <t>Price promotions can be implemented by either discounting a product's base price (e.g., offering a coupon) or reducing one of its surcharges (e.g., free shipping). This study examines how the two prevalent price promotion strategies affect online review ratings differently as a function of the temporal distance between purchase and review. Drawing upon the framing literature and construal level theory, we argue that whereas free shipping should increase review ratings regardless of temporal distance, coupons should increase review ratings through perceptions of monetary savings when temporal distance is close but decrease review ratings through low perceive product quality when temporal distance is far. Consistent with this argument, our analysis of online consumer reviews from an e-commerce website matched with actual transactional data finds that coupons have a positive effect on review ratings in the short run but a negative effect in the long run. In contrast, free shipping has a consistently positive effect on review ratings over time. A text-mining analysis of the review contents reveals patterns that are consistent with the proposed underlying mechanisms. We then conduct two laboratory experiments that manipulate temporal distance and construal level respectively with real spending and consumptions to provide convergent evidence for the differential effects of coupon versus free shipping on review ratings over time and additionally demonstrate the underlying processes due to perceptions of monetary savings and perceived product quality.</t>
  </si>
  <si>
    <t>[Wu, Ji] Sun Yat Sen Univ, Business Sch, Dept Management Sci, Guangzhou 510275, Guangdong, Peoples R China; [Zhao, Haichuan] Shandong Univ, Sch Management, Dept Mkt, Jinan 250100, Peoples R China; [Chen, Haipeng (Allan)] Univ Kentucky, Gatton Coll Business &amp; Econ, Dept Mkt &amp; Supply Chain, Lexington, KY 40506 USA</t>
  </si>
  <si>
    <t>Sun Yat Sen University; Shandong University; University of Kentucky</t>
  </si>
  <si>
    <t>Zhao, HC (corresponding author), Shandong Univ, Sch Management, Dept Mkt, Jinan 250100, Peoples R China.</t>
  </si>
  <si>
    <t>wuji3@mail.sysu.edu.cn; zhhc@sdu.edu.cn; allanchen@uky.edu</t>
  </si>
  <si>
    <t>National Natural Science Foundation of China [72071218, 71601190, 71902104, 71832014]</t>
  </si>
  <si>
    <t>This research is partially supported by the National Natural Science Foundation of China [Grants 72071218, 71601190, 71902104, and 71832014].</t>
  </si>
  <si>
    <t>10.1287/isre.2020.0987</t>
  </si>
  <si>
    <t>SU0WI</t>
  </si>
  <si>
    <t>WOS:000662862000019</t>
  </si>
  <si>
    <t>Mathies, C; Burford, M</t>
  </si>
  <si>
    <t>Mathies, Christine; Burford, Marion</t>
  </si>
  <si>
    <t>Customer service understanding: gender differences of frontline employees</t>
  </si>
  <si>
    <t>MANAGING SERVICE QUALITY</t>
  </si>
  <si>
    <t>Frontline service employees; Customer service; Customer orientation; Gender; Employee attitudes; Service industries</t>
  </si>
  <si>
    <t>PERCEPTIONS; ORIENTATION; MEN</t>
  </si>
  <si>
    <t>Purpose - Despite widespread acknowledgement of the importance of employees to the success of service firms, research into how well frontline service staff understand service remains scarce. This study aims to investigate what constitutes good customer service from the viewpoint of frontline service employees and to explore gender differences in particular. Design/methodology/approach - The data were collected from 876 frontline employees across a wide range of service industries. An automated text analysis using Leximancer explored general and gender-specific patterns in employees' customer service understanding. Findings - Irrespective of gender, frontline service staff share the perception that the pillars of good customer service are listening skills, making the customer happy, and offering service. Males have a more functional, outcome-oriented interpretation of customer service; females focus more on the actual service interaction and emotional outcomes. Practical implications - By acknowledging gender-based dissimilarities in the customer service understanding of frontline service employees, the efficiency of recruitment and training processes will be enhanced. Originality/value - This study contributes to limited work on service models of frontline staff and shows that gender can explain some differences. This study also adds another dimension to the understanding of gender effects in services, beyond its influence on customers' quality perceptions and behaviours. The results are important for services marketing research and for managers in charge of recruiting and training frontline service staff.</t>
  </si>
  <si>
    <t>[Mathies, Christine; Burford, Marion] Univ New S Wales, Australian Sch Business, Sch Mkt, Sydney, NSW, Australia</t>
  </si>
  <si>
    <t>University of New South Wales Sydney</t>
  </si>
  <si>
    <t>Mathies, C (corresponding author), Univ New S Wales, Australian Sch Business, Sch Mkt, Sydney, NSW, Australia.</t>
  </si>
  <si>
    <t>m.burford@unsw.edu.au</t>
  </si>
  <si>
    <t>0960-4529</t>
  </si>
  <si>
    <t>1758-8030</t>
  </si>
  <si>
    <t>MANAG SERV QUAL</t>
  </si>
  <si>
    <t>Manag. Serv. Qual.</t>
  </si>
  <si>
    <t>10.1108/09604521111185628</t>
  </si>
  <si>
    <t>873PN</t>
  </si>
  <si>
    <t>WOS:000298895400005</t>
  </si>
  <si>
    <t>Gomes, RF; Casais, B</t>
  </si>
  <si>
    <t>Gomes, Rita Ferreira; Casais, Beatriz</t>
  </si>
  <si>
    <t>Feelings generated by threat appeals in social marketing: text and emoji analysis of user reactions to anorexia nervosa campaigns in social media</t>
  </si>
  <si>
    <t>Threat appeals; Emoji analysis; Social media text analysis; Anorexia campaigns; Sentiment analysis</t>
  </si>
  <si>
    <t>SENTIMENT ANALYSIS; PUBLIC-HEALTH; FEAR APPEALS; ADVERTISEMENTS; INDIVIDUALS; FRAMEWORK; DISGUST; SHAME; GUILT</t>
  </si>
  <si>
    <t>Threat appeals in social marketing have been widely researched regarding their effects in behaviour change. However, little is known about their emotional effects in individuals. Feelings generated by threat appeals have proved to be ambiguous. Considering that understanding the emotional effects of message frames has implications in long-term behaviour change, this paper aims at understanding the feelings generated by threat appeals, considering the inconsistent findings in the literature. The research analyses the feelings produced by threat appeals in two social networks - Facebook and YouTube. A sentiment analysis of forty non-governmental campaigns regarding anorexia nervosa awareness was conducted through two methodological forms. First, we have analysed the content of the comments made by users by text analysis; second, we have coded the emoji expressing feelings from the users in the same campaigns and have quantified their interactions. Results indicate that feelings generated by threat appeals regarding anorexia nervosa campaigns in social media may be both positive and negative, with a great expression of fear, sadness and empathy, corroborating the ambiguous findings. Positive feelings are most prominent in emoji and reveal support, compassion and admiration both for campaign messages and for people suffering from anorexia. Negative feelings, such as fear and sadness, arise especially as a consequence of awareness and concerns. The paper contributes to the discussion of this ambivalent topic of research and also experiments two different sentiment analysis techniques text and emoji analysis -, with different result outcomes.</t>
  </si>
  <si>
    <t>[Gomes, Rita Ferreira; Casais, Beatriz] Univ Minho, Sch Econ &amp; Management, Campus Gualtar, P-4710057 Braga, Portugal; [Casais, Beatriz] Polytech Inst Cavado &amp; Ave, Barcelos, Portugal; [Casais, Beatriz] IPAM Porto, Porto, Portugal; [Casais, Beatriz] CiTUR, Leiria, Portugal</t>
  </si>
  <si>
    <t>Universidade do Minho; Instituto Politecnico do Cavado e do Ave - IPCA</t>
  </si>
  <si>
    <t>Casais, B (corresponding author), Univ Minho, Sch Econ &amp; Management, Campus Gualtar, P-4710057 Braga, Portugal.;Casais, B (corresponding author), Polytech Inst Cavado &amp; Ave, Barcelos, Portugal.;Casais, B (corresponding author), IPAM Porto, Porto, Portugal.;Casais, B (corresponding author), CiTUR, Leiria, Portugal.</t>
  </si>
  <si>
    <t>anaritafgomes@gmail.com; bcasais@eeg.uminho.pt</t>
  </si>
  <si>
    <t>Casais, Beatriz/C-5475-2014</t>
  </si>
  <si>
    <t>Casais, Beatriz/0000-0002-7626-0509</t>
  </si>
  <si>
    <t>10.1007/s12208-018-0215-5</t>
  </si>
  <si>
    <t>VL8DL</t>
  </si>
  <si>
    <t>WOS:000913836200008</t>
  </si>
  <si>
    <t>Donze, PY; Smith, A</t>
  </si>
  <si>
    <t>Donze, Pierre-Yves; Smith, Andrew</t>
  </si>
  <si>
    <t>Varieties of capitalism and the corporate use of history: the Japanese experience</t>
  </si>
  <si>
    <t>MANAGEMENT &amp; ORGANIZATIONAL HISTORY</t>
  </si>
  <si>
    <t>Corporate history; rhetorical history; varieties of capitalism; Japan; bibliometric research</t>
  </si>
  <si>
    <t>RHETORICAL HISTORY; HERITAGE BRANDS; MANAGEMENT; MEMORY; LABOR; ORGANIZATION; STRATEGIES; NARRATIVES; INVENTION; FAMILY</t>
  </si>
  <si>
    <t>Scholarly works on rhetorical history have inspired the production of an extensive body of research on how firms use history. However, the existing research is based on the experience of firms in a handful of Western countries. Our mixed-methods paper examines the use of history by Japanese firms so that we can see how history is used in a very different institutional and cultural context. The paper operationalizes the comparative capitalism approach. For more than a century, Japanese firms have invested extensively in celebratory corporate histories called shashi. The paper is based on bibliometric and interview data as well as the close textual analysis of shashi from various decades. We show that until recently the main function of shashi was to inspire loyalty on the part of workers. We argue that the post-2000 decline in shashi production is primarily a function of profound changes in the nature of the Japanese variety of capitalism. The relation between the change in governance and the use of corporate history is revealed by the new style of consumer-focused shashi that has emerged since 2000.</t>
  </si>
  <si>
    <t>[Donze, Pierre-Yves] Osaka Univ, Grad Sch Econ, 1-7 Machikaneyama, Toyonaka, Osaka 5600043, Japan; [Smith, Andrew] Univ Liverpool, Management Sch, Liverpool, Merseyside, England</t>
  </si>
  <si>
    <t>Osaka University; University of Liverpool</t>
  </si>
  <si>
    <t>Donze, PY (corresponding author), Osaka Univ, Grad Sch Econ, 1-7 Machikaneyama, Toyonaka, Osaka 5600043, Japan.</t>
  </si>
  <si>
    <t>donze@econ.osaka-u.ac.jp</t>
  </si>
  <si>
    <t>Donzé, Pierre-Yves/Z-2029-2019</t>
  </si>
  <si>
    <t>Donze, Pierre-Yves/0000-0003-2854-5531; Smith, Andrew/0000-0002-8589-7608</t>
  </si>
  <si>
    <t>1744-9359</t>
  </si>
  <si>
    <t>1744-9367</t>
  </si>
  <si>
    <t>MANAG ORGAN HIST</t>
  </si>
  <si>
    <t>Manag. Organ. Hist.</t>
  </si>
  <si>
    <t>10.1080/17449359.2018.1547648</t>
  </si>
  <si>
    <t>History; History Of Social Sciences; Management</t>
  </si>
  <si>
    <t>History; Social Sciences - Other Topics; Business &amp; Economics</t>
  </si>
  <si>
    <t>HI9RB</t>
  </si>
  <si>
    <t>WOS:000456794200003</t>
  </si>
  <si>
    <t>Lee, HA; Choi, AA; Sun, T; Oh, W</t>
  </si>
  <si>
    <t>Lee, Heeseung Andrew; Choi, Angela Aerry; Sun, Tianshu; Oh, Wonseok</t>
  </si>
  <si>
    <t>Reviewing Before Reading? An Empirical Investigation of Book-Consumption Patterns and Their Effects on Reviews and Sales</t>
  </si>
  <si>
    <t>digital content consumption; consumption rate; incomplete consumption; information good; online review; review quality</t>
  </si>
  <si>
    <t>WORD-OF-MOUTH; SELF-SELECTION; ONLINE REVIEWS; PRODUCT; DISCONFIRMATION; HELPFULNESS; RATINGS; USER; CONSEQUENCES; SATISFACTION</t>
  </si>
  <si>
    <t>Over the past decades, research on online book reviews has inundated academic circles with numerous theoretical reflections and empirical manifestations aimed at explaining the effects of such resources on business performance. Yet, these studies succumbed to the conventional pitfall of assuming that consumers write reviews only after they fully read the book that they purchased. A recent industry report revealed that although many individuals initiate book reading, only a few finish them. With these considerations in mind, we investigated how consumers' book-consumption patterns affect their review behaviors and how reviews generated from incomplete consumption influence subsequent sales. We used expectation confirmation theory (ECT) as a theoretical foundation to elaborate on the review behaviors of consumers at various stages of their e-book consumption. On the basis of ECT, we argue that customers can submit reviews not necessarily after full consumption, but at any point during this trajectory, and even when consumption has yet to take place. Consumption patterns were traced and captured from records of reading activities on e-book devices and apps. Our results indicate that a considerable number of consumers provide positive reviews even before initiating reading or after progressing up to an extremely early section of a book. In addition, the relationship between review valence and completion rate can be characterized as a U-shaped pattern, given that reviews arising from negative disconfirmations occur more frequently than those emerging out of positive disconfirmations. The findings also uncover that customers occupying the extreme ends of the completion continuum provide less extreme review ratings. The effect of completion rate on review length is significantly positive. Our text-analysis results suggest that reviews based on sufficient consumption contain more useful insights than do those grounded in incomplete consumption. Moreover, review comments formed after incomplete consumption adversely affect subsequent sales. Finally, we discuss a number of our findings' implications and provide actionable recommendations that can aid platforms in their efforts to refine their online-review systems and policies in pursuit of enhanced credibility in peer evaluation.</t>
  </si>
  <si>
    <t>[Lee, Heeseung Andrew; Oh, Wonseok] Korea Adv Inst Sci &amp; Technol, Coll Business, Seoul 02455, South Korea; [Choi, Angela Aerry] Florida State Univ, Coll Business, Tallahassee, FL 32306 USA; [Sun, Tianshu] Univ Southern Calif, Marshall Sch Business, Los Angeles, CA 90089 USA</t>
  </si>
  <si>
    <t>Korea Advanced Institute of Science &amp; Technology (KAIST); State University System of Florida; Florida State University; University of Southern California</t>
  </si>
  <si>
    <t>Choi, AA (corresponding author), Florida State Univ, Coll Business, Tallahassee, FL 32306 USA.</t>
  </si>
  <si>
    <t>bsh01250@kaist.ac.kr; aachoi@fsu.edu; tianshus@marshall.usc.edu; wonseok.oh@kaist.ac.kr</t>
  </si>
  <si>
    <t>Lee, Heeseung Andrew/0000-0002-9959-6398; Oh, Wonseok/0000-0002-8123-1382; Choi, Angela Aerry/0000-0003-3027-0514; Sun, Tianshu/0000-0002-9786-044X</t>
  </si>
  <si>
    <t>10.1287/isre.2021.1029</t>
  </si>
  <si>
    <t>YJ0BT</t>
  </si>
  <si>
    <t>WOS:000708975300001</t>
  </si>
  <si>
    <t>Wattanacharoensil, W; Schuckert, M; Graham, A; Dean, A</t>
  </si>
  <si>
    <t>Wattanacharoensil, Walanchalee; Schuckert, Markus; Graham, Anne; Dean, Alison</t>
  </si>
  <si>
    <t>An analysis of the airport experience from an air traveler perspective</t>
  </si>
  <si>
    <t>Airport; Service; Tourism; Experience; Destination</t>
  </si>
  <si>
    <t>CUSTOMER EXPERIENCE; SERVICE EXPERIENCE; TOURISM EXPERIENCES; DOMINANT LOGIC</t>
  </si>
  <si>
    <t>This study investigates the nature of airport experience (AE) from the perspective of air travelers. This study elaborates experiential components within the airport context and highlights the associations among the components of this experience through text analysis. This study also aims to clarify how air travelers perceive airports in relation to destinations. The analysis of passenger reviews on Skytrax indicates that AE differs from the concepts of customer and tourist experiences, because hedonic and aesthetic consumptions are not primarily associated with the memorable feelings of consumers and tourists, but with aspects of functional experience and service personnel. This study reviews three aspects that air travelers associate airports with a destination. First, an airport is a representative of a destination. Second, an airport exhibits the positive characteristics of a destination. Finally, an airport is perceived as an internal component of tourism experience. This study provides theoretical and managerial implications for airport and tourism industries. (C) 2017 The Authors.</t>
  </si>
  <si>
    <t>[Wattanacharoensil, Walanchalee] Mahidol Univ, Tourism &amp; Hospitality Management Div, Int Coll, 999 Bhuthamonthon Sai 4 Rd, Salaya 73170, Nakhon Pathom, Thailand; [Schuckert, Markus] Hong Kong Polytech Univ, Sch Hotel &amp; Tourism Management, 17 Sci Museum Rd,TST East, Kowloon, Peoples R China; [Graham, Anne] Univ Westminster, Ctr Tourism Res, Fac Architecture &amp; Built Environm, 35 Marylebone Rd, London NW1 5LS, England; [Dean, Alison] Univ Newcastle, Fac Business &amp; Law Mkt, Callaghan, NSW 2308, Australia</t>
  </si>
  <si>
    <t>Mahidol University; Hong Kong Polytechnic University; University of Westminster; University of Newcastle</t>
  </si>
  <si>
    <t>Wattanacharoensil, W (corresponding author), Mahidol Univ, Tourism &amp; Hospitality Management Div, Int Coll, 999 Bhuthamonthon Sai 4 Rd, Salaya 73170, Nakhon Pathom, Thailand.</t>
  </si>
  <si>
    <t>walanchale.wat@mahidol.ac.th; markus.schuckert@polyu.edu.hk; A.Graham@westminster.ac.uk; alison.dean@newcastle.edu.au</t>
  </si>
  <si>
    <t>Wattanacharoensil, Walanchalee/GOE-6250-2022; Schuckert, Markus/F-1166-2014; Wattanacharoensil, Walanchalee/Y-5505-2019</t>
  </si>
  <si>
    <t>Schuckert, Markus/0000-0003-1912-8672; Dean, Alison/0000-0002-9780-7921; Wattanacharoensil, Walanchalee/0000-0003-2242-7622; Graham, Anne/0000-0003-0978-8781</t>
  </si>
  <si>
    <t>Mahidol University International College, Thailand</t>
  </si>
  <si>
    <t>The authors received funding support for this research from Mahidol University International College, Thailand.</t>
  </si>
  <si>
    <t>10.1016/j.jhtm.2017.06.003</t>
  </si>
  <si>
    <t>FN6AV</t>
  </si>
  <si>
    <t>WOS:000416093700013</t>
  </si>
  <si>
    <t>Hu, N; Zhang, T; Gao, BJ; Bose, I</t>
  </si>
  <si>
    <t>Hu, Nan; Zhang, Ting; Gao, Baojun; Bose, Indranil</t>
  </si>
  <si>
    <t>What do hotel customers complain about? Text analysis using structural topic model</t>
  </si>
  <si>
    <t>Online hotel reviews; Customer dissatisfaction; Structural topic model; Text mining; Tripadvisor</t>
  </si>
  <si>
    <t>WORD-OF-MOUTH; ONLINE REVIEWS; SOCIAL MEDIA; PRODUCT; SATISFACTION; RATINGS; IMPACT; DISSATISFACTION; PERFORMANCE; POWER</t>
  </si>
  <si>
    <t>The ability to understand the causes of customers' complaints is critical for hotels to improve their service quality, customer satisfaction, and revenue. This study adopts a novel structural topic model text analysis method to analyze 27,864 hotel reviews in New York City, and show that it leads to improved inference on consumer dissatisfaction. Our results reveal 10 topics, whose appearances in the negative reviews are substantially higher than those in the positive reviews. In addition, we investigate how customer complaints vary across different hotel grades. Results indicate that customer complaints for high-end hotels are mainly related to service issues, whereas customers of low-end hotels are frequently annoyed by facility-related problems. This research contributes to the hospitality literature by enhancing our understanding of the aspects of hotel customers' dissatisfaction through rigorous statistical analysis, their correlations, and importance for different hotel grades.</t>
  </si>
  <si>
    <t>[Hu, Nan; Zhang, Ting] Xi An Jiao Tong Univ, Sch Management, Xian 710049, Shaanxi, Peoples R China; [Gao, Baojun] Wuhan Univ, Sch Econ &amp; Management, Wuhan 430072, Hubei, Peoples R China; [Bose, Indranil] Indian Inst Management Calcutta, Diamond Harbour Rd, Kolkata 700104, India</t>
  </si>
  <si>
    <t>Xi'an Jiaotong University; Wuhan University; Indian Institute of Management (IIM System); Indian Institute of Management Calcutta</t>
  </si>
  <si>
    <t>Gao, BJ (corresponding author), Wuhan Univ, Sch Econ &amp; Management, Wuhan 430072, Hubei, Peoples R China.</t>
  </si>
  <si>
    <t>nanresume@yahoo.com; zhangting2015@stu.xjtu.edu.cn; gaobj@whu.edu.cn; bose@iimcal.ac.in</t>
  </si>
  <si>
    <t>gao, baojun/AAQ-1613-2020</t>
  </si>
  <si>
    <t>National Natural Science Foundation Program of China (NSFC) [71771182, 71772150]; Research Fund for Academic Team of Young Scholars at Wuhan University [Whu2016013]</t>
  </si>
  <si>
    <t>National Natural Science Foundation Program of China (NSFC)(National Natural Science Foundation of China (NSFC)); Research Fund for Academic Team of Young Scholars at Wuhan University</t>
  </si>
  <si>
    <t>This work is supported by the National Natural Science Foundation Program of China (NSFC) [71771182, 71772150] and Research Fund for Academic Team of Young Scholars at Wuhan University (Project No. Whu2016013).</t>
  </si>
  <si>
    <t>10.1016/j.tourman.2019.01.002</t>
  </si>
  <si>
    <t>HL4RA</t>
  </si>
  <si>
    <t>WOS:000458709600041</t>
  </si>
  <si>
    <t>Zupaniec, MA; Schafft, HA; Pieper, R; Lindemann, AK; Mader, A</t>
  </si>
  <si>
    <t>Zupaniec, Milena Alexandra; Schafft, Helmut-A.; Pieper, Robert; Lindemann, Ann-Kathrin; Mader, Anneluise</t>
  </si>
  <si>
    <t>A Conceptual Framework for the Identification of Food Safety Risks in Global Commodity Flows Exemplified by Agricultural Bulk Commodities</t>
  </si>
  <si>
    <t>OPERATIONS AND SUPPLY CHAIN MANAGEMENT-AN INTERNATIONAL JOURNAL</t>
  </si>
  <si>
    <t>logistics; agri-food; globalization; food supply chain; risk</t>
  </si>
  <si>
    <t>SUPPLY CHAIN; TRACEABILITY; LOGISTICS; SYSTEM; SUSTAINABILITY; UNCERTAINTY; MANAGEMENT; SELECTION; SECURITY; QUALITY</t>
  </si>
  <si>
    <t>Globalization of agricultural trade has led to food supply chains becoming increasingly complex. A high number and diversity of entities, processes, and localisations can create food safety risks and vulnerabilities at all stages of the food supply chain. To date, food safety measures have focused mainly on production, processing, and retail. However, the dimension of commodity flows embedded in the logistics sector, which links the main stages, has largely been neglected. The resulting knowledge gaps pose a challenge to risk assessors concerned with consumer health protection. To map the research area of global commodity flows and investigate their impact on food safety, a conceptual framework (CF) was developed using agricultural bulk commodities (ABC) as an example. The construction of the CF is based on a qualitative text analysis of multidisciplinary literature, adapted from the Grounded Theory approach. Here we determined and illustrated different levels of the main concepts inside and outside of ABC flows relevant for the investigation of logistics in terms of food safety. The main internal concepts are Key processes and Management, Key actors and Cooperation, Routes and Nodes, and their Quality and Capacity. The external concepts can be divided into Logistics-related conditions and the associated Diversity, as well as Drivers of change associated with the Dynamics of globalization. The developed CF represents a first model for holistically investigating logistics in terms of food safety by defining, structuring, and delimitating logistics as a new field of investigation in risk assessment. It offers suitable concepts and application-oriented theories related to food safety that serve as a basis for empirical studies, such as the identification of critical factors in the logistics sector. Further, it serves as an aid to practitioners in dealing with complex food safety problems in the context of risk management.</t>
  </si>
  <si>
    <t>[Zupaniec, Milena Alexandra; Schafft, Helmut-A.; Pieper, Robert; Lindemann, Ann-Kathrin; Mader, Anneluise] German Fed Inst Risk Assessment, Max Dohrn Str 8-10, D-10589 Berlin, Germany</t>
  </si>
  <si>
    <t>Federal Institute for Risk Assessment</t>
  </si>
  <si>
    <t>Zupaniec, MA (corresponding author), German Fed Inst Risk Assessment, Max Dohrn Str 8-10, D-10589 Berlin, Germany.</t>
  </si>
  <si>
    <t>Milena.Zupaniec@posteo.de; Helmut.Schafft@bfr.bund.de; Robert.Pieper@bfr.bund.de; Ann-Kathrin.Lindemann@bfr.bund.de; Anneluise.Mader@bfr.bund.de</t>
  </si>
  <si>
    <t>Pieper, Robert/0000-0002-0292-1482</t>
  </si>
  <si>
    <t>OSCM FORUM</t>
  </si>
  <si>
    <t>BALI</t>
  </si>
  <si>
    <t>OSCM FORUM, BALI, 00000, INDONESIA</t>
  </si>
  <si>
    <t>1979-3561</t>
  </si>
  <si>
    <t>2579-9363</t>
  </si>
  <si>
    <t>OPER SUPPLY CHAIN MA</t>
  </si>
  <si>
    <t>Oper. Supply Chain Manag.</t>
  </si>
  <si>
    <t>YO3FI</t>
  </si>
  <si>
    <t>WOS:000747828800007</t>
  </si>
  <si>
    <t>Shi, FF; Shi, D; Weaver, D; Chavez, CES</t>
  </si>
  <si>
    <t>Shi, Fangfang; Shi, Da; Weaver, David; Chavez, Carla Estefania Samaniego</t>
  </si>
  <si>
    <t>Adapt to not just survive but thrive: resilience strategies of five-star hotels at difficult times</t>
  </si>
  <si>
    <t>Competitiveness; Change management; Resilience; Coping strategies; Competitive productivity (CP); Five-star hotels</t>
  </si>
  <si>
    <t>TOURISM PRODUCTIVITY; TALENT MANAGEMENT; THEMATIC ANALYSIS; LUXURY HOTELS; INNOVATION; INDUSTRY; COMPETITIVENESS; PERFORMANCE; BUSINESS; CONSUMERS</t>
  </si>
  <si>
    <t>Purpose This research aims to explore the strategies and tactics taken by five-star hotels to create and sustain competitiveness at difficult times, the role of innovation among the initiatives taken and the factors that influence managers' decision in selection of coping measures. Design/methodology/approach The research was conducted in two stages. The first stage focused on textual analysis of online news reports on luxury hotels' coping strategies taken between 2013 and 2018. At the second stage, expert interviews were carried out with 25 managers of five-star hotels to obtain richer information of hotels' responsive measures. The qualitative data were analyzed by thematic analysis. Findings The results revealed that five-star hotels in China made adjustment in physical resource management, human resource management, marketing mix, operation process and external relations to maintain competitiveness during difficult times. A model of hotel resilience was developed based on the findings. Innovation was imbedded in the responsive measures throughout these areas. Managers' selection of coping measures was affected by the hotel's organizational culture, location, brand image and competitors. Practical implications The model of hotel resilience serves as a useful reference to plan and select strategies and tactics to respond to similar external challenges. Hotel managers are recommended to embrace a variety of innovations directed at both internal management and customer service during challenging times. Originality/value To the best of the authors' knowledge, this study is the first empirical research that systematically examines the measures taken by hotels during critical times to maintain competitiveness, linking these to contemporary post-Fordist operational trends.</t>
  </si>
  <si>
    <t>[Shi, Fangfang; Shi, Da] Dongbei Univ Finance &amp; Econ, Surrey Int Inst, Dalian, Peoples R China; [Weaver, David] Queensland Univ Technol, QUT Business Sch, Sch Management, Brisbane, Qld, Australia; [Chavez, Carla Estefania Samaniego] Dongbei Univ Finance &amp; Econ, Sch Tourism &amp; Hotel Management, Dalian, Peoples R China</t>
  </si>
  <si>
    <t>Dongbei University of Finance &amp; Economics; Queensland University of Technology (QUT); Dongbei University of Finance &amp; Economics</t>
  </si>
  <si>
    <t>Shi, D (corresponding author), Dongbei Univ Finance &amp; Econ, Surrey Int Inst, Dalian, Peoples R China.</t>
  </si>
  <si>
    <t>shidadufe@126.com</t>
  </si>
  <si>
    <t>Weaver, David/0000-0003-1121-0030</t>
  </si>
  <si>
    <t>SEP 15</t>
  </si>
  <si>
    <t>10.1108/IJCHM-10-2020-1194</t>
  </si>
  <si>
    <t>UQ5KN</t>
  </si>
  <si>
    <t>WOS:000663061500001</t>
  </si>
  <si>
    <t>Lin, MS; Liang, Y; Xue, JX; Pan, B; Schroeder, A</t>
  </si>
  <si>
    <t>Lin, Michael S.; Liang, Yun; Xue, Joanne X.; Pan, Bing; Schroeder, Ashley</t>
  </si>
  <si>
    <t>Destination image through social media analytics and survey method</t>
  </si>
  <si>
    <t>Tourism destination image (TDI); Survey; Social media analytics; Textual analysis; Image analysis; Machine learning</t>
  </si>
  <si>
    <t>BIG DATA; TOURISM DESTINATION; LEARNING-MODEL; DEMAND; HOSPITALITY; EXPERIENCE; REVIEWS; PHOTOS</t>
  </si>
  <si>
    <t>Purpose - Recent tourism research has adopted social media analytics (SMA) to examine tourism destination image (TDI) and gain timely insights for marketing purposes. Comparing the methodologies of SMA and intercept surveys would provide a more in-depth understanding of both methodologies and a more holistic understanding of TDI than each method on their own. This study aims to investigate the unique merits and biases of SMA and a traditional visitor intercept survey. Design/methodology/approach - This study collected and compared data for the same tourism destination from two sources: responses from a visitor intercept survey (n = 1,336) and Flickr social media photos and metadata (n = 11,775). Content analysis, machine learning and text analysis techniques were used to analyze and compare the destination image represented from both methods. Findings - The results indicated that the survey data and social media data shared major similarities in the identified key image phrases. Social media data revealed more diverse and more specific aspects of the destination, whereas survey data provided more insights in specific local landmarks. Survey data also included additional subjective judgment and attachment towards the destination. Together, the data suggested that social media data should serve as an additional and complementary source of information to traditional survey data. Originality/value - This study fills a research gap by comparing two methodologies in obtaining TDI: SMA and a traditional visitor intercept survey. Furthermore, within SMA, photo and metadata are compared to offer additional awareness of social media data's underlying complexity. The results showed the limitations of text-based image questions in surveys. The findings provide meaningful insights for tourism marketers by having a more holistic understanding of TDI through multiple data sources.</t>
  </si>
  <si>
    <t>[Lin, Michael S.] Hong Kong Polytech Univ, Sch Hotel &amp; Tourism Management, Kowloon, Hong Kong, Peoples R China; [Liang, Yun; Pan, Bing; Schroeder, Ashley] Penn State Univ, Dept Recreat Pk &amp; Tourism Management, University Pk, PA 16802 USA; [Xue, Joanne X.] Penn State Univ, Sch Hospitality Management, University Pk, PA USA</t>
  </si>
  <si>
    <t>Hong Kong Polytechnic University;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</si>
  <si>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Pan, B (corresponding author), Penn State Univ, Dept Recreat Pk &amp; Tourism Management, University Pk, PA 16802 USA.</t>
  </si>
  <si>
    <t>bup83@psu.edu</t>
  </si>
  <si>
    <t>Pan, Bing/F-4871-2012</t>
  </si>
  <si>
    <t>Pan, Bing/0000-0002-4094-2495; /0000-0001-5335-322X</t>
  </si>
  <si>
    <t>Happy Valley Adventure Bureau [208653]</t>
  </si>
  <si>
    <t>Happy Valley Adventure Bureau</t>
  </si>
  <si>
    <t>The authors would like to thank Happy Valley Adventure Bureau for supporting the visitor intercept survey project with OSP No. 208653.</t>
  </si>
  <si>
    <t>10.1108/IJCHM-08-2020-0861</t>
  </si>
  <si>
    <t>ZB7CY</t>
  </si>
  <si>
    <t>WOS:000660419600001</t>
  </si>
  <si>
    <t>Journal of Management Analytics</t>
  </si>
  <si>
    <t>zotero</t>
  </si>
  <si>
    <t>no</t>
  </si>
  <si>
    <t>on topic</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</si>
  <si>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
Data, as supplemental material, are available at https://doi.org/10.1287/mksc.2016.0993.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</si>
</sst>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AC61-E90E-477D-A67A-2B2BC364F7F2}">
  <dimension ref="A1:BW791"/>
  <sheetViews>
    <sheetView tabSelected="1" zoomScale="90" zoomScaleNormal="90" workbookViewId="0">
      <pane ySplit="1" topLeftCell="A691" activePane="bottomLeft" state="frozen"/>
      <selection pane="bottomLeft" activeCell="A692" sqref="A692"/>
    </sheetView>
  </sheetViews>
  <sheetFormatPr defaultColWidth="45.26953125" defaultRowHeight="14.5" x14ac:dyDescent="0.35"/>
  <cols>
    <col min="1" max="16384" width="45.26953125" style="1"/>
  </cols>
  <sheetData>
    <row r="1" spans="1:7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2039</v>
      </c>
      <c r="BV1" s="1" t="s">
        <v>6079</v>
      </c>
      <c r="BW1" s="1" t="s">
        <v>10654</v>
      </c>
    </row>
    <row r="2" spans="1:75" ht="29" x14ac:dyDescent="0.35">
      <c r="A2" s="1" t="s">
        <v>72</v>
      </c>
      <c r="B2" s="1" t="s">
        <v>3770</v>
      </c>
      <c r="C2" s="1" t="s">
        <v>74</v>
      </c>
      <c r="D2" s="1" t="s">
        <v>74</v>
      </c>
      <c r="E2" s="1" t="s">
        <v>74</v>
      </c>
      <c r="F2" s="1" t="s">
        <v>3770</v>
      </c>
      <c r="G2" s="1" t="s">
        <v>74</v>
      </c>
      <c r="H2" s="1" t="s">
        <v>74</v>
      </c>
      <c r="I2" s="1" t="s">
        <v>3771</v>
      </c>
      <c r="J2" s="1" t="s">
        <v>136</v>
      </c>
      <c r="K2" s="1" t="s">
        <v>74</v>
      </c>
      <c r="L2" s="1" t="s">
        <v>74</v>
      </c>
      <c r="M2" s="1" t="s">
        <v>78</v>
      </c>
      <c r="N2" s="1" t="s">
        <v>79</v>
      </c>
      <c r="O2" s="1" t="s">
        <v>74</v>
      </c>
      <c r="P2" s="1" t="s">
        <v>74</v>
      </c>
      <c r="Q2" s="1" t="s">
        <v>74</v>
      </c>
      <c r="R2" s="1" t="s">
        <v>74</v>
      </c>
      <c r="S2" s="1" t="s">
        <v>74</v>
      </c>
      <c r="T2" s="1" t="s">
        <v>74</v>
      </c>
      <c r="U2" s="1" t="s">
        <v>74</v>
      </c>
      <c r="V2" s="1" t="s">
        <v>6078</v>
      </c>
      <c r="W2" s="1" t="s">
        <v>74</v>
      </c>
      <c r="X2" s="1" t="s">
        <v>74</v>
      </c>
      <c r="Y2" s="1" t="s">
        <v>3772</v>
      </c>
      <c r="Z2" s="1" t="s">
        <v>74</v>
      </c>
      <c r="AA2" s="1" t="s">
        <v>74</v>
      </c>
      <c r="AB2" s="1" t="s">
        <v>74</v>
      </c>
      <c r="AC2" s="1" t="s">
        <v>74</v>
      </c>
      <c r="AD2" s="1" t="s">
        <v>74</v>
      </c>
      <c r="AE2" s="1" t="s">
        <v>74</v>
      </c>
      <c r="AF2" s="1" t="s">
        <v>74</v>
      </c>
      <c r="AG2" s="1">
        <v>48</v>
      </c>
      <c r="AH2" s="1">
        <v>101</v>
      </c>
      <c r="AI2" s="1">
        <v>101</v>
      </c>
      <c r="AJ2" s="1">
        <v>0</v>
      </c>
      <c r="AK2" s="1">
        <v>11</v>
      </c>
      <c r="AL2" s="1" t="s">
        <v>232</v>
      </c>
      <c r="AM2" s="1" t="s">
        <v>233</v>
      </c>
      <c r="AN2" s="1" t="s">
        <v>234</v>
      </c>
      <c r="AO2" s="1" t="s">
        <v>147</v>
      </c>
      <c r="AP2" s="1" t="s">
        <v>148</v>
      </c>
      <c r="AQ2" s="1" t="s">
        <v>74</v>
      </c>
      <c r="AR2" s="1" t="s">
        <v>149</v>
      </c>
      <c r="AS2" s="1" t="s">
        <v>150</v>
      </c>
      <c r="AT2" s="1" t="s">
        <v>704</v>
      </c>
      <c r="AU2" s="1">
        <v>1990</v>
      </c>
      <c r="AV2" s="1">
        <v>27</v>
      </c>
      <c r="AW2" s="1">
        <v>2</v>
      </c>
      <c r="AX2" s="1" t="s">
        <v>74</v>
      </c>
      <c r="AY2" s="1" t="s">
        <v>74</v>
      </c>
      <c r="AZ2" s="1" t="s">
        <v>74</v>
      </c>
      <c r="BA2" s="1" t="s">
        <v>74</v>
      </c>
      <c r="BB2" s="1">
        <v>185</v>
      </c>
      <c r="BC2" s="1">
        <v>195</v>
      </c>
      <c r="BD2" s="1" t="s">
        <v>74</v>
      </c>
      <c r="BE2" s="1" t="s">
        <v>3773</v>
      </c>
      <c r="BF2" s="1" t="str">
        <f>HYPERLINK("http://dx.doi.org/10.2307/3172845","http://dx.doi.org/10.2307/3172845")</f>
        <v>http://dx.doi.org/10.2307/3172845</v>
      </c>
      <c r="BG2" s="1" t="s">
        <v>74</v>
      </c>
      <c r="BH2" s="1" t="s">
        <v>74</v>
      </c>
      <c r="BI2" s="1">
        <v>11</v>
      </c>
      <c r="BJ2" s="1" t="s">
        <v>153</v>
      </c>
      <c r="BK2" s="1" t="s">
        <v>101</v>
      </c>
      <c r="BL2" s="1" t="s">
        <v>154</v>
      </c>
      <c r="BM2" s="1" t="s">
        <v>3774</v>
      </c>
      <c r="BN2" s="1" t="s">
        <v>74</v>
      </c>
      <c r="BO2" s="1" t="s">
        <v>74</v>
      </c>
      <c r="BP2" s="1" t="s">
        <v>74</v>
      </c>
      <c r="BQ2" s="1" t="s">
        <v>74</v>
      </c>
      <c r="BR2" s="1" t="s">
        <v>104</v>
      </c>
      <c r="BS2" s="1" t="s">
        <v>3775</v>
      </c>
      <c r="BT2" s="1" t="str">
        <f>HYPERLINK("https%3A%2F%2Fwww.webofscience.com%2Fwos%2Fwoscc%2Ffull-record%2FWOS:A1990CZ97100006","View Full Record in Web of Science")</f>
        <v>View Full Record in Web of Science</v>
      </c>
      <c r="BU2" s="1" t="s">
        <v>3776</v>
      </c>
      <c r="BV2" s="1" t="s">
        <v>6080</v>
      </c>
      <c r="BW2" s="1" t="s">
        <v>10653</v>
      </c>
    </row>
    <row r="3" spans="1:75" ht="43.5" x14ac:dyDescent="0.35">
      <c r="A3" s="1" t="s">
        <v>578</v>
      </c>
      <c r="B3" s="1" t="s">
        <v>5861</v>
      </c>
      <c r="C3" s="1" t="s">
        <v>74</v>
      </c>
      <c r="D3" s="1" t="s">
        <v>5862</v>
      </c>
      <c r="E3" s="1" t="s">
        <v>74</v>
      </c>
      <c r="F3" s="1" t="s">
        <v>5861</v>
      </c>
      <c r="G3" s="1" t="s">
        <v>74</v>
      </c>
      <c r="H3" s="1" t="s">
        <v>74</v>
      </c>
      <c r="I3" s="1" t="s">
        <v>5863</v>
      </c>
      <c r="J3" s="1" t="s">
        <v>5864</v>
      </c>
      <c r="K3" s="1" t="s">
        <v>5865</v>
      </c>
      <c r="L3" s="1" t="s">
        <v>74</v>
      </c>
      <c r="M3" s="1" t="s">
        <v>78</v>
      </c>
      <c r="N3" s="1" t="s">
        <v>584</v>
      </c>
      <c r="O3" s="1" t="s">
        <v>5866</v>
      </c>
      <c r="P3" s="1" t="s">
        <v>5867</v>
      </c>
      <c r="Q3" s="1" t="s">
        <v>5868</v>
      </c>
      <c r="R3" s="1" t="s">
        <v>5869</v>
      </c>
      <c r="S3" s="1" t="s">
        <v>74</v>
      </c>
      <c r="T3" s="1" t="s">
        <v>74</v>
      </c>
      <c r="U3" s="1" t="s">
        <v>74</v>
      </c>
      <c r="V3" s="1" t="s">
        <v>74</v>
      </c>
      <c r="W3" s="1" t="s">
        <v>74</v>
      </c>
      <c r="X3" s="1" t="s">
        <v>74</v>
      </c>
      <c r="Y3" s="1" t="s">
        <v>74</v>
      </c>
      <c r="Z3" s="1" t="s">
        <v>74</v>
      </c>
      <c r="AA3" s="1" t="s">
        <v>74</v>
      </c>
      <c r="AB3" s="1" t="s">
        <v>74</v>
      </c>
      <c r="AC3" s="1" t="s">
        <v>74</v>
      </c>
      <c r="AD3" s="1" t="s">
        <v>74</v>
      </c>
      <c r="AE3" s="1" t="s">
        <v>74</v>
      </c>
      <c r="AF3" s="1" t="s">
        <v>74</v>
      </c>
      <c r="AG3" s="1">
        <v>0</v>
      </c>
      <c r="AH3" s="1">
        <v>0</v>
      </c>
      <c r="AI3" s="1">
        <v>0</v>
      </c>
      <c r="AJ3" s="1">
        <v>0</v>
      </c>
      <c r="AK3" s="1">
        <v>0</v>
      </c>
      <c r="AL3" s="1" t="s">
        <v>5870</v>
      </c>
      <c r="AM3" s="1" t="s">
        <v>5871</v>
      </c>
      <c r="AN3" s="1" t="s">
        <v>5871</v>
      </c>
      <c r="AO3" s="1" t="s">
        <v>74</v>
      </c>
      <c r="AP3" s="1" t="s">
        <v>74</v>
      </c>
      <c r="AQ3" s="1" t="s">
        <v>5872</v>
      </c>
      <c r="AR3" s="1" t="s">
        <v>5873</v>
      </c>
      <c r="AS3" s="1" t="s">
        <v>74</v>
      </c>
      <c r="AT3" s="1" t="s">
        <v>74</v>
      </c>
      <c r="AU3" s="1">
        <v>1990</v>
      </c>
      <c r="AV3" s="1">
        <v>1</v>
      </c>
      <c r="AW3" s="1" t="s">
        <v>74</v>
      </c>
      <c r="AX3" s="1" t="s">
        <v>74</v>
      </c>
      <c r="AY3" s="1" t="s">
        <v>74</v>
      </c>
      <c r="AZ3" s="1" t="s">
        <v>74</v>
      </c>
      <c r="BA3" s="1" t="s">
        <v>74</v>
      </c>
      <c r="BB3" s="1">
        <v>171</v>
      </c>
      <c r="BC3" s="1">
        <v>171</v>
      </c>
      <c r="BD3" s="1" t="s">
        <v>74</v>
      </c>
      <c r="BE3" s="1" t="s">
        <v>74</v>
      </c>
      <c r="BF3" s="1" t="s">
        <v>74</v>
      </c>
      <c r="BG3" s="1" t="s">
        <v>74</v>
      </c>
      <c r="BH3" s="1" t="s">
        <v>74</v>
      </c>
      <c r="BI3" s="1">
        <v>1</v>
      </c>
      <c r="BJ3" s="1" t="s">
        <v>660</v>
      </c>
      <c r="BK3" s="1" t="s">
        <v>2118</v>
      </c>
      <c r="BL3" s="1" t="s">
        <v>660</v>
      </c>
      <c r="BM3" s="1" t="s">
        <v>5874</v>
      </c>
      <c r="BN3" s="1" t="s">
        <v>74</v>
      </c>
      <c r="BO3" s="1" t="s">
        <v>74</v>
      </c>
      <c r="BP3" s="1" t="s">
        <v>74</v>
      </c>
      <c r="BQ3" s="1" t="s">
        <v>74</v>
      </c>
      <c r="BR3" s="1" t="s">
        <v>4296</v>
      </c>
      <c r="BS3" s="1" t="s">
        <v>5875</v>
      </c>
      <c r="BT3" s="1" t="str">
        <f>HYPERLINK("https%3A%2F%2Fwww.webofscience.com%2Fwos%2Fwoscc%2Ffull-record%2FWOS:A1990BR70Y00016","View Full Record in Web of Science")</f>
        <v>View Full Record in Web of Science</v>
      </c>
      <c r="BU3" s="1" t="s">
        <v>5876</v>
      </c>
      <c r="BV3" s="1" t="s">
        <v>10653</v>
      </c>
    </row>
    <row r="4" spans="1:75" ht="43.5" x14ac:dyDescent="0.35">
      <c r="A4" s="1" t="s">
        <v>72</v>
      </c>
      <c r="B4" s="1" t="s">
        <v>3760</v>
      </c>
      <c r="C4" s="1" t="s">
        <v>74</v>
      </c>
      <c r="D4" s="1" t="s">
        <v>74</v>
      </c>
      <c r="E4" s="1" t="s">
        <v>74</v>
      </c>
      <c r="F4" s="1" t="s">
        <v>3760</v>
      </c>
      <c r="G4" s="1" t="s">
        <v>74</v>
      </c>
      <c r="H4" s="1" t="s">
        <v>74</v>
      </c>
      <c r="I4" s="1" t="s">
        <v>3761</v>
      </c>
      <c r="J4" s="1" t="s">
        <v>77</v>
      </c>
      <c r="K4" s="1" t="s">
        <v>74</v>
      </c>
      <c r="L4" s="1" t="s">
        <v>74</v>
      </c>
      <c r="M4" s="1" t="s">
        <v>78</v>
      </c>
      <c r="N4" s="1" t="s">
        <v>79</v>
      </c>
      <c r="O4" s="1" t="s">
        <v>74</v>
      </c>
      <c r="P4" s="1" t="s">
        <v>74</v>
      </c>
      <c r="Q4" s="1" t="s">
        <v>74</v>
      </c>
      <c r="R4" s="1" t="s">
        <v>74</v>
      </c>
      <c r="S4" s="1" t="s">
        <v>74</v>
      </c>
      <c r="T4" s="1" t="s">
        <v>74</v>
      </c>
      <c r="U4" s="1" t="s">
        <v>3762</v>
      </c>
      <c r="V4" s="1" t="s">
        <v>3763</v>
      </c>
      <c r="W4" s="1" t="s">
        <v>3764</v>
      </c>
      <c r="X4" s="1" t="s">
        <v>2516</v>
      </c>
      <c r="Y4" s="1" t="s">
        <v>74</v>
      </c>
      <c r="Z4" s="1" t="s">
        <v>74</v>
      </c>
      <c r="AA4" s="1" t="s">
        <v>74</v>
      </c>
      <c r="AB4" s="1" t="s">
        <v>74</v>
      </c>
      <c r="AC4" s="1" t="s">
        <v>3765</v>
      </c>
      <c r="AD4" s="1" t="s">
        <v>497</v>
      </c>
      <c r="AE4" s="1" t="s">
        <v>74</v>
      </c>
      <c r="AF4" s="1" t="s">
        <v>74</v>
      </c>
      <c r="AG4" s="1">
        <v>24</v>
      </c>
      <c r="AH4" s="1">
        <v>41</v>
      </c>
      <c r="AI4" s="1">
        <v>41</v>
      </c>
      <c r="AJ4" s="1">
        <v>0</v>
      </c>
      <c r="AK4" s="1">
        <v>6</v>
      </c>
      <c r="AL4" s="1" t="s">
        <v>91</v>
      </c>
      <c r="AM4" s="1" t="s">
        <v>92</v>
      </c>
      <c r="AN4" s="1" t="s">
        <v>3766</v>
      </c>
      <c r="AO4" s="1" t="s">
        <v>94</v>
      </c>
      <c r="AP4" s="1" t="s">
        <v>74</v>
      </c>
      <c r="AQ4" s="1" t="s">
        <v>74</v>
      </c>
      <c r="AR4" s="1" t="s">
        <v>96</v>
      </c>
      <c r="AS4" s="1" t="s">
        <v>97</v>
      </c>
      <c r="AT4" s="1" t="s">
        <v>213</v>
      </c>
      <c r="AU4" s="1">
        <v>1992</v>
      </c>
      <c r="AV4" s="1">
        <v>62</v>
      </c>
      <c r="AW4" s="1">
        <v>1</v>
      </c>
      <c r="AX4" s="1" t="s">
        <v>74</v>
      </c>
      <c r="AY4" s="1" t="s">
        <v>74</v>
      </c>
      <c r="AZ4" s="1" t="s">
        <v>74</v>
      </c>
      <c r="BA4" s="1" t="s">
        <v>74</v>
      </c>
      <c r="BB4" s="1">
        <v>38</v>
      </c>
      <c r="BC4" s="1">
        <v>49</v>
      </c>
      <c r="BD4" s="1" t="s">
        <v>74</v>
      </c>
      <c r="BE4" s="1" t="s">
        <v>3767</v>
      </c>
      <c r="BF4" s="1" t="str">
        <f>HYPERLINK("http://dx.doi.org/10.1037/0022-3514.62.1.38","http://dx.doi.org/10.1037/0022-3514.62.1.38")</f>
        <v>http://dx.doi.org/10.1037/0022-3514.62.1.38</v>
      </c>
      <c r="BG4" s="1" t="s">
        <v>74</v>
      </c>
      <c r="BH4" s="1" t="s">
        <v>74</v>
      </c>
      <c r="BI4" s="1">
        <v>12</v>
      </c>
      <c r="BJ4" s="1" t="s">
        <v>100</v>
      </c>
      <c r="BK4" s="1" t="s">
        <v>101</v>
      </c>
      <c r="BL4" s="1" t="s">
        <v>102</v>
      </c>
      <c r="BM4" s="1" t="s">
        <v>3768</v>
      </c>
      <c r="BN4" s="1">
        <v>1538315</v>
      </c>
      <c r="BO4" s="1" t="s">
        <v>74</v>
      </c>
      <c r="BP4" s="1" t="s">
        <v>74</v>
      </c>
      <c r="BQ4" s="1" t="s">
        <v>74</v>
      </c>
      <c r="BR4" s="1" t="s">
        <v>104</v>
      </c>
      <c r="BS4" s="1" t="s">
        <v>3769</v>
      </c>
      <c r="BT4" s="1" t="str">
        <f>HYPERLINK("https%3A%2F%2Fwww.webofscience.com%2Fwos%2Fwoscc%2Ffull-record%2FWOS:A1992GZ89600004","View Full Record in Web of Science")</f>
        <v>View Full Record in Web of Science</v>
      </c>
      <c r="BU4" s="1" t="s">
        <v>3776</v>
      </c>
      <c r="BV4" s="1" t="s">
        <v>10653</v>
      </c>
    </row>
    <row r="5" spans="1:75" ht="58" x14ac:dyDescent="0.35">
      <c r="A5" s="1" t="s">
        <v>72</v>
      </c>
      <c r="B5" s="1" t="s">
        <v>3735</v>
      </c>
      <c r="C5" s="1" t="s">
        <v>74</v>
      </c>
      <c r="D5" s="1" t="s">
        <v>74</v>
      </c>
      <c r="E5" s="1" t="s">
        <v>74</v>
      </c>
      <c r="F5" s="1" t="s">
        <v>3735</v>
      </c>
      <c r="G5" s="1" t="s">
        <v>74</v>
      </c>
      <c r="H5" s="1" t="s">
        <v>74</v>
      </c>
      <c r="I5" s="1" t="s">
        <v>3736</v>
      </c>
      <c r="J5" s="1" t="s">
        <v>3737</v>
      </c>
      <c r="K5" s="1" t="s">
        <v>74</v>
      </c>
      <c r="L5" s="1" t="s">
        <v>74</v>
      </c>
      <c r="M5" s="1" t="s">
        <v>78</v>
      </c>
      <c r="N5" s="1" t="s">
        <v>79</v>
      </c>
      <c r="O5" s="1" t="s">
        <v>74</v>
      </c>
      <c r="P5" s="1" t="s">
        <v>74</v>
      </c>
      <c r="Q5" s="1" t="s">
        <v>74</v>
      </c>
      <c r="R5" s="1" t="s">
        <v>74</v>
      </c>
      <c r="S5" s="1" t="s">
        <v>74</v>
      </c>
      <c r="T5" s="1" t="s">
        <v>74</v>
      </c>
      <c r="U5" s="1" t="s">
        <v>3738</v>
      </c>
      <c r="V5" s="1" t="s">
        <v>3739</v>
      </c>
      <c r="W5" s="1" t="s">
        <v>3740</v>
      </c>
      <c r="X5" s="1" t="s">
        <v>3741</v>
      </c>
      <c r="Y5" s="1" t="s">
        <v>74</v>
      </c>
      <c r="Z5" s="1" t="s">
        <v>74</v>
      </c>
      <c r="AA5" s="1" t="s">
        <v>74</v>
      </c>
      <c r="AB5" s="1" t="s">
        <v>74</v>
      </c>
      <c r="AC5" s="1" t="s">
        <v>74</v>
      </c>
      <c r="AD5" s="1" t="s">
        <v>74</v>
      </c>
      <c r="AE5" s="1" t="s">
        <v>74</v>
      </c>
      <c r="AF5" s="1" t="s">
        <v>74</v>
      </c>
      <c r="AG5" s="1">
        <v>44</v>
      </c>
      <c r="AH5" s="1">
        <v>160</v>
      </c>
      <c r="AI5" s="1">
        <v>161</v>
      </c>
      <c r="AJ5" s="1">
        <v>1</v>
      </c>
      <c r="AK5" s="1">
        <v>28</v>
      </c>
      <c r="AL5" s="1" t="s">
        <v>324</v>
      </c>
      <c r="AM5" s="1" t="s">
        <v>325</v>
      </c>
      <c r="AN5" s="1" t="s">
        <v>3742</v>
      </c>
      <c r="AO5" s="1" t="s">
        <v>3743</v>
      </c>
      <c r="AP5" s="1" t="s">
        <v>74</v>
      </c>
      <c r="AQ5" s="1" t="s">
        <v>74</v>
      </c>
      <c r="AR5" s="1" t="s">
        <v>3744</v>
      </c>
      <c r="AS5" s="1" t="s">
        <v>3745</v>
      </c>
      <c r="AT5" s="1" t="s">
        <v>258</v>
      </c>
      <c r="AU5" s="1">
        <v>1993</v>
      </c>
      <c r="AV5" s="1">
        <v>28</v>
      </c>
      <c r="AW5" s="1">
        <v>3</v>
      </c>
      <c r="AX5" s="1" t="s">
        <v>74</v>
      </c>
      <c r="AY5" s="1" t="s">
        <v>74</v>
      </c>
      <c r="AZ5" s="1" t="s">
        <v>74</v>
      </c>
      <c r="BA5" s="1" t="s">
        <v>74</v>
      </c>
      <c r="BB5" s="1">
        <v>225</v>
      </c>
      <c r="BC5" s="1">
        <v>244</v>
      </c>
      <c r="BD5" s="1" t="s">
        <v>74</v>
      </c>
      <c r="BE5" s="1" t="s">
        <v>3746</v>
      </c>
      <c r="BF5" s="1" t="str">
        <f>HYPERLINK("http://dx.doi.org/10.1016/0148-2963(93)90049-U","http://dx.doi.org/10.1016/0148-2963(93)90049-U")</f>
        <v>http://dx.doi.org/10.1016/0148-2963(93)90049-U</v>
      </c>
      <c r="BG5" s="1" t="s">
        <v>74</v>
      </c>
      <c r="BH5" s="1" t="s">
        <v>74</v>
      </c>
      <c r="BI5" s="1">
        <v>20</v>
      </c>
      <c r="BJ5" s="1" t="s">
        <v>153</v>
      </c>
      <c r="BK5" s="1" t="s">
        <v>101</v>
      </c>
      <c r="BL5" s="1" t="s">
        <v>154</v>
      </c>
      <c r="BM5" s="1" t="s">
        <v>3747</v>
      </c>
      <c r="BN5" s="1" t="s">
        <v>74</v>
      </c>
      <c r="BO5" s="1" t="s">
        <v>74</v>
      </c>
      <c r="BP5" s="1" t="s">
        <v>74</v>
      </c>
      <c r="BQ5" s="1" t="s">
        <v>74</v>
      </c>
      <c r="BR5" s="1" t="s">
        <v>104</v>
      </c>
      <c r="BS5" s="1" t="s">
        <v>3748</v>
      </c>
      <c r="BT5" s="1" t="str">
        <f>HYPERLINK("https%3A%2F%2Fwww.webofscience.com%2Fwos%2Fwoscc%2Ffull-record%2FWOS:A1993MB54000004","View Full Record in Web of Science")</f>
        <v>View Full Record in Web of Science</v>
      </c>
      <c r="BU5" s="1" t="s">
        <v>3776</v>
      </c>
      <c r="BV5" s="1" t="s">
        <v>10653</v>
      </c>
    </row>
    <row r="6" spans="1:75" ht="29" x14ac:dyDescent="0.35">
      <c r="A6" s="1" t="s">
        <v>72</v>
      </c>
      <c r="B6" s="1" t="s">
        <v>3749</v>
      </c>
      <c r="C6" s="1" t="s">
        <v>74</v>
      </c>
      <c r="D6" s="1" t="s">
        <v>74</v>
      </c>
      <c r="E6" s="1" t="s">
        <v>74</v>
      </c>
      <c r="F6" s="1" t="s">
        <v>3749</v>
      </c>
      <c r="G6" s="1" t="s">
        <v>74</v>
      </c>
      <c r="H6" s="1" t="s">
        <v>74</v>
      </c>
      <c r="I6" s="1" t="s">
        <v>3750</v>
      </c>
      <c r="J6" s="1" t="s">
        <v>3751</v>
      </c>
      <c r="K6" s="1" t="s">
        <v>74</v>
      </c>
      <c r="L6" s="1" t="s">
        <v>74</v>
      </c>
      <c r="M6" s="1" t="s">
        <v>78</v>
      </c>
      <c r="N6" s="1" t="s">
        <v>79</v>
      </c>
      <c r="O6" s="1" t="s">
        <v>74</v>
      </c>
      <c r="P6" s="1" t="s">
        <v>74</v>
      </c>
      <c r="Q6" s="1" t="s">
        <v>74</v>
      </c>
      <c r="R6" s="1" t="s">
        <v>74</v>
      </c>
      <c r="S6" s="1" t="s">
        <v>74</v>
      </c>
      <c r="T6" s="1" t="s">
        <v>74</v>
      </c>
      <c r="U6" s="1" t="s">
        <v>74</v>
      </c>
      <c r="V6" s="1" t="s">
        <v>74</v>
      </c>
      <c r="W6" s="1" t="s">
        <v>74</v>
      </c>
      <c r="X6" s="1" t="s">
        <v>74</v>
      </c>
      <c r="Y6" s="1" t="s">
        <v>3752</v>
      </c>
      <c r="Z6" s="1" t="s">
        <v>74</v>
      </c>
      <c r="AA6" s="1" t="s">
        <v>74</v>
      </c>
      <c r="AB6" s="1" t="s">
        <v>74</v>
      </c>
      <c r="AC6" s="1" t="s">
        <v>74</v>
      </c>
      <c r="AD6" s="1" t="s">
        <v>74</v>
      </c>
      <c r="AE6" s="1" t="s">
        <v>74</v>
      </c>
      <c r="AF6" s="1" t="s">
        <v>74</v>
      </c>
      <c r="AG6" s="1">
        <v>25</v>
      </c>
      <c r="AH6" s="1">
        <v>191</v>
      </c>
      <c r="AI6" s="1">
        <v>192</v>
      </c>
      <c r="AJ6" s="1">
        <v>0</v>
      </c>
      <c r="AK6" s="1">
        <v>4</v>
      </c>
      <c r="AL6" s="1" t="s">
        <v>2121</v>
      </c>
      <c r="AM6" s="1" t="s">
        <v>2119</v>
      </c>
      <c r="AN6" s="1" t="s">
        <v>2122</v>
      </c>
      <c r="AO6" s="1" t="s">
        <v>3753</v>
      </c>
      <c r="AP6" s="1" t="s">
        <v>74</v>
      </c>
      <c r="AQ6" s="1" t="s">
        <v>74</v>
      </c>
      <c r="AR6" s="1" t="s">
        <v>3754</v>
      </c>
      <c r="AS6" s="1" t="s">
        <v>3755</v>
      </c>
      <c r="AT6" s="1" t="s">
        <v>177</v>
      </c>
      <c r="AU6" s="1">
        <v>1993</v>
      </c>
      <c r="AV6" s="1">
        <v>16</v>
      </c>
      <c r="AW6" s="1">
        <v>1</v>
      </c>
      <c r="AX6" s="1" t="s">
        <v>74</v>
      </c>
      <c r="AY6" s="1" t="s">
        <v>74</v>
      </c>
      <c r="AZ6" s="1" t="s">
        <v>74</v>
      </c>
      <c r="BA6" s="1" t="s">
        <v>74</v>
      </c>
      <c r="BB6" s="1">
        <v>1</v>
      </c>
      <c r="BC6" s="1">
        <v>43</v>
      </c>
      <c r="BD6" s="1" t="s">
        <v>74</v>
      </c>
      <c r="BE6" s="1" t="s">
        <v>3756</v>
      </c>
      <c r="BF6" s="1" t="str">
        <f>HYPERLINK("http://dx.doi.org/10.1007/BF00984721","http://dx.doi.org/10.1007/BF00984721")</f>
        <v>http://dx.doi.org/10.1007/BF00984721</v>
      </c>
      <c r="BG6" s="1" t="s">
        <v>74</v>
      </c>
      <c r="BH6" s="1" t="s">
        <v>74</v>
      </c>
      <c r="BI6" s="1">
        <v>43</v>
      </c>
      <c r="BJ6" s="1" t="s">
        <v>3757</v>
      </c>
      <c r="BK6" s="1" t="s">
        <v>860</v>
      </c>
      <c r="BL6" s="1" t="s">
        <v>2540</v>
      </c>
      <c r="BM6" s="1" t="s">
        <v>3758</v>
      </c>
      <c r="BN6" s="1" t="s">
        <v>74</v>
      </c>
      <c r="BO6" s="1" t="s">
        <v>74</v>
      </c>
      <c r="BP6" s="1" t="s">
        <v>74</v>
      </c>
      <c r="BQ6" s="1" t="s">
        <v>74</v>
      </c>
      <c r="BR6" s="1" t="s">
        <v>104</v>
      </c>
      <c r="BS6" s="1" t="s">
        <v>3759</v>
      </c>
      <c r="BT6" s="1" t="str">
        <f>HYPERLINK("https%3A%2F%2Fwww.webofscience.com%2Fwos%2Fwoscc%2Ffull-record%2FWOS:A1993KM56900001","View Full Record in Web of Science")</f>
        <v>View Full Record in Web of Science</v>
      </c>
      <c r="BU6" s="1" t="s">
        <v>3776</v>
      </c>
      <c r="BV6" s="1" t="s">
        <v>10653</v>
      </c>
    </row>
    <row r="7" spans="1:75" ht="43.5" x14ac:dyDescent="0.35">
      <c r="A7" s="1" t="s">
        <v>72</v>
      </c>
      <c r="B7" s="1" t="s">
        <v>352</v>
      </c>
      <c r="C7" s="1" t="s">
        <v>74</v>
      </c>
      <c r="D7" s="1" t="s">
        <v>74</v>
      </c>
      <c r="E7" s="1" t="s">
        <v>74</v>
      </c>
      <c r="F7" s="1" t="s">
        <v>352</v>
      </c>
      <c r="G7" s="1" t="s">
        <v>74</v>
      </c>
      <c r="H7" s="1" t="s">
        <v>74</v>
      </c>
      <c r="I7" s="1" t="s">
        <v>353</v>
      </c>
      <c r="J7" s="1" t="s">
        <v>354</v>
      </c>
      <c r="K7" s="1" t="s">
        <v>74</v>
      </c>
      <c r="L7" s="1" t="s">
        <v>74</v>
      </c>
      <c r="M7" s="1" t="s">
        <v>78</v>
      </c>
      <c r="N7" s="1" t="s">
        <v>79</v>
      </c>
      <c r="O7" s="1" t="s">
        <v>74</v>
      </c>
      <c r="P7" s="1" t="s">
        <v>74</v>
      </c>
      <c r="Q7" s="1" t="s">
        <v>74</v>
      </c>
      <c r="R7" s="1" t="s">
        <v>74</v>
      </c>
      <c r="S7" s="1" t="s">
        <v>74</v>
      </c>
      <c r="T7" s="1" t="s">
        <v>74</v>
      </c>
      <c r="U7" s="1" t="s">
        <v>74</v>
      </c>
      <c r="V7" s="1" t="s">
        <v>355</v>
      </c>
      <c r="W7" s="1" t="s">
        <v>74</v>
      </c>
      <c r="X7" s="1" t="s">
        <v>74</v>
      </c>
      <c r="Y7" s="1" t="s">
        <v>356</v>
      </c>
      <c r="Z7" s="1" t="s">
        <v>74</v>
      </c>
      <c r="AA7" s="1" t="s">
        <v>74</v>
      </c>
      <c r="AB7" s="1" t="s">
        <v>74</v>
      </c>
      <c r="AC7" s="1" t="s">
        <v>74</v>
      </c>
      <c r="AD7" s="1" t="s">
        <v>74</v>
      </c>
      <c r="AE7" s="1" t="s">
        <v>74</v>
      </c>
      <c r="AF7" s="1" t="s">
        <v>74</v>
      </c>
      <c r="AG7" s="1">
        <v>36</v>
      </c>
      <c r="AH7" s="1">
        <v>203</v>
      </c>
      <c r="AI7" s="1">
        <v>204</v>
      </c>
      <c r="AJ7" s="1">
        <v>0</v>
      </c>
      <c r="AK7" s="1">
        <v>14</v>
      </c>
      <c r="AL7" s="1" t="s">
        <v>357</v>
      </c>
      <c r="AM7" s="1" t="s">
        <v>233</v>
      </c>
      <c r="AN7" s="1" t="s">
        <v>358</v>
      </c>
      <c r="AO7" s="1" t="s">
        <v>359</v>
      </c>
      <c r="AP7" s="1" t="s">
        <v>360</v>
      </c>
      <c r="AQ7" s="1" t="s">
        <v>74</v>
      </c>
      <c r="AR7" s="1" t="s">
        <v>361</v>
      </c>
      <c r="AS7" s="1" t="s">
        <v>362</v>
      </c>
      <c r="AT7" s="1" t="s">
        <v>363</v>
      </c>
      <c r="AU7" s="1">
        <v>1994</v>
      </c>
      <c r="AV7" s="1">
        <v>99</v>
      </c>
      <c r="AW7" s="1">
        <v>5</v>
      </c>
      <c r="AX7" s="1" t="s">
        <v>74</v>
      </c>
      <c r="AY7" s="1" t="s">
        <v>74</v>
      </c>
      <c r="AZ7" s="1" t="s">
        <v>74</v>
      </c>
      <c r="BA7" s="1" t="s">
        <v>74</v>
      </c>
      <c r="BB7" s="1">
        <v>1287</v>
      </c>
      <c r="BC7" s="1">
        <v>1313</v>
      </c>
      <c r="BD7" s="1" t="s">
        <v>74</v>
      </c>
      <c r="BE7" s="1" t="s">
        <v>364</v>
      </c>
      <c r="BF7" s="1" t="str">
        <f>HYPERLINK("http://dx.doi.org/10.1086/230412","http://dx.doi.org/10.1086/230412")</f>
        <v>http://dx.doi.org/10.1086/230412</v>
      </c>
      <c r="BG7" s="1" t="s">
        <v>74</v>
      </c>
      <c r="BH7" s="1" t="s">
        <v>74</v>
      </c>
      <c r="BI7" s="1">
        <v>27</v>
      </c>
      <c r="BJ7" s="1" t="s">
        <v>365</v>
      </c>
      <c r="BK7" s="1" t="s">
        <v>101</v>
      </c>
      <c r="BL7" s="1" t="s">
        <v>365</v>
      </c>
      <c r="BM7" s="1" t="s">
        <v>366</v>
      </c>
      <c r="BN7" s="1" t="s">
        <v>74</v>
      </c>
      <c r="BO7" s="1" t="s">
        <v>367</v>
      </c>
      <c r="BP7" s="1" t="s">
        <v>74</v>
      </c>
      <c r="BQ7" s="1" t="s">
        <v>74</v>
      </c>
      <c r="BR7" s="1" t="s">
        <v>104</v>
      </c>
      <c r="BS7" s="1" t="s">
        <v>368</v>
      </c>
      <c r="BT7" s="1" t="str">
        <f>HYPERLINK("https%3A%2F%2Fwww.webofscience.com%2Fwos%2Fwoscc%2Ffull-record%2FWOS:A1994NT91600005","View Full Record in Web of Science")</f>
        <v>View Full Record in Web of Science</v>
      </c>
      <c r="BU7" s="1" t="s">
        <v>2040</v>
      </c>
      <c r="BV7" s="1" t="s">
        <v>10653</v>
      </c>
    </row>
    <row r="8" spans="1:75" ht="58" x14ac:dyDescent="0.35">
      <c r="A8" s="1" t="s">
        <v>72</v>
      </c>
      <c r="B8" s="1" t="s">
        <v>3691</v>
      </c>
      <c r="C8" s="1" t="s">
        <v>74</v>
      </c>
      <c r="D8" s="1" t="s">
        <v>74</v>
      </c>
      <c r="E8" s="1" t="s">
        <v>74</v>
      </c>
      <c r="F8" s="1" t="s">
        <v>3691</v>
      </c>
      <c r="G8" s="1" t="s">
        <v>74</v>
      </c>
      <c r="H8" s="1" t="s">
        <v>74</v>
      </c>
      <c r="I8" s="1" t="s">
        <v>3692</v>
      </c>
      <c r="J8" s="1" t="s">
        <v>3693</v>
      </c>
      <c r="K8" s="1" t="s">
        <v>74</v>
      </c>
      <c r="L8" s="1" t="s">
        <v>74</v>
      </c>
      <c r="M8" s="1" t="s">
        <v>78</v>
      </c>
      <c r="N8" s="1" t="s">
        <v>79</v>
      </c>
      <c r="O8" s="1" t="s">
        <v>74</v>
      </c>
      <c r="P8" s="1" t="s">
        <v>74</v>
      </c>
      <c r="Q8" s="1" t="s">
        <v>74</v>
      </c>
      <c r="R8" s="1" t="s">
        <v>74</v>
      </c>
      <c r="S8" s="1" t="s">
        <v>74</v>
      </c>
      <c r="T8" s="1" t="s">
        <v>74</v>
      </c>
      <c r="U8" s="1" t="s">
        <v>74</v>
      </c>
      <c r="V8" s="1" t="s">
        <v>3694</v>
      </c>
      <c r="W8" s="1" t="s">
        <v>74</v>
      </c>
      <c r="X8" s="1" t="s">
        <v>74</v>
      </c>
      <c r="Y8" s="1" t="s">
        <v>3695</v>
      </c>
      <c r="Z8" s="1" t="s">
        <v>74</v>
      </c>
      <c r="AA8" s="1" t="s">
        <v>74</v>
      </c>
      <c r="AB8" s="1" t="s">
        <v>3696</v>
      </c>
      <c r="AC8" s="1" t="s">
        <v>74</v>
      </c>
      <c r="AD8" s="1" t="s">
        <v>74</v>
      </c>
      <c r="AE8" s="1" t="s">
        <v>74</v>
      </c>
      <c r="AF8" s="1" t="s">
        <v>74</v>
      </c>
      <c r="AG8" s="1">
        <v>44</v>
      </c>
      <c r="AH8" s="1">
        <v>169</v>
      </c>
      <c r="AI8" s="1">
        <v>170</v>
      </c>
      <c r="AJ8" s="1">
        <v>1</v>
      </c>
      <c r="AK8" s="1">
        <v>41</v>
      </c>
      <c r="AL8" s="1" t="s">
        <v>3697</v>
      </c>
      <c r="AM8" s="1" t="s">
        <v>3698</v>
      </c>
      <c r="AN8" s="1" t="s">
        <v>3699</v>
      </c>
      <c r="AO8" s="1" t="s">
        <v>3700</v>
      </c>
      <c r="AP8" s="1" t="s">
        <v>74</v>
      </c>
      <c r="AQ8" s="1" t="s">
        <v>74</v>
      </c>
      <c r="AR8" s="1" t="s">
        <v>3701</v>
      </c>
      <c r="AS8" s="1" t="s">
        <v>3702</v>
      </c>
      <c r="AT8" s="1" t="s">
        <v>3703</v>
      </c>
      <c r="AU8" s="1">
        <v>1994</v>
      </c>
      <c r="AV8" s="1">
        <v>20</v>
      </c>
      <c r="AW8" s="1">
        <v>4</v>
      </c>
      <c r="AX8" s="1" t="s">
        <v>74</v>
      </c>
      <c r="AY8" s="1" t="s">
        <v>74</v>
      </c>
      <c r="AZ8" s="1" t="s">
        <v>74</v>
      </c>
      <c r="BA8" s="1" t="s">
        <v>74</v>
      </c>
      <c r="BB8" s="1">
        <v>903</v>
      </c>
      <c r="BC8" s="1">
        <v>931</v>
      </c>
      <c r="BD8" s="1" t="s">
        <v>74</v>
      </c>
      <c r="BE8" s="1" t="s">
        <v>3704</v>
      </c>
      <c r="BF8" s="1" t="str">
        <f>HYPERLINK("http://dx.doi.org/10.1016/0149-2063(94)90035-3","http://dx.doi.org/10.1016/0149-2063(94)90035-3")</f>
        <v>http://dx.doi.org/10.1016/0149-2063(94)90035-3</v>
      </c>
      <c r="BG8" s="1" t="s">
        <v>74</v>
      </c>
      <c r="BH8" s="1" t="s">
        <v>74</v>
      </c>
      <c r="BI8" s="1">
        <v>29</v>
      </c>
      <c r="BJ8" s="1" t="s">
        <v>3598</v>
      </c>
      <c r="BK8" s="1" t="s">
        <v>101</v>
      </c>
      <c r="BL8" s="1" t="s">
        <v>216</v>
      </c>
      <c r="BM8" s="1" t="s">
        <v>3705</v>
      </c>
      <c r="BN8" s="1" t="s">
        <v>74</v>
      </c>
      <c r="BO8" s="1" t="s">
        <v>74</v>
      </c>
      <c r="BP8" s="1" t="s">
        <v>74</v>
      </c>
      <c r="BQ8" s="1" t="s">
        <v>74</v>
      </c>
      <c r="BR8" s="1" t="s">
        <v>104</v>
      </c>
      <c r="BS8" s="1" t="s">
        <v>3706</v>
      </c>
      <c r="BT8" s="1" t="str">
        <f>HYPERLINK("https%3A%2F%2Fwww.webofscience.com%2Fwos%2Fwoscc%2Ffull-record%2FWOS:A1994PX17500010","View Full Record in Web of Science")</f>
        <v>View Full Record in Web of Science</v>
      </c>
      <c r="BU8" s="1" t="s">
        <v>3776</v>
      </c>
      <c r="BV8" s="1" t="s">
        <v>10653</v>
      </c>
    </row>
    <row r="9" spans="1:75" ht="72.5" x14ac:dyDescent="0.35">
      <c r="A9" s="1" t="s">
        <v>72</v>
      </c>
      <c r="B9" s="1" t="s">
        <v>3707</v>
      </c>
      <c r="C9" s="1" t="s">
        <v>74</v>
      </c>
      <c r="D9" s="1" t="s">
        <v>74</v>
      </c>
      <c r="E9" s="1" t="s">
        <v>74</v>
      </c>
      <c r="F9" s="1" t="s">
        <v>3707</v>
      </c>
      <c r="G9" s="1" t="s">
        <v>74</v>
      </c>
      <c r="H9" s="1" t="s">
        <v>74</v>
      </c>
      <c r="I9" s="1" t="s">
        <v>3708</v>
      </c>
      <c r="J9" s="1" t="s">
        <v>3709</v>
      </c>
      <c r="K9" s="1" t="s">
        <v>74</v>
      </c>
      <c r="L9" s="1" t="s">
        <v>74</v>
      </c>
      <c r="M9" s="1" t="s">
        <v>78</v>
      </c>
      <c r="N9" s="1" t="s">
        <v>79</v>
      </c>
      <c r="O9" s="1" t="s">
        <v>74</v>
      </c>
      <c r="P9" s="1" t="s">
        <v>74</v>
      </c>
      <c r="Q9" s="1" t="s">
        <v>74</v>
      </c>
      <c r="R9" s="1" t="s">
        <v>74</v>
      </c>
      <c r="S9" s="1" t="s">
        <v>74</v>
      </c>
      <c r="T9" s="1" t="s">
        <v>74</v>
      </c>
      <c r="U9" s="1" t="s">
        <v>3710</v>
      </c>
      <c r="V9" s="1" t="s">
        <v>3711</v>
      </c>
      <c r="W9" s="1" t="s">
        <v>3712</v>
      </c>
      <c r="X9" s="1" t="s">
        <v>74</v>
      </c>
      <c r="Y9" s="1" t="s">
        <v>3713</v>
      </c>
      <c r="Z9" s="1" t="s">
        <v>74</v>
      </c>
      <c r="AA9" s="1" t="s">
        <v>74</v>
      </c>
      <c r="AB9" s="1" t="s">
        <v>74</v>
      </c>
      <c r="AC9" s="1" t="s">
        <v>74</v>
      </c>
      <c r="AD9" s="1" t="s">
        <v>74</v>
      </c>
      <c r="AE9" s="1" t="s">
        <v>74</v>
      </c>
      <c r="AF9" s="1" t="s">
        <v>74</v>
      </c>
      <c r="AG9" s="1">
        <v>47</v>
      </c>
      <c r="AH9" s="1">
        <v>105</v>
      </c>
      <c r="AI9" s="1">
        <v>108</v>
      </c>
      <c r="AJ9" s="1">
        <v>0</v>
      </c>
      <c r="AK9" s="1">
        <v>12</v>
      </c>
      <c r="AL9" s="1" t="s">
        <v>3714</v>
      </c>
      <c r="AM9" s="1" t="s">
        <v>3715</v>
      </c>
      <c r="AN9" s="1" t="s">
        <v>3716</v>
      </c>
      <c r="AO9" s="1" t="s">
        <v>3717</v>
      </c>
      <c r="AP9" s="1" t="s">
        <v>74</v>
      </c>
      <c r="AQ9" s="1" t="s">
        <v>74</v>
      </c>
      <c r="AR9" s="1" t="s">
        <v>3718</v>
      </c>
      <c r="AS9" s="1" t="s">
        <v>3719</v>
      </c>
      <c r="AT9" s="1" t="s">
        <v>3720</v>
      </c>
      <c r="AU9" s="1">
        <v>1994</v>
      </c>
      <c r="AV9" s="1">
        <v>9</v>
      </c>
      <c r="AW9" s="1">
        <v>3</v>
      </c>
      <c r="AX9" s="1" t="s">
        <v>74</v>
      </c>
      <c r="AY9" s="1" t="s">
        <v>74</v>
      </c>
      <c r="AZ9" s="1" t="s">
        <v>74</v>
      </c>
      <c r="BA9" s="1" t="s">
        <v>74</v>
      </c>
      <c r="BB9" s="1">
        <v>261</v>
      </c>
      <c r="BC9" s="1">
        <v>292</v>
      </c>
      <c r="BD9" s="1" t="s">
        <v>74</v>
      </c>
      <c r="BE9" s="1" t="s">
        <v>3721</v>
      </c>
      <c r="BF9" s="1" t="str">
        <f>HYPERLINK("http://dx.doi.org/10.1016/0885-2014(94)90007-8","http://dx.doi.org/10.1016/0885-2014(94)90007-8")</f>
        <v>http://dx.doi.org/10.1016/0885-2014(94)90007-8</v>
      </c>
      <c r="BG9" s="1" t="s">
        <v>74</v>
      </c>
      <c r="BH9" s="1" t="s">
        <v>74</v>
      </c>
      <c r="BI9" s="1">
        <v>32</v>
      </c>
      <c r="BJ9" s="1" t="s">
        <v>3722</v>
      </c>
      <c r="BK9" s="1" t="s">
        <v>101</v>
      </c>
      <c r="BL9" s="1" t="s">
        <v>102</v>
      </c>
      <c r="BM9" s="1" t="s">
        <v>3723</v>
      </c>
      <c r="BN9" s="1" t="s">
        <v>74</v>
      </c>
      <c r="BO9" s="1" t="s">
        <v>74</v>
      </c>
      <c r="BP9" s="1" t="s">
        <v>74</v>
      </c>
      <c r="BQ9" s="1" t="s">
        <v>74</v>
      </c>
      <c r="BR9" s="1" t="s">
        <v>104</v>
      </c>
      <c r="BS9" s="1" t="s">
        <v>3724</v>
      </c>
      <c r="BT9" s="1" t="str">
        <f>HYPERLINK("https%3A%2F%2Fwww.webofscience.com%2Fwos%2Fwoscc%2Ffull-record%2FWOS:A1994PM29600001","View Full Record in Web of Science")</f>
        <v>View Full Record in Web of Science</v>
      </c>
      <c r="BU9" s="1" t="s">
        <v>3776</v>
      </c>
      <c r="BV9" s="1" t="s">
        <v>10653</v>
      </c>
    </row>
    <row r="10" spans="1:75" ht="87" x14ac:dyDescent="0.35">
      <c r="A10" s="1" t="s">
        <v>72</v>
      </c>
      <c r="B10" s="1" t="s">
        <v>3725</v>
      </c>
      <c r="C10" s="1" t="s">
        <v>74</v>
      </c>
      <c r="D10" s="1" t="s">
        <v>74</v>
      </c>
      <c r="E10" s="1" t="s">
        <v>74</v>
      </c>
      <c r="F10" s="1" t="s">
        <v>3725</v>
      </c>
      <c r="G10" s="1" t="s">
        <v>74</v>
      </c>
      <c r="H10" s="1" t="s">
        <v>74</v>
      </c>
      <c r="I10" s="1" t="s">
        <v>3726</v>
      </c>
      <c r="J10" s="1" t="s">
        <v>161</v>
      </c>
      <c r="K10" s="1" t="s">
        <v>74</v>
      </c>
      <c r="L10" s="1" t="s">
        <v>74</v>
      </c>
      <c r="M10" s="1" t="s">
        <v>78</v>
      </c>
      <c r="N10" s="1" t="s">
        <v>79</v>
      </c>
      <c r="O10" s="1" t="s">
        <v>74</v>
      </c>
      <c r="P10" s="1" t="s">
        <v>74</v>
      </c>
      <c r="Q10" s="1" t="s">
        <v>74</v>
      </c>
      <c r="R10" s="1" t="s">
        <v>74</v>
      </c>
      <c r="S10" s="1" t="s">
        <v>74</v>
      </c>
      <c r="T10" s="1" t="s">
        <v>74</v>
      </c>
      <c r="U10" s="1" t="s">
        <v>3727</v>
      </c>
      <c r="V10" s="1" t="s">
        <v>3728</v>
      </c>
      <c r="W10" s="1" t="s">
        <v>3729</v>
      </c>
      <c r="X10" s="1" t="s">
        <v>3730</v>
      </c>
      <c r="Y10" s="1" t="s">
        <v>3731</v>
      </c>
      <c r="Z10" s="1" t="s">
        <v>74</v>
      </c>
      <c r="AA10" s="1" t="s">
        <v>74</v>
      </c>
      <c r="AB10" s="1" t="s">
        <v>74</v>
      </c>
      <c r="AC10" s="1" t="s">
        <v>74</v>
      </c>
      <c r="AD10" s="1" t="s">
        <v>74</v>
      </c>
      <c r="AE10" s="1" t="s">
        <v>74</v>
      </c>
      <c r="AF10" s="1" t="s">
        <v>74</v>
      </c>
      <c r="AG10" s="1">
        <v>50</v>
      </c>
      <c r="AH10" s="1">
        <v>251</v>
      </c>
      <c r="AI10" s="1">
        <v>251</v>
      </c>
      <c r="AJ10" s="1">
        <v>1</v>
      </c>
      <c r="AK10" s="1">
        <v>24</v>
      </c>
      <c r="AL10" s="1" t="s">
        <v>170</v>
      </c>
      <c r="AM10" s="1" t="s">
        <v>171</v>
      </c>
      <c r="AN10" s="1" t="s">
        <v>172</v>
      </c>
      <c r="AO10" s="1" t="s">
        <v>173</v>
      </c>
      <c r="AP10" s="1" t="s">
        <v>174</v>
      </c>
      <c r="AQ10" s="1" t="s">
        <v>74</v>
      </c>
      <c r="AR10" s="1" t="s">
        <v>175</v>
      </c>
      <c r="AS10" s="1" t="s">
        <v>176</v>
      </c>
      <c r="AT10" s="1" t="s">
        <v>151</v>
      </c>
      <c r="AU10" s="1">
        <v>1994</v>
      </c>
      <c r="AV10" s="1">
        <v>21</v>
      </c>
      <c r="AW10" s="1">
        <v>1</v>
      </c>
      <c r="AX10" s="1" t="s">
        <v>74</v>
      </c>
      <c r="AY10" s="1" t="s">
        <v>74</v>
      </c>
      <c r="AZ10" s="1" t="s">
        <v>74</v>
      </c>
      <c r="BA10" s="1" t="s">
        <v>74</v>
      </c>
      <c r="BB10" s="1">
        <v>55</v>
      </c>
      <c r="BC10" s="1">
        <v>70</v>
      </c>
      <c r="BD10" s="1" t="s">
        <v>74</v>
      </c>
      <c r="BE10" s="1" t="s">
        <v>3732</v>
      </c>
      <c r="BF10" s="1" t="str">
        <f>HYPERLINK("http://dx.doi.org/10.1086/209382","http://dx.doi.org/10.1086/209382")</f>
        <v>http://dx.doi.org/10.1086/209382</v>
      </c>
      <c r="BG10" s="1" t="s">
        <v>74</v>
      </c>
      <c r="BH10" s="1" t="s">
        <v>74</v>
      </c>
      <c r="BI10" s="1">
        <v>16</v>
      </c>
      <c r="BJ10" s="1" t="s">
        <v>153</v>
      </c>
      <c r="BK10" s="1" t="s">
        <v>101</v>
      </c>
      <c r="BL10" s="1" t="s">
        <v>154</v>
      </c>
      <c r="BM10" s="1" t="s">
        <v>3733</v>
      </c>
      <c r="BN10" s="1" t="s">
        <v>74</v>
      </c>
      <c r="BO10" s="1" t="s">
        <v>74</v>
      </c>
      <c r="BP10" s="1" t="s">
        <v>74</v>
      </c>
      <c r="BQ10" s="1" t="s">
        <v>74</v>
      </c>
      <c r="BR10" s="1" t="s">
        <v>104</v>
      </c>
      <c r="BS10" s="1" t="s">
        <v>3734</v>
      </c>
      <c r="BT10" s="1" t="str">
        <f>HYPERLINK("https%3A%2F%2Fwww.webofscience.com%2Fwos%2Fwoscc%2Ffull-record%2FWOS:A1994NT49300004","View Full Record in Web of Science")</f>
        <v>View Full Record in Web of Science</v>
      </c>
      <c r="BU10" s="1" t="s">
        <v>3776</v>
      </c>
      <c r="BV10" s="1" t="s">
        <v>6080</v>
      </c>
      <c r="BW10" s="1" t="s">
        <v>10653</v>
      </c>
    </row>
    <row r="11" spans="1:75" x14ac:dyDescent="0.35">
      <c r="A11" t="s">
        <v>72</v>
      </c>
      <c r="B11" t="s">
        <v>6301</v>
      </c>
      <c r="C11" t="s">
        <v>74</v>
      </c>
      <c r="D11" t="s">
        <v>74</v>
      </c>
      <c r="E11" t="s">
        <v>74</v>
      </c>
      <c r="F11" t="s">
        <v>6301</v>
      </c>
      <c r="G11" t="s">
        <v>74</v>
      </c>
      <c r="H11" t="s">
        <v>74</v>
      </c>
      <c r="I11" t="s">
        <v>6302</v>
      </c>
      <c r="J11" t="s">
        <v>161</v>
      </c>
      <c r="K11" t="s">
        <v>74</v>
      </c>
      <c r="L11" t="s">
        <v>74</v>
      </c>
      <c r="M11" t="s">
        <v>78</v>
      </c>
      <c r="N11" t="s">
        <v>110</v>
      </c>
      <c r="O11" t="s">
        <v>74</v>
      </c>
      <c r="P11" t="s">
        <v>74</v>
      </c>
      <c r="Q11" t="s">
        <v>74</v>
      </c>
      <c r="R11" t="s">
        <v>74</v>
      </c>
      <c r="S11" t="s">
        <v>74</v>
      </c>
      <c r="T11" t="s">
        <v>74</v>
      </c>
      <c r="U11" t="s">
        <v>6303</v>
      </c>
      <c r="V11" t="s">
        <v>6304</v>
      </c>
      <c r="W11" t="s">
        <v>74</v>
      </c>
      <c r="X11" t="s">
        <v>74</v>
      </c>
      <c r="Y11" t="s">
        <v>6305</v>
      </c>
      <c r="Z11" t="s">
        <v>74</v>
      </c>
      <c r="AA11" t="s">
        <v>74</v>
      </c>
      <c r="AB11" t="s">
        <v>74</v>
      </c>
      <c r="AC11" t="s">
        <v>74</v>
      </c>
      <c r="AD11" t="s">
        <v>74</v>
      </c>
      <c r="AE11" t="s">
        <v>74</v>
      </c>
      <c r="AF11" t="s">
        <v>74</v>
      </c>
      <c r="AG11">
        <v>98</v>
      </c>
      <c r="AH11">
        <v>236</v>
      </c>
      <c r="AI11">
        <v>236</v>
      </c>
      <c r="AJ11">
        <v>1</v>
      </c>
      <c r="AK11">
        <v>21</v>
      </c>
      <c r="AL11" t="s">
        <v>357</v>
      </c>
      <c r="AM11" t="s">
        <v>233</v>
      </c>
      <c r="AN11" t="s">
        <v>3672</v>
      </c>
      <c r="AO11" t="s">
        <v>173</v>
      </c>
      <c r="AP11" t="s">
        <v>74</v>
      </c>
      <c r="AQ11" t="s">
        <v>74</v>
      </c>
      <c r="AR11" t="s">
        <v>175</v>
      </c>
      <c r="AS11" t="s">
        <v>176</v>
      </c>
      <c r="AT11" t="s">
        <v>348</v>
      </c>
      <c r="AU11">
        <v>1994</v>
      </c>
      <c r="AV11">
        <v>21</v>
      </c>
      <c r="AW11">
        <v>3</v>
      </c>
      <c r="AX11" t="s">
        <v>74</v>
      </c>
      <c r="AY11" t="s">
        <v>74</v>
      </c>
      <c r="AZ11" t="s">
        <v>74</v>
      </c>
      <c r="BA11" t="s">
        <v>74</v>
      </c>
      <c r="BB11">
        <v>461</v>
      </c>
      <c r="BC11">
        <v>480</v>
      </c>
      <c r="BD11" t="s">
        <v>74</v>
      </c>
      <c r="BE11" t="s">
        <v>6306</v>
      </c>
      <c r="BF11" t="str">
        <f>HYPERLINK("http://dx.doi.org/10.1086/209411","http://dx.doi.org/10.1086/209411")</f>
        <v>http://dx.doi.org/10.1086/209411</v>
      </c>
      <c r="BG11" t="s">
        <v>74</v>
      </c>
      <c r="BH11" t="s">
        <v>74</v>
      </c>
      <c r="BI11">
        <v>20</v>
      </c>
      <c r="BJ11" t="s">
        <v>153</v>
      </c>
      <c r="BK11" t="s">
        <v>101</v>
      </c>
      <c r="BL11" t="s">
        <v>154</v>
      </c>
      <c r="BM11" t="s">
        <v>6307</v>
      </c>
      <c r="BN11" t="s">
        <v>74</v>
      </c>
      <c r="BO11" t="s">
        <v>74</v>
      </c>
      <c r="BP11" t="s">
        <v>74</v>
      </c>
      <c r="BQ11" t="s">
        <v>74</v>
      </c>
      <c r="BR11" t="s">
        <v>6098</v>
      </c>
      <c r="BS11" t="s">
        <v>6308</v>
      </c>
      <c r="BT11" t="str">
        <f>HYPERLINK("https%3A%2F%2Fwww.webofscience.com%2Fwos%2Fwoscc%2Ffull-record%2FWOS:A1994PZ08100006","View Full Record in Web of Science")</f>
        <v>View Full Record in Web of Science</v>
      </c>
      <c r="BU11" t="s">
        <v>6100</v>
      </c>
      <c r="BV11" s="1" t="s">
        <v>6080</v>
      </c>
      <c r="BW11" s="1" t="s">
        <v>10653</v>
      </c>
    </row>
    <row r="12" spans="1:75" ht="377" x14ac:dyDescent="0.35">
      <c r="A12" s="1" t="s">
        <v>72</v>
      </c>
      <c r="B12" s="1" t="s">
        <v>3636</v>
      </c>
      <c r="C12" s="1" t="s">
        <v>74</v>
      </c>
      <c r="D12" s="1" t="s">
        <v>74</v>
      </c>
      <c r="E12" s="1" t="s">
        <v>74</v>
      </c>
      <c r="F12" s="1" t="s">
        <v>3636</v>
      </c>
      <c r="G12" s="1" t="s">
        <v>74</v>
      </c>
      <c r="H12" s="1" t="s">
        <v>74</v>
      </c>
      <c r="I12" s="1" t="s">
        <v>3637</v>
      </c>
      <c r="J12" s="1" t="s">
        <v>161</v>
      </c>
      <c r="K12" s="1" t="s">
        <v>74</v>
      </c>
      <c r="L12" s="1" t="s">
        <v>74</v>
      </c>
      <c r="M12" s="1" t="s">
        <v>78</v>
      </c>
      <c r="N12" s="1" t="s">
        <v>79</v>
      </c>
      <c r="O12" s="1" t="s">
        <v>74</v>
      </c>
      <c r="P12" s="1" t="s">
        <v>74</v>
      </c>
      <c r="Q12" s="1" t="s">
        <v>74</v>
      </c>
      <c r="R12" s="1" t="s">
        <v>74</v>
      </c>
      <c r="S12" s="1" t="s">
        <v>74</v>
      </c>
      <c r="T12" s="1" t="s">
        <v>74</v>
      </c>
      <c r="U12" s="1" t="s">
        <v>3638</v>
      </c>
      <c r="V12" s="1" t="s">
        <v>3639</v>
      </c>
      <c r="W12" s="1" t="s">
        <v>3640</v>
      </c>
      <c r="X12" s="1" t="s">
        <v>3641</v>
      </c>
      <c r="Y12" s="1" t="s">
        <v>3642</v>
      </c>
      <c r="Z12" s="1" t="s">
        <v>74</v>
      </c>
      <c r="AA12" s="1" t="s">
        <v>74</v>
      </c>
      <c r="AB12" s="1" t="s">
        <v>74</v>
      </c>
      <c r="AC12" s="1" t="s">
        <v>74</v>
      </c>
      <c r="AD12" s="1" t="s">
        <v>74</v>
      </c>
      <c r="AE12" s="1" t="s">
        <v>74</v>
      </c>
      <c r="AF12" s="1" t="s">
        <v>74</v>
      </c>
      <c r="AG12" s="1">
        <v>29</v>
      </c>
      <c r="AH12" s="1">
        <v>376</v>
      </c>
      <c r="AI12" s="1">
        <v>376</v>
      </c>
      <c r="AJ12" s="1">
        <v>5</v>
      </c>
      <c r="AK12" s="1">
        <v>59</v>
      </c>
      <c r="AL12" s="1" t="s">
        <v>170</v>
      </c>
      <c r="AM12" s="1" t="s">
        <v>171</v>
      </c>
      <c r="AN12" s="1" t="s">
        <v>172</v>
      </c>
      <c r="AO12" s="1" t="s">
        <v>173</v>
      </c>
      <c r="AP12" s="1" t="s">
        <v>174</v>
      </c>
      <c r="AQ12" s="1" t="s">
        <v>74</v>
      </c>
      <c r="AR12" s="1" t="s">
        <v>175</v>
      </c>
      <c r="AS12" s="1" t="s">
        <v>176</v>
      </c>
      <c r="AT12" s="1" t="s">
        <v>348</v>
      </c>
      <c r="AU12" s="1">
        <v>1995</v>
      </c>
      <c r="AV12" s="1">
        <v>22</v>
      </c>
      <c r="AW12" s="1">
        <v>3</v>
      </c>
      <c r="AX12" s="1" t="s">
        <v>74</v>
      </c>
      <c r="AY12" s="1" t="s">
        <v>74</v>
      </c>
      <c r="AZ12" s="1" t="s">
        <v>74</v>
      </c>
      <c r="BA12" s="1" t="s">
        <v>74</v>
      </c>
      <c r="BB12" s="1">
        <v>327</v>
      </c>
      <c r="BC12" s="1">
        <v>343</v>
      </c>
      <c r="BD12" s="1" t="s">
        <v>74</v>
      </c>
      <c r="BE12" s="1" t="s">
        <v>3643</v>
      </c>
      <c r="BF12" s="1" t="str">
        <f>HYPERLINK("http://dx.doi.org/10.1086/209454","http://dx.doi.org/10.1086/209454")</f>
        <v>http://dx.doi.org/10.1086/209454</v>
      </c>
      <c r="BG12" s="1" t="s">
        <v>74</v>
      </c>
      <c r="BH12" s="1" t="s">
        <v>74</v>
      </c>
      <c r="BI12" s="1">
        <v>17</v>
      </c>
      <c r="BJ12" s="1" t="s">
        <v>153</v>
      </c>
      <c r="BK12" s="1" t="s">
        <v>101</v>
      </c>
      <c r="BL12" s="1" t="s">
        <v>154</v>
      </c>
      <c r="BM12" s="1" t="s">
        <v>3644</v>
      </c>
      <c r="BN12" s="1" t="s">
        <v>74</v>
      </c>
      <c r="BO12" s="1" t="s">
        <v>74</v>
      </c>
      <c r="BP12" s="1" t="s">
        <v>74</v>
      </c>
      <c r="BQ12" s="1" t="s">
        <v>74</v>
      </c>
      <c r="BR12" s="1" t="s">
        <v>104</v>
      </c>
      <c r="BS12" s="1" t="s">
        <v>3645</v>
      </c>
      <c r="BT12" s="1" t="str">
        <f>HYPERLINK("https%3A%2F%2Fwww.webofscience.com%2Fwos%2Fwoscc%2Ffull-record%2FWOS:A1995TP69800007","View Full Record in Web of Science")</f>
        <v>View Full Record in Web of Science</v>
      </c>
      <c r="BU12" s="1" t="s">
        <v>3776</v>
      </c>
      <c r="BV12" s="1" t="s">
        <v>6080</v>
      </c>
      <c r="BW12" s="1" t="s">
        <v>10653</v>
      </c>
    </row>
    <row r="13" spans="1:75" ht="232" x14ac:dyDescent="0.35">
      <c r="A13" s="1" t="s">
        <v>72</v>
      </c>
      <c r="B13" s="1" t="s">
        <v>3646</v>
      </c>
      <c r="C13" s="1" t="s">
        <v>74</v>
      </c>
      <c r="D13" s="1" t="s">
        <v>74</v>
      </c>
      <c r="E13" s="1" t="s">
        <v>74</v>
      </c>
      <c r="F13" s="1" t="s">
        <v>3646</v>
      </c>
      <c r="G13" s="1" t="s">
        <v>74</v>
      </c>
      <c r="H13" s="1" t="s">
        <v>74</v>
      </c>
      <c r="I13" s="1" t="s">
        <v>3647</v>
      </c>
      <c r="J13" s="1" t="s">
        <v>2081</v>
      </c>
      <c r="K13" s="1" t="s">
        <v>74</v>
      </c>
      <c r="L13" s="1" t="s">
        <v>74</v>
      </c>
      <c r="M13" s="1" t="s">
        <v>78</v>
      </c>
      <c r="N13" s="1" t="s">
        <v>79</v>
      </c>
      <c r="O13" s="1" t="s">
        <v>74</v>
      </c>
      <c r="P13" s="1" t="s">
        <v>74</v>
      </c>
      <c r="Q13" s="1" t="s">
        <v>74</v>
      </c>
      <c r="R13" s="1" t="s">
        <v>74</v>
      </c>
      <c r="S13" s="1" t="s">
        <v>74</v>
      </c>
      <c r="T13" s="1" t="s">
        <v>74</v>
      </c>
      <c r="U13" s="1" t="s">
        <v>74</v>
      </c>
      <c r="V13" s="1" t="s">
        <v>6077</v>
      </c>
      <c r="W13" s="1" t="s">
        <v>74</v>
      </c>
      <c r="X13" s="1" t="s">
        <v>74</v>
      </c>
      <c r="Y13" s="1" t="s">
        <v>3648</v>
      </c>
      <c r="Z13" s="1" t="s">
        <v>74</v>
      </c>
      <c r="AA13" s="1" t="s">
        <v>74</v>
      </c>
      <c r="AB13" s="1" t="s">
        <v>74</v>
      </c>
      <c r="AC13" s="1" t="s">
        <v>74</v>
      </c>
      <c r="AD13" s="1" t="s">
        <v>74</v>
      </c>
      <c r="AE13" s="1" t="s">
        <v>74</v>
      </c>
      <c r="AF13" s="1" t="s">
        <v>74</v>
      </c>
      <c r="AG13" s="1">
        <v>7</v>
      </c>
      <c r="AH13" s="1">
        <v>6335</v>
      </c>
      <c r="AI13" s="1">
        <v>6640</v>
      </c>
      <c r="AJ13" s="1">
        <v>9</v>
      </c>
      <c r="AK13" s="1">
        <v>193</v>
      </c>
      <c r="AL13" s="1" t="s">
        <v>599</v>
      </c>
      <c r="AM13" s="1" t="s">
        <v>325</v>
      </c>
      <c r="AN13" s="1" t="s">
        <v>3649</v>
      </c>
      <c r="AO13" s="1" t="s">
        <v>2083</v>
      </c>
      <c r="AP13" s="1" t="s">
        <v>74</v>
      </c>
      <c r="AQ13" s="1" t="s">
        <v>74</v>
      </c>
      <c r="AR13" s="1" t="s">
        <v>2085</v>
      </c>
      <c r="AS13" s="1" t="s">
        <v>2086</v>
      </c>
      <c r="AT13" s="1" t="s">
        <v>258</v>
      </c>
      <c r="AU13" s="1">
        <v>1995</v>
      </c>
      <c r="AV13" s="1">
        <v>38</v>
      </c>
      <c r="AW13" s="1">
        <v>11</v>
      </c>
      <c r="AX13" s="1" t="s">
        <v>74</v>
      </c>
      <c r="AY13" s="1" t="s">
        <v>74</v>
      </c>
      <c r="AZ13" s="1" t="s">
        <v>74</v>
      </c>
      <c r="BA13" s="1" t="s">
        <v>74</v>
      </c>
      <c r="BB13" s="1">
        <v>39</v>
      </c>
      <c r="BC13" s="1">
        <v>41</v>
      </c>
      <c r="BD13" s="1" t="s">
        <v>74</v>
      </c>
      <c r="BE13" s="1" t="s">
        <v>3650</v>
      </c>
      <c r="BF13" s="1" t="str">
        <f>HYPERLINK("http://dx.doi.org/10.1145/219717.219748","http://dx.doi.org/10.1145/219717.219748")</f>
        <v>http://dx.doi.org/10.1145/219717.219748</v>
      </c>
      <c r="BG13" s="1" t="s">
        <v>74</v>
      </c>
      <c r="BH13" s="1" t="s">
        <v>74</v>
      </c>
      <c r="BI13" s="1">
        <v>3</v>
      </c>
      <c r="BJ13" s="1" t="s">
        <v>2087</v>
      </c>
      <c r="BK13" s="1" t="s">
        <v>129</v>
      </c>
      <c r="BL13" s="1" t="s">
        <v>417</v>
      </c>
      <c r="BM13" s="1" t="s">
        <v>3651</v>
      </c>
      <c r="BN13" s="1" t="s">
        <v>74</v>
      </c>
      <c r="BO13" s="1" t="s">
        <v>334</v>
      </c>
      <c r="BP13" s="1" t="s">
        <v>74</v>
      </c>
      <c r="BQ13" s="1" t="s">
        <v>74</v>
      </c>
      <c r="BR13" s="1" t="s">
        <v>104</v>
      </c>
      <c r="BS13" s="1" t="s">
        <v>3652</v>
      </c>
      <c r="BT13" s="1" t="str">
        <f>HYPERLINK("https%3A%2F%2Fwww.webofscience.com%2Fwos%2Fwoscc%2Ffull-record%2FWOS:A1995TC17500014","View Full Record in Web of Science")</f>
        <v>View Full Record in Web of Science</v>
      </c>
      <c r="BU13" s="1" t="s">
        <v>3776</v>
      </c>
      <c r="BV13" s="1" t="s">
        <v>10653</v>
      </c>
    </row>
    <row r="14" spans="1:75" ht="246.5" x14ac:dyDescent="0.35">
      <c r="A14" s="1" t="s">
        <v>72</v>
      </c>
      <c r="B14" s="1" t="s">
        <v>3653</v>
      </c>
      <c r="C14" s="1" t="s">
        <v>74</v>
      </c>
      <c r="D14" s="1" t="s">
        <v>74</v>
      </c>
      <c r="E14" s="1" t="s">
        <v>74</v>
      </c>
      <c r="F14" s="1" t="s">
        <v>3653</v>
      </c>
      <c r="G14" s="1" t="s">
        <v>74</v>
      </c>
      <c r="H14" s="1" t="s">
        <v>74</v>
      </c>
      <c r="I14" s="1" t="s">
        <v>3654</v>
      </c>
      <c r="J14" s="1" t="s">
        <v>161</v>
      </c>
      <c r="K14" s="1" t="s">
        <v>74</v>
      </c>
      <c r="L14" s="1" t="s">
        <v>74</v>
      </c>
      <c r="M14" s="1" t="s">
        <v>78</v>
      </c>
      <c r="N14" s="1" t="s">
        <v>79</v>
      </c>
      <c r="O14" s="1" t="s">
        <v>74</v>
      </c>
      <c r="P14" s="1" t="s">
        <v>74</v>
      </c>
      <c r="Q14" s="1" t="s">
        <v>74</v>
      </c>
      <c r="R14" s="1" t="s">
        <v>74</v>
      </c>
      <c r="S14" s="1" t="s">
        <v>74</v>
      </c>
      <c r="T14" s="1" t="s">
        <v>74</v>
      </c>
      <c r="U14" s="1" t="s">
        <v>3655</v>
      </c>
      <c r="V14" s="1" t="s">
        <v>3656</v>
      </c>
      <c r="W14" s="1" t="s">
        <v>3657</v>
      </c>
      <c r="X14" s="1" t="s">
        <v>3658</v>
      </c>
      <c r="Y14" s="1" t="s">
        <v>3659</v>
      </c>
      <c r="Z14" s="1" t="s">
        <v>74</v>
      </c>
      <c r="AA14" s="1" t="s">
        <v>74</v>
      </c>
      <c r="AB14" s="1" t="s">
        <v>74</v>
      </c>
      <c r="AC14" s="1" t="s">
        <v>74</v>
      </c>
      <c r="AD14" s="1" t="s">
        <v>74</v>
      </c>
      <c r="AE14" s="1" t="s">
        <v>74</v>
      </c>
      <c r="AF14" s="1" t="s">
        <v>74</v>
      </c>
      <c r="AG14" s="1">
        <v>59</v>
      </c>
      <c r="AH14" s="1">
        <v>297</v>
      </c>
      <c r="AI14" s="1">
        <v>310</v>
      </c>
      <c r="AJ14" s="1">
        <v>1</v>
      </c>
      <c r="AK14" s="1">
        <v>43</v>
      </c>
      <c r="AL14" s="1" t="s">
        <v>170</v>
      </c>
      <c r="AM14" s="1" t="s">
        <v>171</v>
      </c>
      <c r="AN14" s="1" t="s">
        <v>172</v>
      </c>
      <c r="AO14" s="1" t="s">
        <v>173</v>
      </c>
      <c r="AP14" s="1" t="s">
        <v>174</v>
      </c>
      <c r="AQ14" s="1" t="s">
        <v>74</v>
      </c>
      <c r="AR14" s="1" t="s">
        <v>175</v>
      </c>
      <c r="AS14" s="1" t="s">
        <v>176</v>
      </c>
      <c r="AT14" s="1" t="s">
        <v>517</v>
      </c>
      <c r="AU14" s="1">
        <v>1995</v>
      </c>
      <c r="AV14" s="1">
        <v>22</v>
      </c>
      <c r="AW14" s="1">
        <v>2</v>
      </c>
      <c r="AX14" s="1" t="s">
        <v>74</v>
      </c>
      <c r="AY14" s="1" t="s">
        <v>74</v>
      </c>
      <c r="AZ14" s="1" t="s">
        <v>74</v>
      </c>
      <c r="BA14" s="1" t="s">
        <v>74</v>
      </c>
      <c r="BB14" s="1">
        <v>139</v>
      </c>
      <c r="BC14" s="1">
        <v>153</v>
      </c>
      <c r="BD14" s="1" t="s">
        <v>74</v>
      </c>
      <c r="BE14" s="1" t="s">
        <v>3660</v>
      </c>
      <c r="BF14" s="1" t="str">
        <f>HYPERLINK("http://dx.doi.org/10.1086/209441","http://dx.doi.org/10.1086/209441")</f>
        <v>http://dx.doi.org/10.1086/209441</v>
      </c>
      <c r="BG14" s="1" t="s">
        <v>74</v>
      </c>
      <c r="BH14" s="1" t="s">
        <v>74</v>
      </c>
      <c r="BI14" s="1">
        <v>15</v>
      </c>
      <c r="BJ14" s="1" t="s">
        <v>153</v>
      </c>
      <c r="BK14" s="1" t="s">
        <v>101</v>
      </c>
      <c r="BL14" s="1" t="s">
        <v>154</v>
      </c>
      <c r="BM14" s="1" t="s">
        <v>3661</v>
      </c>
      <c r="BN14" s="1" t="s">
        <v>74</v>
      </c>
      <c r="BO14" s="1" t="s">
        <v>74</v>
      </c>
      <c r="BP14" s="1" t="s">
        <v>74</v>
      </c>
      <c r="BQ14" s="1" t="s">
        <v>74</v>
      </c>
      <c r="BR14" s="1" t="s">
        <v>104</v>
      </c>
      <c r="BS14" s="1" t="s">
        <v>3662</v>
      </c>
      <c r="BT14" s="1" t="str">
        <f>HYPERLINK("https%3A%2F%2Fwww.webofscience.com%2Fwos%2Fwoscc%2Ffull-record%2FWOS:A1995RV56400002","View Full Record in Web of Science")</f>
        <v>View Full Record in Web of Science</v>
      </c>
      <c r="BU14" s="1" t="s">
        <v>3776</v>
      </c>
      <c r="BV14" s="1" t="s">
        <v>6080</v>
      </c>
      <c r="BW14" s="1" t="s">
        <v>10653</v>
      </c>
    </row>
    <row r="15" spans="1:75" ht="120" customHeight="1" x14ac:dyDescent="0.35">
      <c r="A15" s="1" t="s">
        <v>72</v>
      </c>
      <c r="B15" s="1" t="s">
        <v>3663</v>
      </c>
      <c r="C15" s="1" t="s">
        <v>74</v>
      </c>
      <c r="D15" s="1" t="s">
        <v>74</v>
      </c>
      <c r="E15" s="1" t="s">
        <v>74</v>
      </c>
      <c r="F15" s="1" t="s">
        <v>3663</v>
      </c>
      <c r="G15" s="1" t="s">
        <v>74</v>
      </c>
      <c r="H15" s="1" t="s">
        <v>74</v>
      </c>
      <c r="I15" s="1" t="s">
        <v>3664</v>
      </c>
      <c r="J15" s="1" t="s">
        <v>161</v>
      </c>
      <c r="K15" s="1" t="s">
        <v>74</v>
      </c>
      <c r="L15" s="1" t="s">
        <v>74</v>
      </c>
      <c r="M15" s="1" t="s">
        <v>78</v>
      </c>
      <c r="N15" s="1" t="s">
        <v>79</v>
      </c>
      <c r="O15" s="1" t="s">
        <v>74</v>
      </c>
      <c r="P15" s="1" t="s">
        <v>74</v>
      </c>
      <c r="Q15" s="1" t="s">
        <v>74</v>
      </c>
      <c r="R15" s="1" t="s">
        <v>74</v>
      </c>
      <c r="S15" s="1" t="s">
        <v>74</v>
      </c>
      <c r="T15" s="1" t="s">
        <v>74</v>
      </c>
      <c r="U15" s="1" t="s">
        <v>3665</v>
      </c>
      <c r="V15" s="1" t="s">
        <v>3666</v>
      </c>
      <c r="W15" s="1" t="s">
        <v>3667</v>
      </c>
      <c r="X15" s="1" t="s">
        <v>3668</v>
      </c>
      <c r="Y15" s="1" t="s">
        <v>3669</v>
      </c>
      <c r="Z15" s="1" t="s">
        <v>74</v>
      </c>
      <c r="AA15" s="1" t="s">
        <v>3670</v>
      </c>
      <c r="AB15" s="1" t="s">
        <v>3671</v>
      </c>
      <c r="AC15" s="1" t="s">
        <v>74</v>
      </c>
      <c r="AD15" s="1" t="s">
        <v>74</v>
      </c>
      <c r="AE15" s="1" t="s">
        <v>74</v>
      </c>
      <c r="AF15" s="1" t="s">
        <v>74</v>
      </c>
      <c r="AG15" s="1">
        <v>43</v>
      </c>
      <c r="AH15" s="1">
        <v>1100</v>
      </c>
      <c r="AI15" s="1">
        <v>1123</v>
      </c>
      <c r="AJ15" s="1">
        <v>3</v>
      </c>
      <c r="AK15" s="1">
        <v>137</v>
      </c>
      <c r="AL15" s="1" t="s">
        <v>357</v>
      </c>
      <c r="AM15" s="1" t="s">
        <v>233</v>
      </c>
      <c r="AN15" s="1" t="s">
        <v>3672</v>
      </c>
      <c r="AO15" s="1" t="s">
        <v>173</v>
      </c>
      <c r="AP15" s="1" t="s">
        <v>74</v>
      </c>
      <c r="AQ15" s="1" t="s">
        <v>74</v>
      </c>
      <c r="AR15" s="1" t="s">
        <v>175</v>
      </c>
      <c r="AS15" s="1" t="s">
        <v>176</v>
      </c>
      <c r="AT15" s="1" t="s">
        <v>151</v>
      </c>
      <c r="AU15" s="1">
        <v>1995</v>
      </c>
      <c r="AV15" s="1">
        <v>22</v>
      </c>
      <c r="AW15" s="1">
        <v>1</v>
      </c>
      <c r="AX15" s="1" t="s">
        <v>74</v>
      </c>
      <c r="AY15" s="1" t="s">
        <v>74</v>
      </c>
      <c r="AZ15" s="1" t="s">
        <v>74</v>
      </c>
      <c r="BA15" s="1" t="s">
        <v>74</v>
      </c>
      <c r="BB15" s="1">
        <v>43</v>
      </c>
      <c r="BC15" s="1">
        <v>61</v>
      </c>
      <c r="BD15" s="1" t="s">
        <v>74</v>
      </c>
      <c r="BE15" s="1" t="s">
        <v>3673</v>
      </c>
      <c r="BF15" s="1" t="str">
        <f>HYPERLINK("http://dx.doi.org/10.1086/209434","http://dx.doi.org/10.1086/209434")</f>
        <v>http://dx.doi.org/10.1086/209434</v>
      </c>
      <c r="BG15" s="1" t="s">
        <v>74</v>
      </c>
      <c r="BH15" s="1" t="s">
        <v>74</v>
      </c>
      <c r="BI15" s="1">
        <v>19</v>
      </c>
      <c r="BJ15" s="1" t="s">
        <v>153</v>
      </c>
      <c r="BK15" s="1" t="s">
        <v>101</v>
      </c>
      <c r="BL15" s="1" t="s">
        <v>154</v>
      </c>
      <c r="BM15" s="1" t="s">
        <v>3674</v>
      </c>
      <c r="BN15" s="1" t="s">
        <v>74</v>
      </c>
      <c r="BO15" s="1" t="s">
        <v>74</v>
      </c>
      <c r="BP15" s="1" t="s">
        <v>74</v>
      </c>
      <c r="BQ15" s="1" t="s">
        <v>74</v>
      </c>
      <c r="BR15" s="1" t="s">
        <v>104</v>
      </c>
      <c r="BS15" s="1" t="s">
        <v>3675</v>
      </c>
      <c r="BT15" s="1" t="str">
        <f>HYPERLINK("https%3A%2F%2Fwww.webofscience.com%2Fwos%2Fwoscc%2Ffull-record%2FWOS:A1995RB24600004","View Full Record in Web of Science")</f>
        <v>View Full Record in Web of Science</v>
      </c>
      <c r="BU15" s="1" t="s">
        <v>3776</v>
      </c>
      <c r="BV15" s="1" t="s">
        <v>6080</v>
      </c>
      <c r="BW15" s="1" t="s">
        <v>10653</v>
      </c>
    </row>
    <row r="16" spans="1:75" ht="261" x14ac:dyDescent="0.35">
      <c r="A16" s="1" t="s">
        <v>72</v>
      </c>
      <c r="B16" s="1" t="s">
        <v>3676</v>
      </c>
      <c r="C16" s="1" t="s">
        <v>74</v>
      </c>
      <c r="D16" s="1" t="s">
        <v>74</v>
      </c>
      <c r="E16" s="1" t="s">
        <v>74</v>
      </c>
      <c r="F16" s="1" t="s">
        <v>3676</v>
      </c>
      <c r="G16" s="1" t="s">
        <v>74</v>
      </c>
      <c r="H16" s="1" t="s">
        <v>74</v>
      </c>
      <c r="I16" s="1" t="s">
        <v>3677</v>
      </c>
      <c r="J16" s="1" t="s">
        <v>3678</v>
      </c>
      <c r="K16" s="1" t="s">
        <v>74</v>
      </c>
      <c r="L16" s="1" t="s">
        <v>74</v>
      </c>
      <c r="M16" s="1" t="s">
        <v>78</v>
      </c>
      <c r="N16" s="1" t="s">
        <v>79</v>
      </c>
      <c r="O16" s="1" t="s">
        <v>74</v>
      </c>
      <c r="P16" s="1" t="s">
        <v>74</v>
      </c>
      <c r="Q16" s="1" t="s">
        <v>74</v>
      </c>
      <c r="R16" s="1" t="s">
        <v>74</v>
      </c>
      <c r="S16" s="1" t="s">
        <v>74</v>
      </c>
      <c r="T16" s="1" t="s">
        <v>3679</v>
      </c>
      <c r="U16" s="1" t="s">
        <v>3680</v>
      </c>
      <c r="V16" s="1" t="s">
        <v>3681</v>
      </c>
      <c r="W16" s="1" t="s">
        <v>74</v>
      </c>
      <c r="X16" s="1" t="s">
        <v>74</v>
      </c>
      <c r="Y16" s="1" t="s">
        <v>3682</v>
      </c>
      <c r="Z16" s="1" t="s">
        <v>74</v>
      </c>
      <c r="AA16" s="1" t="s">
        <v>3683</v>
      </c>
      <c r="AB16" s="1" t="s">
        <v>74</v>
      </c>
      <c r="AC16" s="1" t="s">
        <v>74</v>
      </c>
      <c r="AD16" s="1" t="s">
        <v>74</v>
      </c>
      <c r="AE16" s="1" t="s">
        <v>74</v>
      </c>
      <c r="AF16" s="1" t="s">
        <v>74</v>
      </c>
      <c r="AG16" s="1">
        <v>14</v>
      </c>
      <c r="AH16" s="1">
        <v>62180</v>
      </c>
      <c r="AI16" s="1">
        <v>62972</v>
      </c>
      <c r="AJ16" s="1">
        <v>98</v>
      </c>
      <c r="AK16" s="1">
        <v>2495</v>
      </c>
      <c r="AL16" s="1" t="s">
        <v>206</v>
      </c>
      <c r="AM16" s="1" t="s">
        <v>207</v>
      </c>
      <c r="AN16" s="1" t="s">
        <v>208</v>
      </c>
      <c r="AO16" s="1" t="s">
        <v>3684</v>
      </c>
      <c r="AP16" s="1" t="s">
        <v>3685</v>
      </c>
      <c r="AQ16" s="1" t="s">
        <v>74</v>
      </c>
      <c r="AR16" s="1" t="s">
        <v>3686</v>
      </c>
      <c r="AS16" s="1" t="s">
        <v>3687</v>
      </c>
      <c r="AT16" s="1" t="s">
        <v>74</v>
      </c>
      <c r="AU16" s="1">
        <v>1995</v>
      </c>
      <c r="AV16" s="1">
        <v>57</v>
      </c>
      <c r="AW16" s="1">
        <v>1</v>
      </c>
      <c r="AX16" s="1" t="s">
        <v>74</v>
      </c>
      <c r="AY16" s="1" t="s">
        <v>74</v>
      </c>
      <c r="AZ16" s="1" t="s">
        <v>74</v>
      </c>
      <c r="BA16" s="1" t="s">
        <v>74</v>
      </c>
      <c r="BB16" s="1">
        <v>289</v>
      </c>
      <c r="BC16" s="1">
        <v>300</v>
      </c>
      <c r="BD16" s="1" t="s">
        <v>74</v>
      </c>
      <c r="BE16" s="1" t="s">
        <v>3688</v>
      </c>
      <c r="BF16" s="1" t="str">
        <f>HYPERLINK("http://dx.doi.org/10.1111/j.2517-6161.1995.tb02031.x","http://dx.doi.org/10.1111/j.2517-6161.1995.tb02031.x")</f>
        <v>http://dx.doi.org/10.1111/j.2517-6161.1995.tb02031.x</v>
      </c>
      <c r="BG16" s="1" t="s">
        <v>74</v>
      </c>
      <c r="BH16" s="1" t="s">
        <v>74</v>
      </c>
      <c r="BI16" s="1">
        <v>12</v>
      </c>
      <c r="BJ16" s="1" t="s">
        <v>2068</v>
      </c>
      <c r="BK16" s="1" t="s">
        <v>129</v>
      </c>
      <c r="BL16" s="1" t="s">
        <v>2070</v>
      </c>
      <c r="BM16" s="1" t="s">
        <v>3689</v>
      </c>
      <c r="BN16" s="1" t="s">
        <v>74</v>
      </c>
      <c r="BO16" s="1" t="s">
        <v>74</v>
      </c>
      <c r="BP16" s="1" t="s">
        <v>74</v>
      </c>
      <c r="BQ16" s="1" t="s">
        <v>74</v>
      </c>
      <c r="BR16" s="1" t="s">
        <v>104</v>
      </c>
      <c r="BS16" s="1" t="s">
        <v>3690</v>
      </c>
      <c r="BT16" s="1" t="str">
        <f>HYPERLINK("https%3A%2F%2Fwww.webofscience.com%2Fwos%2Fwoscc%2Ffull-record%2FWOS:A1995QE45300017","View Full Record in Web of Science")</f>
        <v>View Full Record in Web of Science</v>
      </c>
      <c r="BU16" s="1" t="s">
        <v>3776</v>
      </c>
      <c r="BV16" s="1" t="s">
        <v>10653</v>
      </c>
    </row>
    <row r="17" spans="1:75" ht="261" x14ac:dyDescent="0.35">
      <c r="A17" s="1" t="s">
        <v>72</v>
      </c>
      <c r="B17" s="1" t="s">
        <v>3619</v>
      </c>
      <c r="C17" s="1" t="s">
        <v>74</v>
      </c>
      <c r="D17" s="1" t="s">
        <v>74</v>
      </c>
      <c r="E17" s="1" t="s">
        <v>74</v>
      </c>
      <c r="F17" s="1" t="s">
        <v>3619</v>
      </c>
      <c r="G17" s="1" t="s">
        <v>74</v>
      </c>
      <c r="H17" s="1" t="s">
        <v>74</v>
      </c>
      <c r="I17" s="1" t="s">
        <v>3620</v>
      </c>
      <c r="J17" s="1" t="s">
        <v>77</v>
      </c>
      <c r="K17" s="1" t="s">
        <v>74</v>
      </c>
      <c r="L17" s="1" t="s">
        <v>74</v>
      </c>
      <c r="M17" s="1" t="s">
        <v>78</v>
      </c>
      <c r="N17" s="1" t="s">
        <v>79</v>
      </c>
      <c r="O17" s="1" t="s">
        <v>74</v>
      </c>
      <c r="P17" s="1" t="s">
        <v>74</v>
      </c>
      <c r="Q17" s="1" t="s">
        <v>74</v>
      </c>
      <c r="R17" s="1" t="s">
        <v>74</v>
      </c>
      <c r="S17" s="1" t="s">
        <v>74</v>
      </c>
      <c r="T17" s="1" t="s">
        <v>74</v>
      </c>
      <c r="U17" s="1" t="s">
        <v>3621</v>
      </c>
      <c r="V17" s="1" t="s">
        <v>3622</v>
      </c>
      <c r="W17" s="1" t="s">
        <v>74</v>
      </c>
      <c r="X17" s="1" t="s">
        <v>74</v>
      </c>
      <c r="Y17" s="1" t="s">
        <v>3623</v>
      </c>
      <c r="Z17" s="1" t="s">
        <v>74</v>
      </c>
      <c r="AA17" s="1" t="s">
        <v>74</v>
      </c>
      <c r="AB17" s="1" t="s">
        <v>74</v>
      </c>
      <c r="AC17" s="1" t="s">
        <v>74</v>
      </c>
      <c r="AD17" s="1" t="s">
        <v>74</v>
      </c>
      <c r="AE17" s="1" t="s">
        <v>74</v>
      </c>
      <c r="AF17" s="1" t="s">
        <v>74</v>
      </c>
      <c r="AG17" s="1">
        <v>87</v>
      </c>
      <c r="AH17" s="1">
        <v>533</v>
      </c>
      <c r="AI17" s="1">
        <v>541</v>
      </c>
      <c r="AJ17" s="1">
        <v>3</v>
      </c>
      <c r="AK17" s="1">
        <v>79</v>
      </c>
      <c r="AL17" s="1" t="s">
        <v>91</v>
      </c>
      <c r="AM17" s="1" t="s">
        <v>92</v>
      </c>
      <c r="AN17" s="1" t="s">
        <v>93</v>
      </c>
      <c r="AO17" s="1" t="s">
        <v>94</v>
      </c>
      <c r="AP17" s="1" t="s">
        <v>95</v>
      </c>
      <c r="AQ17" s="1" t="s">
        <v>74</v>
      </c>
      <c r="AR17" s="1" t="s">
        <v>96</v>
      </c>
      <c r="AS17" s="1" t="s">
        <v>97</v>
      </c>
      <c r="AT17" s="1" t="s">
        <v>517</v>
      </c>
      <c r="AU17" s="1">
        <v>1996</v>
      </c>
      <c r="AV17" s="1">
        <v>71</v>
      </c>
      <c r="AW17" s="1">
        <v>3</v>
      </c>
      <c r="AX17" s="1" t="s">
        <v>74</v>
      </c>
      <c r="AY17" s="1" t="s">
        <v>74</v>
      </c>
      <c r="AZ17" s="1" t="s">
        <v>74</v>
      </c>
      <c r="BA17" s="1" t="s">
        <v>74</v>
      </c>
      <c r="BB17" s="1">
        <v>464</v>
      </c>
      <c r="BC17" s="1">
        <v>478</v>
      </c>
      <c r="BD17" s="1" t="s">
        <v>74</v>
      </c>
      <c r="BE17" s="1" t="s">
        <v>3624</v>
      </c>
      <c r="BF17" s="1" t="str">
        <f>HYPERLINK("http://dx.doi.org/10.1037/0022-3514.71.3.464","http://dx.doi.org/10.1037/0022-3514.71.3.464")</f>
        <v>http://dx.doi.org/10.1037/0022-3514.71.3.464</v>
      </c>
      <c r="BG17" s="1" t="s">
        <v>74</v>
      </c>
      <c r="BH17" s="1" t="s">
        <v>74</v>
      </c>
      <c r="BI17" s="1">
        <v>15</v>
      </c>
      <c r="BJ17" s="1" t="s">
        <v>100</v>
      </c>
      <c r="BK17" s="1" t="s">
        <v>101</v>
      </c>
      <c r="BL17" s="1" t="s">
        <v>102</v>
      </c>
      <c r="BM17" s="1" t="s">
        <v>3625</v>
      </c>
      <c r="BN17" s="1" t="s">
        <v>74</v>
      </c>
      <c r="BO17" s="1" t="s">
        <v>74</v>
      </c>
      <c r="BP17" s="1" t="s">
        <v>74</v>
      </c>
      <c r="BQ17" s="1" t="s">
        <v>74</v>
      </c>
      <c r="BR17" s="1" t="s">
        <v>104</v>
      </c>
      <c r="BS17" s="1" t="s">
        <v>3626</v>
      </c>
      <c r="BT17" s="1" t="str">
        <f>HYPERLINK("https%3A%2F%2Fwww.webofscience.com%2Fwos%2Fwoscc%2Ffull-record%2FWOS:A1996VG90500004","View Full Record in Web of Science")</f>
        <v>View Full Record in Web of Science</v>
      </c>
      <c r="BU17" s="1" t="s">
        <v>3776</v>
      </c>
      <c r="BV17" s="1" t="s">
        <v>10653</v>
      </c>
    </row>
    <row r="18" spans="1:75" ht="132.5" customHeight="1" x14ac:dyDescent="0.35">
      <c r="A18" s="1" t="s">
        <v>72</v>
      </c>
      <c r="B18" s="1" t="s">
        <v>3627</v>
      </c>
      <c r="C18" s="1" t="s">
        <v>74</v>
      </c>
      <c r="D18" s="1" t="s">
        <v>74</v>
      </c>
      <c r="E18" s="1" t="s">
        <v>74</v>
      </c>
      <c r="F18" s="1" t="s">
        <v>3627</v>
      </c>
      <c r="G18" s="1" t="s">
        <v>74</v>
      </c>
      <c r="H18" s="1" t="s">
        <v>74</v>
      </c>
      <c r="I18" s="1" t="s">
        <v>3628</v>
      </c>
      <c r="J18" s="1" t="s">
        <v>161</v>
      </c>
      <c r="K18" s="1" t="s">
        <v>74</v>
      </c>
      <c r="L18" s="1" t="s">
        <v>74</v>
      </c>
      <c r="M18" s="1" t="s">
        <v>78</v>
      </c>
      <c r="N18" s="1" t="s">
        <v>79</v>
      </c>
      <c r="O18" s="1" t="s">
        <v>74</v>
      </c>
      <c r="P18" s="1" t="s">
        <v>74</v>
      </c>
      <c r="Q18" s="1" t="s">
        <v>74</v>
      </c>
      <c r="R18" s="1" t="s">
        <v>74</v>
      </c>
      <c r="S18" s="1" t="s">
        <v>74</v>
      </c>
      <c r="T18" s="1" t="s">
        <v>74</v>
      </c>
      <c r="U18" s="1" t="s">
        <v>3629</v>
      </c>
      <c r="V18" s="1" t="s">
        <v>3630</v>
      </c>
      <c r="W18" s="1" t="s">
        <v>3631</v>
      </c>
      <c r="X18" s="1" t="s">
        <v>1805</v>
      </c>
      <c r="Y18" s="1" t="s">
        <v>3632</v>
      </c>
      <c r="Z18" s="1" t="s">
        <v>74</v>
      </c>
      <c r="AA18" s="1" t="s">
        <v>74</v>
      </c>
      <c r="AB18" s="1" t="s">
        <v>74</v>
      </c>
      <c r="AC18" s="1" t="s">
        <v>74</v>
      </c>
      <c r="AD18" s="1" t="s">
        <v>74</v>
      </c>
      <c r="AE18" s="1" t="s">
        <v>74</v>
      </c>
      <c r="AF18" s="1" t="s">
        <v>74</v>
      </c>
      <c r="AG18" s="1">
        <v>60</v>
      </c>
      <c r="AH18" s="1">
        <v>315</v>
      </c>
      <c r="AI18" s="1">
        <v>316</v>
      </c>
      <c r="AJ18" s="1">
        <v>2</v>
      </c>
      <c r="AK18" s="1">
        <v>38</v>
      </c>
      <c r="AL18" s="1" t="s">
        <v>170</v>
      </c>
      <c r="AM18" s="1" t="s">
        <v>171</v>
      </c>
      <c r="AN18" s="1" t="s">
        <v>172</v>
      </c>
      <c r="AO18" s="1" t="s">
        <v>173</v>
      </c>
      <c r="AP18" s="1" t="s">
        <v>174</v>
      </c>
      <c r="AQ18" s="1" t="s">
        <v>74</v>
      </c>
      <c r="AR18" s="1" t="s">
        <v>175</v>
      </c>
      <c r="AS18" s="1" t="s">
        <v>176</v>
      </c>
      <c r="AT18" s="1" t="s">
        <v>363</v>
      </c>
      <c r="AU18" s="1">
        <v>1996</v>
      </c>
      <c r="AV18" s="1">
        <v>22</v>
      </c>
      <c r="AW18" s="1">
        <v>4</v>
      </c>
      <c r="AX18" s="1" t="s">
        <v>74</v>
      </c>
      <c r="AY18" s="1" t="s">
        <v>74</v>
      </c>
      <c r="AZ18" s="1" t="s">
        <v>74</v>
      </c>
      <c r="BA18" s="1" t="s">
        <v>74</v>
      </c>
      <c r="BB18" s="1">
        <v>424</v>
      </c>
      <c r="BC18" s="1">
        <v>438</v>
      </c>
      <c r="BD18" s="1" t="s">
        <v>74</v>
      </c>
      <c r="BE18" s="1" t="s">
        <v>3633</v>
      </c>
      <c r="BF18" s="1" t="str">
        <f>HYPERLINK("http://dx.doi.org/10.1086/209459","http://dx.doi.org/10.1086/209459")</f>
        <v>http://dx.doi.org/10.1086/209459</v>
      </c>
      <c r="BG18" s="1" t="s">
        <v>74</v>
      </c>
      <c r="BH18" s="1" t="s">
        <v>74</v>
      </c>
      <c r="BI18" s="1">
        <v>15</v>
      </c>
      <c r="BJ18" s="1" t="s">
        <v>153</v>
      </c>
      <c r="BK18" s="1" t="s">
        <v>1532</v>
      </c>
      <c r="BL18" s="1" t="s">
        <v>154</v>
      </c>
      <c r="BM18" s="1" t="s">
        <v>3634</v>
      </c>
      <c r="BN18" s="1" t="s">
        <v>74</v>
      </c>
      <c r="BO18" s="1" t="s">
        <v>74</v>
      </c>
      <c r="BP18" s="1" t="s">
        <v>74</v>
      </c>
      <c r="BQ18" s="1" t="s">
        <v>74</v>
      </c>
      <c r="BR18" s="1" t="s">
        <v>104</v>
      </c>
      <c r="BS18" s="1" t="s">
        <v>3635</v>
      </c>
      <c r="BT18" s="1" t="str">
        <f>HYPERLINK("https%3A%2F%2Fwww.webofscience.com%2Fwos%2Fwoscc%2Ffull-record%2FWOS:A1996UJ39600005","View Full Record in Web of Science")</f>
        <v>View Full Record in Web of Science</v>
      </c>
      <c r="BU18" s="1" t="s">
        <v>3776</v>
      </c>
      <c r="BV18" s="1" t="s">
        <v>6080</v>
      </c>
      <c r="BW18" s="1" t="s">
        <v>10653</v>
      </c>
    </row>
    <row r="19" spans="1:75" x14ac:dyDescent="0.35">
      <c r="A19" t="s">
        <v>72</v>
      </c>
      <c r="B19" t="s">
        <v>6680</v>
      </c>
      <c r="C19" t="s">
        <v>74</v>
      </c>
      <c r="D19" t="s">
        <v>74</v>
      </c>
      <c r="E19" t="s">
        <v>74</v>
      </c>
      <c r="F19" t="s">
        <v>6680</v>
      </c>
      <c r="G19" t="s">
        <v>74</v>
      </c>
      <c r="H19" t="s">
        <v>74</v>
      </c>
      <c r="I19" t="s">
        <v>6681</v>
      </c>
      <c r="J19" t="s">
        <v>6394</v>
      </c>
      <c r="K19" t="s">
        <v>74</v>
      </c>
      <c r="L19" t="s">
        <v>74</v>
      </c>
      <c r="M19" t="s">
        <v>78</v>
      </c>
      <c r="N19" t="s">
        <v>110</v>
      </c>
      <c r="O19" t="s">
        <v>74</v>
      </c>
      <c r="P19" t="s">
        <v>74</v>
      </c>
      <c r="Q19" t="s">
        <v>74</v>
      </c>
      <c r="R19" t="s">
        <v>74</v>
      </c>
      <c r="S19" t="s">
        <v>74</v>
      </c>
      <c r="T19" t="s">
        <v>74</v>
      </c>
      <c r="U19" t="s">
        <v>6682</v>
      </c>
      <c r="V19" t="s">
        <v>6683</v>
      </c>
      <c r="W19" t="s">
        <v>74</v>
      </c>
      <c r="X19" t="s">
        <v>74</v>
      </c>
      <c r="Y19" t="s">
        <v>6684</v>
      </c>
      <c r="Z19" t="s">
        <v>74</v>
      </c>
      <c r="AA19" t="s">
        <v>74</v>
      </c>
      <c r="AB19" t="s">
        <v>74</v>
      </c>
      <c r="AC19" t="s">
        <v>74</v>
      </c>
      <c r="AD19" t="s">
        <v>74</v>
      </c>
      <c r="AE19" t="s">
        <v>74</v>
      </c>
      <c r="AF19" t="s">
        <v>74</v>
      </c>
      <c r="AG19">
        <v>101</v>
      </c>
      <c r="AH19">
        <v>67</v>
      </c>
      <c r="AI19">
        <v>69</v>
      </c>
      <c r="AJ19">
        <v>0</v>
      </c>
      <c r="AK19">
        <v>16</v>
      </c>
      <c r="AL19" t="s">
        <v>6685</v>
      </c>
      <c r="AM19" t="s">
        <v>6686</v>
      </c>
      <c r="AN19" t="s">
        <v>6687</v>
      </c>
      <c r="AO19" t="s">
        <v>6402</v>
      </c>
      <c r="AP19" t="s">
        <v>74</v>
      </c>
      <c r="AQ19" t="s">
        <v>74</v>
      </c>
      <c r="AR19" t="s">
        <v>6404</v>
      </c>
      <c r="AS19" t="s">
        <v>6405</v>
      </c>
      <c r="AT19" t="s">
        <v>746</v>
      </c>
      <c r="AU19">
        <v>1996</v>
      </c>
      <c r="AV19">
        <v>25</v>
      </c>
      <c r="AW19">
        <v>3</v>
      </c>
      <c r="AX19" t="s">
        <v>74</v>
      </c>
      <c r="AY19" t="s">
        <v>74</v>
      </c>
      <c r="AZ19" t="s">
        <v>74</v>
      </c>
      <c r="BA19" t="s">
        <v>74</v>
      </c>
      <c r="BB19">
        <v>61</v>
      </c>
      <c r="BC19">
        <v>73</v>
      </c>
      <c r="BD19" t="s">
        <v>74</v>
      </c>
      <c r="BE19" t="s">
        <v>6688</v>
      </c>
      <c r="BF19" t="str">
        <f>HYPERLINK("http://dx.doi.org/10.1080/00913367.1996.10673507","http://dx.doi.org/10.1080/00913367.1996.10673507")</f>
        <v>http://dx.doi.org/10.1080/00913367.1996.10673507</v>
      </c>
      <c r="BG19" t="s">
        <v>74</v>
      </c>
      <c r="BH19" t="s">
        <v>74</v>
      </c>
      <c r="BI19">
        <v>13</v>
      </c>
      <c r="BJ19" t="s">
        <v>2010</v>
      </c>
      <c r="BK19" t="s">
        <v>101</v>
      </c>
      <c r="BL19" t="s">
        <v>2011</v>
      </c>
      <c r="BM19" t="s">
        <v>6689</v>
      </c>
      <c r="BN19" t="s">
        <v>74</v>
      </c>
      <c r="BO19" t="s">
        <v>74</v>
      </c>
      <c r="BP19" t="s">
        <v>74</v>
      </c>
      <c r="BQ19" t="s">
        <v>74</v>
      </c>
      <c r="BR19" t="s">
        <v>6098</v>
      </c>
      <c r="BS19" t="s">
        <v>6690</v>
      </c>
      <c r="BT19" t="str">
        <f>HYPERLINK("https%3A%2F%2Fwww.webofscience.com%2Fwos%2Fwoscc%2Ffull-record%2FWOS:A1996VY40800006","View Full Record in Web of Science")</f>
        <v>View Full Record in Web of Science</v>
      </c>
      <c r="BU19" t="s">
        <v>6100</v>
      </c>
      <c r="BV19" s="1" t="s">
        <v>6080</v>
      </c>
      <c r="BW19" s="1" t="s">
        <v>10653</v>
      </c>
    </row>
    <row r="20" spans="1:75" ht="409.5" x14ac:dyDescent="0.35">
      <c r="A20" s="1" t="s">
        <v>72</v>
      </c>
      <c r="B20" s="1" t="s">
        <v>3586</v>
      </c>
      <c r="C20" s="1" t="s">
        <v>74</v>
      </c>
      <c r="D20" s="1" t="s">
        <v>74</v>
      </c>
      <c r="E20" s="1" t="s">
        <v>74</v>
      </c>
      <c r="F20" s="1" t="s">
        <v>3586</v>
      </c>
      <c r="G20" s="1" t="s">
        <v>74</v>
      </c>
      <c r="H20" s="1" t="s">
        <v>74</v>
      </c>
      <c r="I20" s="1" t="s">
        <v>3587</v>
      </c>
      <c r="J20" s="1" t="s">
        <v>3588</v>
      </c>
      <c r="K20" s="1" t="s">
        <v>74</v>
      </c>
      <c r="L20" s="1" t="s">
        <v>74</v>
      </c>
      <c r="M20" s="1" t="s">
        <v>78</v>
      </c>
      <c r="N20" s="1" t="s">
        <v>79</v>
      </c>
      <c r="O20" s="1" t="s">
        <v>74</v>
      </c>
      <c r="P20" s="1" t="s">
        <v>74</v>
      </c>
      <c r="Q20" s="1" t="s">
        <v>74</v>
      </c>
      <c r="R20" s="1" t="s">
        <v>74</v>
      </c>
      <c r="S20" s="1" t="s">
        <v>74</v>
      </c>
      <c r="T20" s="1" t="s">
        <v>74</v>
      </c>
      <c r="U20" s="1" t="s">
        <v>3589</v>
      </c>
      <c r="V20" s="1" t="s">
        <v>3590</v>
      </c>
      <c r="W20" s="1" t="s">
        <v>3591</v>
      </c>
      <c r="X20" s="1" t="s">
        <v>2516</v>
      </c>
      <c r="Y20" s="1" t="s">
        <v>74</v>
      </c>
      <c r="Z20" s="1" t="s">
        <v>74</v>
      </c>
      <c r="AA20" s="1" t="s">
        <v>3592</v>
      </c>
      <c r="AB20" s="1" t="s">
        <v>74</v>
      </c>
      <c r="AC20" s="1" t="s">
        <v>74</v>
      </c>
      <c r="AD20" s="1" t="s">
        <v>74</v>
      </c>
      <c r="AE20" s="1" t="s">
        <v>74</v>
      </c>
      <c r="AF20" s="1" t="s">
        <v>74</v>
      </c>
      <c r="AG20" s="1">
        <v>46</v>
      </c>
      <c r="AH20" s="1">
        <v>119</v>
      </c>
      <c r="AI20" s="1">
        <v>121</v>
      </c>
      <c r="AJ20" s="1">
        <v>0</v>
      </c>
      <c r="AK20" s="1">
        <v>25</v>
      </c>
      <c r="AL20" s="1" t="s">
        <v>206</v>
      </c>
      <c r="AM20" s="1" t="s">
        <v>207</v>
      </c>
      <c r="AN20" s="1" t="s">
        <v>208</v>
      </c>
      <c r="AO20" s="1" t="s">
        <v>3593</v>
      </c>
      <c r="AP20" s="1" t="s">
        <v>3594</v>
      </c>
      <c r="AQ20" s="1" t="s">
        <v>74</v>
      </c>
      <c r="AR20" s="1" t="s">
        <v>3595</v>
      </c>
      <c r="AS20" s="1" t="s">
        <v>3596</v>
      </c>
      <c r="AT20" s="1" t="s">
        <v>74</v>
      </c>
      <c r="AU20" s="1">
        <v>1997</v>
      </c>
      <c r="AV20" s="1">
        <v>18</v>
      </c>
      <c r="AW20" s="1" t="s">
        <v>74</v>
      </c>
      <c r="AX20" s="1" t="s">
        <v>74</v>
      </c>
      <c r="AY20" s="1" t="s">
        <v>74</v>
      </c>
      <c r="AZ20" s="1" t="s">
        <v>259</v>
      </c>
      <c r="BA20" s="1" t="s">
        <v>74</v>
      </c>
      <c r="BB20" s="1">
        <v>641</v>
      </c>
      <c r="BC20" s="1">
        <v>664</v>
      </c>
      <c r="BD20" s="1" t="s">
        <v>74</v>
      </c>
      <c r="BE20" s="1" t="s">
        <v>3597</v>
      </c>
      <c r="BF20" s="1" t="str">
        <f>HYPERLINK("http://dx.doi.org/10.1002/(SICI)1099-1379(199711)18:1+&lt;641::AID-JOB910&gt;3.0.CO;2-M","http://dx.doi.org/10.1002/(SICI)1099-1379(199711)18:1+&lt;641::AID-JOB910&gt;3.0.CO;2-M")</f>
        <v>http://dx.doi.org/10.1002/(SICI)1099-1379(199711)18:1+&lt;641::AID-JOB910&gt;3.0.CO;2-M</v>
      </c>
      <c r="BG20" s="1" t="s">
        <v>74</v>
      </c>
      <c r="BH20" s="1" t="s">
        <v>74</v>
      </c>
      <c r="BI20" s="1">
        <v>24</v>
      </c>
      <c r="BJ20" s="1" t="s">
        <v>3598</v>
      </c>
      <c r="BK20" s="1" t="s">
        <v>101</v>
      </c>
      <c r="BL20" s="1" t="s">
        <v>216</v>
      </c>
      <c r="BM20" s="1" t="s">
        <v>3599</v>
      </c>
      <c r="BN20" s="1" t="s">
        <v>74</v>
      </c>
      <c r="BO20" s="1" t="s">
        <v>74</v>
      </c>
      <c r="BP20" s="1" t="s">
        <v>74</v>
      </c>
      <c r="BQ20" s="1" t="s">
        <v>74</v>
      </c>
      <c r="BR20" s="1" t="s">
        <v>104</v>
      </c>
      <c r="BS20" s="1" t="s">
        <v>3600</v>
      </c>
      <c r="BT20" s="1" t="str">
        <f>HYPERLINK("https%3A%2F%2Fwww.webofscience.com%2Fwos%2Fwoscc%2Ffull-record%2FWOS:A1997YK63600007","View Full Record in Web of Science")</f>
        <v>View Full Record in Web of Science</v>
      </c>
      <c r="BU20" s="1" t="s">
        <v>3776</v>
      </c>
      <c r="BV20" s="1" t="s">
        <v>10653</v>
      </c>
    </row>
    <row r="21" spans="1:75" ht="232" x14ac:dyDescent="0.35">
      <c r="A21" s="1" t="s">
        <v>72</v>
      </c>
      <c r="B21" s="1" t="s">
        <v>3601</v>
      </c>
      <c r="C21" s="1" t="s">
        <v>74</v>
      </c>
      <c r="D21" s="1" t="s">
        <v>74</v>
      </c>
      <c r="E21" s="1" t="s">
        <v>74</v>
      </c>
      <c r="F21" s="1" t="s">
        <v>3601</v>
      </c>
      <c r="G21" s="1" t="s">
        <v>74</v>
      </c>
      <c r="H21" s="1" t="s">
        <v>74</v>
      </c>
      <c r="I21" s="1" t="s">
        <v>3602</v>
      </c>
      <c r="J21" s="1" t="s">
        <v>3603</v>
      </c>
      <c r="K21" s="1" t="s">
        <v>74</v>
      </c>
      <c r="L21" s="1" t="s">
        <v>74</v>
      </c>
      <c r="M21" s="1" t="s">
        <v>78</v>
      </c>
      <c r="N21" s="1" t="s">
        <v>79</v>
      </c>
      <c r="O21" s="1" t="s">
        <v>74</v>
      </c>
      <c r="P21" s="1" t="s">
        <v>74</v>
      </c>
      <c r="Q21" s="1" t="s">
        <v>74</v>
      </c>
      <c r="R21" s="1" t="s">
        <v>74</v>
      </c>
      <c r="S21" s="1" t="s">
        <v>74</v>
      </c>
      <c r="T21" s="1" t="s">
        <v>3604</v>
      </c>
      <c r="U21" s="1" t="s">
        <v>3605</v>
      </c>
      <c r="V21" s="1" t="s">
        <v>3606</v>
      </c>
      <c r="W21" s="1" t="s">
        <v>3607</v>
      </c>
      <c r="X21" s="1" t="s">
        <v>3608</v>
      </c>
      <c r="Y21" s="1" t="s">
        <v>74</v>
      </c>
      <c r="Z21" s="1" t="s">
        <v>74</v>
      </c>
      <c r="AA21" s="1" t="s">
        <v>74</v>
      </c>
      <c r="AB21" s="1" t="s">
        <v>74</v>
      </c>
      <c r="AC21" s="1" t="s">
        <v>74</v>
      </c>
      <c r="AD21" s="1" t="s">
        <v>74</v>
      </c>
      <c r="AE21" s="1" t="s">
        <v>74</v>
      </c>
      <c r="AF21" s="1" t="s">
        <v>74</v>
      </c>
      <c r="AG21" s="1">
        <v>60</v>
      </c>
      <c r="AH21" s="1">
        <v>81</v>
      </c>
      <c r="AI21" s="1">
        <v>87</v>
      </c>
      <c r="AJ21" s="1">
        <v>1</v>
      </c>
      <c r="AK21" s="1">
        <v>9</v>
      </c>
      <c r="AL21" s="1" t="s">
        <v>3609</v>
      </c>
      <c r="AM21" s="1" t="s">
        <v>775</v>
      </c>
      <c r="AN21" s="1" t="s">
        <v>3610</v>
      </c>
      <c r="AO21" s="1" t="s">
        <v>3611</v>
      </c>
      <c r="AP21" s="1" t="s">
        <v>74</v>
      </c>
      <c r="AQ21" s="1" t="s">
        <v>74</v>
      </c>
      <c r="AR21" s="1" t="s">
        <v>3612</v>
      </c>
      <c r="AS21" s="1" t="s">
        <v>3613</v>
      </c>
      <c r="AT21" s="1" t="s">
        <v>780</v>
      </c>
      <c r="AU21" s="1">
        <v>1997</v>
      </c>
      <c r="AV21" s="1">
        <v>10</v>
      </c>
      <c r="AW21" s="1">
        <v>1</v>
      </c>
      <c r="AX21" s="1" t="s">
        <v>74</v>
      </c>
      <c r="AY21" s="1" t="s">
        <v>74</v>
      </c>
      <c r="AZ21" s="1" t="s">
        <v>74</v>
      </c>
      <c r="BA21" s="1" t="s">
        <v>74</v>
      </c>
      <c r="BB21" s="1">
        <v>43</v>
      </c>
      <c r="BC21" s="1">
        <v>59</v>
      </c>
      <c r="BD21" s="1" t="s">
        <v>74</v>
      </c>
      <c r="BE21" s="1" t="s">
        <v>3614</v>
      </c>
      <c r="BF21" s="1" t="str">
        <f>HYPERLINK("http://dx.doi.org/10.1080/08941929709381008","http://dx.doi.org/10.1080/08941929709381008")</f>
        <v>http://dx.doi.org/10.1080/08941929709381008</v>
      </c>
      <c r="BG21" s="1" t="s">
        <v>74</v>
      </c>
      <c r="BH21" s="1" t="s">
        <v>74</v>
      </c>
      <c r="BI21" s="1">
        <v>17</v>
      </c>
      <c r="BJ21" s="1" t="s">
        <v>3615</v>
      </c>
      <c r="BK21" s="1" t="s">
        <v>101</v>
      </c>
      <c r="BL21" s="1" t="s">
        <v>3616</v>
      </c>
      <c r="BM21" s="1" t="s">
        <v>3617</v>
      </c>
      <c r="BN21" s="1" t="s">
        <v>74</v>
      </c>
      <c r="BO21" s="1" t="s">
        <v>74</v>
      </c>
      <c r="BP21" s="1" t="s">
        <v>74</v>
      </c>
      <c r="BQ21" s="1" t="s">
        <v>74</v>
      </c>
      <c r="BR21" s="1" t="s">
        <v>104</v>
      </c>
      <c r="BS21" s="1" t="s">
        <v>3618</v>
      </c>
      <c r="BT21" s="1" t="str">
        <f>HYPERLINK("https%3A%2F%2Fwww.webofscience.com%2Fwos%2Fwoscc%2Ffull-record%2FWOS:A1997WM30800003","View Full Record in Web of Science")</f>
        <v>View Full Record in Web of Science</v>
      </c>
      <c r="BU21" s="1" t="s">
        <v>3776</v>
      </c>
      <c r="BV21" s="1" t="s">
        <v>10653</v>
      </c>
    </row>
    <row r="22" spans="1:75" ht="43.5" x14ac:dyDescent="0.35">
      <c r="A22" s="1" t="s">
        <v>578</v>
      </c>
      <c r="B22" s="1" t="s">
        <v>5844</v>
      </c>
      <c r="C22" s="1" t="s">
        <v>74</v>
      </c>
      <c r="D22" s="1" t="s">
        <v>5845</v>
      </c>
      <c r="E22" s="1" t="s">
        <v>74</v>
      </c>
      <c r="F22" s="1" t="s">
        <v>5844</v>
      </c>
      <c r="G22" s="1" t="s">
        <v>74</v>
      </c>
      <c r="H22" s="1" t="s">
        <v>74</v>
      </c>
      <c r="I22" s="1" t="s">
        <v>5846</v>
      </c>
      <c r="J22" s="1" t="s">
        <v>5847</v>
      </c>
      <c r="K22" s="1" t="s">
        <v>5848</v>
      </c>
      <c r="L22" s="1" t="s">
        <v>74</v>
      </c>
      <c r="M22" s="1" t="s">
        <v>5849</v>
      </c>
      <c r="N22" s="1" t="s">
        <v>584</v>
      </c>
      <c r="O22" s="1" t="s">
        <v>5850</v>
      </c>
      <c r="P22" s="1" t="s">
        <v>5851</v>
      </c>
      <c r="Q22" s="1" t="s">
        <v>5852</v>
      </c>
      <c r="R22" s="1" t="s">
        <v>74</v>
      </c>
      <c r="S22" s="1" t="s">
        <v>74</v>
      </c>
      <c r="T22" s="1" t="s">
        <v>74</v>
      </c>
      <c r="U22" s="1" t="s">
        <v>74</v>
      </c>
      <c r="V22" s="1" t="s">
        <v>74</v>
      </c>
      <c r="W22" s="1" t="s">
        <v>74</v>
      </c>
      <c r="X22" s="1" t="s">
        <v>74</v>
      </c>
      <c r="Y22" s="1" t="s">
        <v>74</v>
      </c>
      <c r="Z22" s="1" t="s">
        <v>74</v>
      </c>
      <c r="AA22" s="1" t="s">
        <v>74</v>
      </c>
      <c r="AB22" s="1" t="s">
        <v>74</v>
      </c>
      <c r="AC22" s="1" t="s">
        <v>74</v>
      </c>
      <c r="AD22" s="1" t="s">
        <v>74</v>
      </c>
      <c r="AE22" s="1" t="s">
        <v>74</v>
      </c>
      <c r="AF22" s="1" t="s">
        <v>74</v>
      </c>
      <c r="AG22" s="1">
        <v>0</v>
      </c>
      <c r="AH22" s="1">
        <v>0</v>
      </c>
      <c r="AI22" s="1">
        <v>0</v>
      </c>
      <c r="AJ22" s="1">
        <v>0</v>
      </c>
      <c r="AK22" s="1">
        <v>0</v>
      </c>
      <c r="AL22" s="1" t="s">
        <v>5853</v>
      </c>
      <c r="AM22" s="1" t="s">
        <v>5854</v>
      </c>
      <c r="AN22" s="1" t="s">
        <v>5855</v>
      </c>
      <c r="AO22" s="1" t="s">
        <v>74</v>
      </c>
      <c r="AP22" s="1" t="s">
        <v>74</v>
      </c>
      <c r="AQ22" s="1" t="s">
        <v>5856</v>
      </c>
      <c r="AR22" s="1" t="s">
        <v>5857</v>
      </c>
      <c r="AS22" s="1" t="s">
        <v>74</v>
      </c>
      <c r="AT22" s="1" t="s">
        <v>74</v>
      </c>
      <c r="AU22" s="1">
        <v>1997</v>
      </c>
      <c r="AV22" s="1">
        <v>70</v>
      </c>
      <c r="AW22" s="1" t="s">
        <v>74</v>
      </c>
      <c r="AX22" s="1" t="s">
        <v>74</v>
      </c>
      <c r="AY22" s="1" t="s">
        <v>74</v>
      </c>
      <c r="AZ22" s="1" t="s">
        <v>74</v>
      </c>
      <c r="BA22" s="1" t="s">
        <v>74</v>
      </c>
      <c r="BB22" s="1">
        <v>151</v>
      </c>
      <c r="BC22" s="1">
        <v>163</v>
      </c>
      <c r="BD22" s="1" t="s">
        <v>74</v>
      </c>
      <c r="BE22" s="1" t="s">
        <v>74</v>
      </c>
      <c r="BF22" s="1" t="s">
        <v>74</v>
      </c>
      <c r="BG22" s="1" t="s">
        <v>74</v>
      </c>
      <c r="BH22" s="1" t="s">
        <v>74</v>
      </c>
      <c r="BI22" s="1">
        <v>13</v>
      </c>
      <c r="BJ22" s="1" t="s">
        <v>5858</v>
      </c>
      <c r="BK22" s="1" t="s">
        <v>3099</v>
      </c>
      <c r="BL22" s="1" t="s">
        <v>5858</v>
      </c>
      <c r="BM22" s="1" t="s">
        <v>5859</v>
      </c>
      <c r="BN22" s="1" t="s">
        <v>74</v>
      </c>
      <c r="BO22" s="1" t="s">
        <v>74</v>
      </c>
      <c r="BP22" s="1" t="s">
        <v>74</v>
      </c>
      <c r="BQ22" s="1" t="s">
        <v>74</v>
      </c>
      <c r="BR22" s="1" t="s">
        <v>4296</v>
      </c>
      <c r="BS22" s="1" t="s">
        <v>5860</v>
      </c>
      <c r="BT22" s="1" t="str">
        <f>HYPERLINK("https%3A%2F%2Fwww.webofscience.com%2Fwos%2Fwoscc%2Ffull-record%2FWOS:000072089700011","View Full Record in Web of Science")</f>
        <v>View Full Record in Web of Science</v>
      </c>
      <c r="BU22" s="1" t="s">
        <v>5876</v>
      </c>
      <c r="BV22" s="1" t="s">
        <v>10653</v>
      </c>
    </row>
    <row r="23" spans="1:75" ht="261" x14ac:dyDescent="0.35">
      <c r="A23" s="1" t="s">
        <v>72</v>
      </c>
      <c r="B23" s="1" t="s">
        <v>3550</v>
      </c>
      <c r="C23" s="1" t="s">
        <v>74</v>
      </c>
      <c r="D23" s="1" t="s">
        <v>74</v>
      </c>
      <c r="E23" s="1" t="s">
        <v>74</v>
      </c>
      <c r="F23" s="1" t="s">
        <v>3550</v>
      </c>
      <c r="G23" s="1" t="s">
        <v>74</v>
      </c>
      <c r="H23" s="1" t="s">
        <v>74</v>
      </c>
      <c r="I23" s="1" t="s">
        <v>3551</v>
      </c>
      <c r="J23" s="1" t="s">
        <v>161</v>
      </c>
      <c r="K23" s="1" t="s">
        <v>74</v>
      </c>
      <c r="L23" s="1" t="s">
        <v>74</v>
      </c>
      <c r="M23" s="1" t="s">
        <v>78</v>
      </c>
      <c r="N23" s="1" t="s">
        <v>79</v>
      </c>
      <c r="O23" s="1" t="s">
        <v>74</v>
      </c>
      <c r="P23" s="1" t="s">
        <v>74</v>
      </c>
      <c r="Q23" s="1" t="s">
        <v>74</v>
      </c>
      <c r="R23" s="1" t="s">
        <v>74</v>
      </c>
      <c r="S23" s="1" t="s">
        <v>74</v>
      </c>
      <c r="T23" s="1" t="s">
        <v>74</v>
      </c>
      <c r="U23" s="1" t="s">
        <v>3552</v>
      </c>
      <c r="V23" s="1" t="s">
        <v>3553</v>
      </c>
      <c r="W23" s="1" t="s">
        <v>3554</v>
      </c>
      <c r="X23" s="1" t="s">
        <v>3555</v>
      </c>
      <c r="Y23" s="1" t="s">
        <v>3556</v>
      </c>
      <c r="Z23" s="1" t="s">
        <v>74</v>
      </c>
      <c r="AA23" s="1" t="s">
        <v>74</v>
      </c>
      <c r="AB23" s="1" t="s">
        <v>74</v>
      </c>
      <c r="AC23" s="1" t="s">
        <v>74</v>
      </c>
      <c r="AD23" s="1" t="s">
        <v>74</v>
      </c>
      <c r="AE23" s="1" t="s">
        <v>74</v>
      </c>
      <c r="AF23" s="1" t="s">
        <v>74</v>
      </c>
      <c r="AG23" s="1">
        <v>59</v>
      </c>
      <c r="AH23" s="1">
        <v>82</v>
      </c>
      <c r="AI23" s="1">
        <v>84</v>
      </c>
      <c r="AJ23" s="1">
        <v>0</v>
      </c>
      <c r="AK23" s="1">
        <v>24</v>
      </c>
      <c r="AL23" s="1" t="s">
        <v>357</v>
      </c>
      <c r="AM23" s="1" t="s">
        <v>233</v>
      </c>
      <c r="AN23" s="1" t="s">
        <v>358</v>
      </c>
      <c r="AO23" s="1" t="s">
        <v>173</v>
      </c>
      <c r="AP23" s="1" t="s">
        <v>74</v>
      </c>
      <c r="AQ23" s="1" t="s">
        <v>74</v>
      </c>
      <c r="AR23" s="1" t="s">
        <v>175</v>
      </c>
      <c r="AS23" s="1" t="s">
        <v>176</v>
      </c>
      <c r="AT23" s="1" t="s">
        <v>517</v>
      </c>
      <c r="AU23" s="1">
        <v>1998</v>
      </c>
      <c r="AV23" s="1">
        <v>25</v>
      </c>
      <c r="AW23" s="1">
        <v>2</v>
      </c>
      <c r="AX23" s="1" t="s">
        <v>74</v>
      </c>
      <c r="AY23" s="1" t="s">
        <v>74</v>
      </c>
      <c r="AZ23" s="1" t="s">
        <v>74</v>
      </c>
      <c r="BA23" s="1" t="s">
        <v>74</v>
      </c>
      <c r="BB23" s="1">
        <v>108</v>
      </c>
      <c r="BC23" s="1">
        <v>122</v>
      </c>
      <c r="BD23" s="1" t="s">
        <v>74</v>
      </c>
      <c r="BE23" s="1" t="s">
        <v>3557</v>
      </c>
      <c r="BF23" s="1" t="str">
        <f>HYPERLINK("http://dx.doi.org/10.1086/209530","http://dx.doi.org/10.1086/209530")</f>
        <v>http://dx.doi.org/10.1086/209530</v>
      </c>
      <c r="BG23" s="1" t="s">
        <v>74</v>
      </c>
      <c r="BH23" s="1" t="s">
        <v>74</v>
      </c>
      <c r="BI23" s="1">
        <v>15</v>
      </c>
      <c r="BJ23" s="1" t="s">
        <v>153</v>
      </c>
      <c r="BK23" s="1" t="s">
        <v>101</v>
      </c>
      <c r="BL23" s="1" t="s">
        <v>154</v>
      </c>
      <c r="BM23" s="1" t="s">
        <v>3558</v>
      </c>
      <c r="BN23" s="1" t="s">
        <v>74</v>
      </c>
      <c r="BO23" s="1" t="s">
        <v>74</v>
      </c>
      <c r="BP23" s="1" t="s">
        <v>74</v>
      </c>
      <c r="BQ23" s="1" t="s">
        <v>74</v>
      </c>
      <c r="BR23" s="1" t="s">
        <v>104</v>
      </c>
      <c r="BS23" s="1" t="s">
        <v>3559</v>
      </c>
      <c r="BT23" s="1" t="str">
        <f>HYPERLINK("https%3A%2F%2Fwww.webofscience.com%2Fwos%2Fwoscc%2Ffull-record%2FWOS:000078081500002","View Full Record in Web of Science")</f>
        <v>View Full Record in Web of Science</v>
      </c>
      <c r="BU23" s="1" t="s">
        <v>3776</v>
      </c>
      <c r="BV23" s="1" t="s">
        <v>6080</v>
      </c>
      <c r="BW23" s="1" t="s">
        <v>6080</v>
      </c>
    </row>
    <row r="24" spans="1:75" ht="409.5" x14ac:dyDescent="0.35">
      <c r="A24" s="1" t="s">
        <v>72</v>
      </c>
      <c r="B24" s="1" t="s">
        <v>3560</v>
      </c>
      <c r="C24" s="1" t="s">
        <v>74</v>
      </c>
      <c r="D24" s="1" t="s">
        <v>74</v>
      </c>
      <c r="E24" s="1" t="s">
        <v>74</v>
      </c>
      <c r="F24" s="1" t="s">
        <v>3560</v>
      </c>
      <c r="G24" s="1" t="s">
        <v>74</v>
      </c>
      <c r="H24" s="1" t="s">
        <v>74</v>
      </c>
      <c r="I24" s="1" t="s">
        <v>3561</v>
      </c>
      <c r="J24" s="1" t="s">
        <v>3562</v>
      </c>
      <c r="K24" s="1" t="s">
        <v>74</v>
      </c>
      <c r="L24" s="1" t="s">
        <v>74</v>
      </c>
      <c r="M24" s="1" t="s">
        <v>78</v>
      </c>
      <c r="N24" s="1" t="s">
        <v>110</v>
      </c>
      <c r="O24" s="1" t="s">
        <v>74</v>
      </c>
      <c r="P24" s="1" t="s">
        <v>74</v>
      </c>
      <c r="Q24" s="1" t="s">
        <v>74</v>
      </c>
      <c r="R24" s="1" t="s">
        <v>74</v>
      </c>
      <c r="S24" s="1" t="s">
        <v>74</v>
      </c>
      <c r="T24" s="1" t="s">
        <v>3563</v>
      </c>
      <c r="U24" s="1" t="s">
        <v>3564</v>
      </c>
      <c r="V24" s="1" t="s">
        <v>3565</v>
      </c>
      <c r="W24" s="1" t="s">
        <v>3566</v>
      </c>
      <c r="X24" s="1" t="s">
        <v>1818</v>
      </c>
      <c r="Y24" s="1" t="s">
        <v>3567</v>
      </c>
      <c r="Z24" s="1" t="s">
        <v>74</v>
      </c>
      <c r="AA24" s="1" t="s">
        <v>74</v>
      </c>
      <c r="AB24" s="1" t="s">
        <v>74</v>
      </c>
      <c r="AC24" s="1" t="s">
        <v>74</v>
      </c>
      <c r="AD24" s="1" t="s">
        <v>74</v>
      </c>
      <c r="AE24" s="1" t="s">
        <v>74</v>
      </c>
      <c r="AF24" s="1" t="s">
        <v>74</v>
      </c>
      <c r="AG24" s="1">
        <v>180</v>
      </c>
      <c r="AH24" s="1">
        <v>1247</v>
      </c>
      <c r="AI24" s="1">
        <v>1265</v>
      </c>
      <c r="AJ24" s="1">
        <v>7</v>
      </c>
      <c r="AK24" s="1">
        <v>104</v>
      </c>
      <c r="AL24" s="1" t="s">
        <v>854</v>
      </c>
      <c r="AM24" s="1" t="s">
        <v>410</v>
      </c>
      <c r="AN24" s="1" t="s">
        <v>855</v>
      </c>
      <c r="AO24" s="1" t="s">
        <v>3568</v>
      </c>
      <c r="AP24" s="1" t="s">
        <v>74</v>
      </c>
      <c r="AQ24" s="1" t="s">
        <v>74</v>
      </c>
      <c r="AR24" s="1" t="s">
        <v>3562</v>
      </c>
      <c r="AS24" s="1" t="s">
        <v>3569</v>
      </c>
      <c r="AT24" s="1" t="s">
        <v>469</v>
      </c>
      <c r="AU24" s="1">
        <v>1998</v>
      </c>
      <c r="AV24" s="1">
        <v>68</v>
      </c>
      <c r="AW24" s="1">
        <v>1</v>
      </c>
      <c r="AX24" s="1" t="s">
        <v>74</v>
      </c>
      <c r="AY24" s="1" t="s">
        <v>74</v>
      </c>
      <c r="AZ24" s="1" t="s">
        <v>74</v>
      </c>
      <c r="BA24" s="1" t="s">
        <v>74</v>
      </c>
      <c r="BB24" s="1">
        <v>1</v>
      </c>
      <c r="BC24" s="1">
        <v>76</v>
      </c>
      <c r="BD24" s="1" t="s">
        <v>74</v>
      </c>
      <c r="BE24" s="1" t="s">
        <v>3570</v>
      </c>
      <c r="BF24" s="1" t="str">
        <f>HYPERLINK("http://dx.doi.org/10.1016/S0010-0277(98)00034-1","http://dx.doi.org/10.1016/S0010-0277(98)00034-1")</f>
        <v>http://dx.doi.org/10.1016/S0010-0277(98)00034-1</v>
      </c>
      <c r="BG24" s="1" t="s">
        <v>74</v>
      </c>
      <c r="BH24" s="1" t="s">
        <v>74</v>
      </c>
      <c r="BI24" s="1">
        <v>76</v>
      </c>
      <c r="BJ24" s="1" t="s">
        <v>332</v>
      </c>
      <c r="BK24" s="1" t="s">
        <v>101</v>
      </c>
      <c r="BL24" s="1" t="s">
        <v>102</v>
      </c>
      <c r="BM24" s="1" t="s">
        <v>3571</v>
      </c>
      <c r="BN24" s="1">
        <v>9775516</v>
      </c>
      <c r="BO24" s="1" t="s">
        <v>74</v>
      </c>
      <c r="BP24" s="1" t="s">
        <v>74</v>
      </c>
      <c r="BQ24" s="1" t="s">
        <v>74</v>
      </c>
      <c r="BR24" s="1" t="s">
        <v>104</v>
      </c>
      <c r="BS24" s="1" t="s">
        <v>3572</v>
      </c>
      <c r="BT24" s="1" t="str">
        <f>HYPERLINK("https%3A%2F%2Fwww.webofscience.com%2Fwos%2Fwoscc%2Ffull-record%2FWOS:000075686100001","View Full Record in Web of Science")</f>
        <v>View Full Record in Web of Science</v>
      </c>
      <c r="BU24" s="1" t="s">
        <v>3776</v>
      </c>
      <c r="BV24" s="1" t="s">
        <v>10653</v>
      </c>
    </row>
    <row r="25" spans="1:75" ht="246.5" x14ac:dyDescent="0.35">
      <c r="A25" s="1" t="s">
        <v>72</v>
      </c>
      <c r="B25" s="1" t="s">
        <v>3573</v>
      </c>
      <c r="C25" s="1" t="s">
        <v>74</v>
      </c>
      <c r="D25" s="1" t="s">
        <v>74</v>
      </c>
      <c r="E25" s="1" t="s">
        <v>74</v>
      </c>
      <c r="F25" s="1" t="s">
        <v>3573</v>
      </c>
      <c r="G25" s="1" t="s">
        <v>74</v>
      </c>
      <c r="H25" s="1" t="s">
        <v>74</v>
      </c>
      <c r="I25" s="1" t="s">
        <v>3574</v>
      </c>
      <c r="J25" s="1" t="s">
        <v>3323</v>
      </c>
      <c r="K25" s="1" t="s">
        <v>74</v>
      </c>
      <c r="L25" s="1" t="s">
        <v>74</v>
      </c>
      <c r="M25" s="1" t="s">
        <v>78</v>
      </c>
      <c r="N25" s="1" t="s">
        <v>110</v>
      </c>
      <c r="O25" s="1" t="s">
        <v>74</v>
      </c>
      <c r="P25" s="1" t="s">
        <v>74</v>
      </c>
      <c r="Q25" s="1" t="s">
        <v>74</v>
      </c>
      <c r="R25" s="1" t="s">
        <v>74</v>
      </c>
      <c r="S25" s="1" t="s">
        <v>74</v>
      </c>
      <c r="T25" s="1" t="s">
        <v>3575</v>
      </c>
      <c r="U25" s="1" t="s">
        <v>3576</v>
      </c>
      <c r="V25" s="1" t="s">
        <v>3577</v>
      </c>
      <c r="W25" s="1" t="s">
        <v>3578</v>
      </c>
      <c r="X25" s="1" t="s">
        <v>3579</v>
      </c>
      <c r="Y25" s="1" t="s">
        <v>3580</v>
      </c>
      <c r="Z25" s="1" t="s">
        <v>3581</v>
      </c>
      <c r="AA25" s="1" t="s">
        <v>74</v>
      </c>
      <c r="AB25" s="1" t="s">
        <v>74</v>
      </c>
      <c r="AC25" s="1" t="s">
        <v>74</v>
      </c>
      <c r="AD25" s="1" t="s">
        <v>74</v>
      </c>
      <c r="AE25" s="1" t="s">
        <v>74</v>
      </c>
      <c r="AF25" s="1" t="s">
        <v>74</v>
      </c>
      <c r="AG25" s="1">
        <v>100</v>
      </c>
      <c r="AH25" s="1">
        <v>277</v>
      </c>
      <c r="AI25" s="1">
        <v>280</v>
      </c>
      <c r="AJ25" s="1">
        <v>0</v>
      </c>
      <c r="AK25" s="1">
        <v>47</v>
      </c>
      <c r="AL25" s="1" t="s">
        <v>3333</v>
      </c>
      <c r="AM25" s="1" t="s">
        <v>3334</v>
      </c>
      <c r="AN25" s="1" t="s">
        <v>3335</v>
      </c>
      <c r="AO25" s="1" t="s">
        <v>3336</v>
      </c>
      <c r="AP25" s="1" t="s">
        <v>3582</v>
      </c>
      <c r="AQ25" s="1" t="s">
        <v>74</v>
      </c>
      <c r="AR25" s="1" t="s">
        <v>3337</v>
      </c>
      <c r="AS25" s="1" t="s">
        <v>3338</v>
      </c>
      <c r="AT25" s="1" t="s">
        <v>74</v>
      </c>
      <c r="AU25" s="1">
        <v>1998</v>
      </c>
      <c r="AV25" s="1">
        <v>24</v>
      </c>
      <c r="AW25" s="1" t="s">
        <v>74</v>
      </c>
      <c r="AX25" s="1" t="s">
        <v>74</v>
      </c>
      <c r="AY25" s="1" t="s">
        <v>74</v>
      </c>
      <c r="AZ25" s="1" t="s">
        <v>74</v>
      </c>
      <c r="BA25" s="1" t="s">
        <v>74</v>
      </c>
      <c r="BB25" s="1">
        <v>345</v>
      </c>
      <c r="BC25" s="1">
        <v>370</v>
      </c>
      <c r="BD25" s="1" t="s">
        <v>74</v>
      </c>
      <c r="BE25" s="1" t="s">
        <v>3583</v>
      </c>
      <c r="BF25" s="1" t="str">
        <f>HYPERLINK("http://dx.doi.org/10.1146/annurev.soc.24.1.345","http://dx.doi.org/10.1146/annurev.soc.24.1.345")</f>
        <v>http://dx.doi.org/10.1146/annurev.soc.24.1.345</v>
      </c>
      <c r="BG25" s="1" t="s">
        <v>74</v>
      </c>
      <c r="BH25" s="1" t="s">
        <v>74</v>
      </c>
      <c r="BI25" s="1">
        <v>26</v>
      </c>
      <c r="BJ25" s="1" t="s">
        <v>365</v>
      </c>
      <c r="BK25" s="1" t="s">
        <v>101</v>
      </c>
      <c r="BL25" s="1" t="s">
        <v>365</v>
      </c>
      <c r="BM25" s="1" t="s">
        <v>3584</v>
      </c>
      <c r="BN25" s="1" t="s">
        <v>74</v>
      </c>
      <c r="BO25" s="1" t="s">
        <v>74</v>
      </c>
      <c r="BP25" s="1" t="s">
        <v>74</v>
      </c>
      <c r="BQ25" s="1" t="s">
        <v>74</v>
      </c>
      <c r="BR25" s="1" t="s">
        <v>104</v>
      </c>
      <c r="BS25" s="1" t="s">
        <v>3585</v>
      </c>
      <c r="BT25" s="1" t="str">
        <f>HYPERLINK("https%3A%2F%2Fwww.webofscience.com%2Fwos%2Fwoscc%2Ffull-record%2FWOS:000075625800014","View Full Record in Web of Science")</f>
        <v>View Full Record in Web of Science</v>
      </c>
      <c r="BU25" s="1" t="s">
        <v>3776</v>
      </c>
      <c r="BV25" s="1" t="s">
        <v>10653</v>
      </c>
    </row>
    <row r="26" spans="1:75" ht="43.5" x14ac:dyDescent="0.35">
      <c r="A26" s="1" t="s">
        <v>72</v>
      </c>
      <c r="B26" s="1" t="s">
        <v>846</v>
      </c>
      <c r="C26" s="1" t="s">
        <v>74</v>
      </c>
      <c r="D26" s="1" t="s">
        <v>74</v>
      </c>
      <c r="E26" s="1" t="s">
        <v>74</v>
      </c>
      <c r="F26" s="1" t="s">
        <v>846</v>
      </c>
      <c r="G26" s="1" t="s">
        <v>74</v>
      </c>
      <c r="H26" s="1" t="s">
        <v>74</v>
      </c>
      <c r="I26" s="1" t="s">
        <v>847</v>
      </c>
      <c r="J26" s="1" t="s">
        <v>848</v>
      </c>
      <c r="K26" s="1" t="s">
        <v>74</v>
      </c>
      <c r="L26" s="1" t="s">
        <v>74</v>
      </c>
      <c r="M26" s="1" t="s">
        <v>78</v>
      </c>
      <c r="N26" s="1" t="s">
        <v>79</v>
      </c>
      <c r="O26" s="1" t="s">
        <v>74</v>
      </c>
      <c r="P26" s="1" t="s">
        <v>74</v>
      </c>
      <c r="Q26" s="1" t="s">
        <v>74</v>
      </c>
      <c r="R26" s="1" t="s">
        <v>74</v>
      </c>
      <c r="S26" s="1" t="s">
        <v>74</v>
      </c>
      <c r="T26" s="1" t="s">
        <v>74</v>
      </c>
      <c r="U26" s="1" t="s">
        <v>849</v>
      </c>
      <c r="V26" s="1" t="s">
        <v>74</v>
      </c>
      <c r="W26" s="1" t="s">
        <v>850</v>
      </c>
      <c r="X26" s="1" t="s">
        <v>851</v>
      </c>
      <c r="Y26" s="1" t="s">
        <v>852</v>
      </c>
      <c r="Z26" s="1" t="s">
        <v>74</v>
      </c>
      <c r="AA26" s="1" t="s">
        <v>74</v>
      </c>
      <c r="AB26" s="1" t="s">
        <v>853</v>
      </c>
      <c r="AC26" s="1" t="s">
        <v>74</v>
      </c>
      <c r="AD26" s="1" t="s">
        <v>74</v>
      </c>
      <c r="AE26" s="1" t="s">
        <v>74</v>
      </c>
      <c r="AF26" s="1" t="s">
        <v>74</v>
      </c>
      <c r="AG26" s="1">
        <v>53</v>
      </c>
      <c r="AH26" s="1">
        <v>19</v>
      </c>
      <c r="AI26" s="1">
        <v>19</v>
      </c>
      <c r="AJ26" s="1">
        <v>0</v>
      </c>
      <c r="AK26" s="1">
        <v>8</v>
      </c>
      <c r="AL26" s="1" t="s">
        <v>854</v>
      </c>
      <c r="AM26" s="1" t="s">
        <v>410</v>
      </c>
      <c r="AN26" s="1" t="s">
        <v>855</v>
      </c>
      <c r="AO26" s="1" t="s">
        <v>856</v>
      </c>
      <c r="AP26" s="1" t="s">
        <v>74</v>
      </c>
      <c r="AQ26" s="1" t="s">
        <v>74</v>
      </c>
      <c r="AR26" s="1" t="s">
        <v>848</v>
      </c>
      <c r="AS26" s="1" t="s">
        <v>857</v>
      </c>
      <c r="AT26" s="1" t="s">
        <v>281</v>
      </c>
      <c r="AU26" s="1">
        <v>1999</v>
      </c>
      <c r="AV26" s="1">
        <v>27</v>
      </c>
      <c r="AW26" s="1">
        <v>1</v>
      </c>
      <c r="AX26" s="1" t="s">
        <v>74</v>
      </c>
      <c r="AY26" s="1" t="s">
        <v>74</v>
      </c>
      <c r="AZ26" s="1" t="s">
        <v>74</v>
      </c>
      <c r="BA26" s="1" t="s">
        <v>74</v>
      </c>
      <c r="BB26" s="1">
        <v>1</v>
      </c>
      <c r="BC26" s="1">
        <v>30</v>
      </c>
      <c r="BD26" s="1" t="s">
        <v>74</v>
      </c>
      <c r="BE26" s="1" t="s">
        <v>858</v>
      </c>
      <c r="BF26" s="1" t="str">
        <f>HYPERLINK("http://dx.doi.org/10.1016/S0304-422X(99)00004-2","http://dx.doi.org/10.1016/S0304-422X(99)00004-2")</f>
        <v>http://dx.doi.org/10.1016/S0304-422X(99)00004-2</v>
      </c>
      <c r="BG26" s="1" t="s">
        <v>74</v>
      </c>
      <c r="BH26" s="1" t="s">
        <v>74</v>
      </c>
      <c r="BI26" s="1">
        <v>30</v>
      </c>
      <c r="BJ26" s="1" t="s">
        <v>859</v>
      </c>
      <c r="BK26" s="1" t="s">
        <v>860</v>
      </c>
      <c r="BL26" s="1" t="s">
        <v>859</v>
      </c>
      <c r="BM26" s="1" t="s">
        <v>861</v>
      </c>
      <c r="BN26" s="1" t="s">
        <v>74</v>
      </c>
      <c r="BO26" s="1" t="s">
        <v>74</v>
      </c>
      <c r="BP26" s="1" t="s">
        <v>74</v>
      </c>
      <c r="BQ26" s="1" t="s">
        <v>74</v>
      </c>
      <c r="BR26" s="1" t="s">
        <v>104</v>
      </c>
      <c r="BS26" s="1" t="s">
        <v>862</v>
      </c>
      <c r="BT26" s="1" t="str">
        <f>HYPERLINK("https%3A%2F%2Fwww.webofscience.com%2Fwos%2Fwoscc%2Ffull-record%2FWOS:000083740500001","View Full Record in Web of Science")</f>
        <v>View Full Record in Web of Science</v>
      </c>
      <c r="BU26" s="1" t="s">
        <v>2040</v>
      </c>
      <c r="BV26" s="1" t="s">
        <v>10653</v>
      </c>
    </row>
    <row r="27" spans="1:75" ht="290" x14ac:dyDescent="0.35">
      <c r="A27" s="1" t="s">
        <v>72</v>
      </c>
      <c r="B27" s="1" t="s">
        <v>1502</v>
      </c>
      <c r="C27" s="1" t="s">
        <v>74</v>
      </c>
      <c r="D27" s="1" t="s">
        <v>74</v>
      </c>
      <c r="E27" s="1" t="s">
        <v>74</v>
      </c>
      <c r="F27" s="1" t="s">
        <v>1502</v>
      </c>
      <c r="G27" s="1" t="s">
        <v>74</v>
      </c>
      <c r="H27" s="1" t="s">
        <v>74</v>
      </c>
      <c r="I27" s="1" t="s">
        <v>1503</v>
      </c>
      <c r="J27" s="1" t="s">
        <v>77</v>
      </c>
      <c r="K27" s="1" t="s">
        <v>74</v>
      </c>
      <c r="L27" s="1" t="s">
        <v>74</v>
      </c>
      <c r="M27" s="1" t="s">
        <v>78</v>
      </c>
      <c r="N27" s="1" t="s">
        <v>79</v>
      </c>
      <c r="O27" s="1" t="s">
        <v>74</v>
      </c>
      <c r="P27" s="1" t="s">
        <v>74</v>
      </c>
      <c r="Q27" s="1" t="s">
        <v>74</v>
      </c>
      <c r="R27" s="1" t="s">
        <v>74</v>
      </c>
      <c r="S27" s="1" t="s">
        <v>74</v>
      </c>
      <c r="T27" s="1" t="s">
        <v>74</v>
      </c>
      <c r="U27" s="1" t="s">
        <v>1504</v>
      </c>
      <c r="V27" s="1" t="s">
        <v>1505</v>
      </c>
      <c r="W27" s="1" t="s">
        <v>1506</v>
      </c>
      <c r="X27" s="1" t="s">
        <v>1507</v>
      </c>
      <c r="Y27" s="1" t="s">
        <v>1508</v>
      </c>
      <c r="Z27" s="1" t="s">
        <v>74</v>
      </c>
      <c r="AA27" s="1" t="s">
        <v>1509</v>
      </c>
      <c r="AB27" s="1" t="s">
        <v>1510</v>
      </c>
      <c r="AC27" s="1" t="s">
        <v>1511</v>
      </c>
      <c r="AD27" s="1" t="s">
        <v>497</v>
      </c>
      <c r="AE27" s="1" t="s">
        <v>74</v>
      </c>
      <c r="AF27" s="1" t="s">
        <v>74</v>
      </c>
      <c r="AG27" s="1">
        <v>54</v>
      </c>
      <c r="AH27" s="1">
        <v>904</v>
      </c>
      <c r="AI27" s="1">
        <v>915</v>
      </c>
      <c r="AJ27" s="1">
        <v>9</v>
      </c>
      <c r="AK27" s="1">
        <v>123</v>
      </c>
      <c r="AL27" s="1" t="s">
        <v>91</v>
      </c>
      <c r="AM27" s="1" t="s">
        <v>92</v>
      </c>
      <c r="AN27" s="1" t="s">
        <v>93</v>
      </c>
      <c r="AO27" s="1" t="s">
        <v>94</v>
      </c>
      <c r="AP27" s="1" t="s">
        <v>74</v>
      </c>
      <c r="AQ27" s="1" t="s">
        <v>74</v>
      </c>
      <c r="AR27" s="1" t="s">
        <v>96</v>
      </c>
      <c r="AS27" s="1" t="s">
        <v>97</v>
      </c>
      <c r="AT27" s="1" t="s">
        <v>348</v>
      </c>
      <c r="AU27" s="1">
        <v>1999</v>
      </c>
      <c r="AV27" s="1">
        <v>77</v>
      </c>
      <c r="AW27" s="1">
        <v>6</v>
      </c>
      <c r="AX27" s="1" t="s">
        <v>74</v>
      </c>
      <c r="AY27" s="1" t="s">
        <v>74</v>
      </c>
      <c r="AZ27" s="1" t="s">
        <v>74</v>
      </c>
      <c r="BA27" s="1" t="s">
        <v>74</v>
      </c>
      <c r="BB27" s="1">
        <v>1296</v>
      </c>
      <c r="BC27" s="1">
        <v>1312</v>
      </c>
      <c r="BD27" s="1" t="s">
        <v>74</v>
      </c>
      <c r="BE27" s="1" t="s">
        <v>1512</v>
      </c>
      <c r="BF27" s="1" t="str">
        <f>HYPERLINK("http://dx.doi.org/10.1037/0022-3514.77.6.1296","http://dx.doi.org/10.1037/0022-3514.77.6.1296")</f>
        <v>http://dx.doi.org/10.1037/0022-3514.77.6.1296</v>
      </c>
      <c r="BG27" s="1" t="s">
        <v>74</v>
      </c>
      <c r="BH27" s="1" t="s">
        <v>74</v>
      </c>
      <c r="BI27" s="1">
        <v>17</v>
      </c>
      <c r="BJ27" s="1" t="s">
        <v>100</v>
      </c>
      <c r="BK27" s="1" t="s">
        <v>101</v>
      </c>
      <c r="BL27" s="1" t="s">
        <v>102</v>
      </c>
      <c r="BM27" s="1" t="s">
        <v>1513</v>
      </c>
      <c r="BN27" s="1">
        <v>10626371</v>
      </c>
      <c r="BO27" s="1" t="s">
        <v>74</v>
      </c>
      <c r="BP27" s="1" t="s">
        <v>74</v>
      </c>
      <c r="BQ27" s="1" t="s">
        <v>74</v>
      </c>
      <c r="BR27" s="1" t="s">
        <v>104</v>
      </c>
      <c r="BS27" s="1" t="s">
        <v>1514</v>
      </c>
      <c r="BT27" s="1" t="str">
        <f>HYPERLINK("https%3A%2F%2Fwww.webofscience.com%2Fwos%2Fwoscc%2Ffull-record%2FWOS:000084208700015","View Full Record in Web of Science")</f>
        <v>View Full Record in Web of Science</v>
      </c>
      <c r="BU27" s="1" t="s">
        <v>2040</v>
      </c>
      <c r="BV27" s="1" t="s">
        <v>10653</v>
      </c>
    </row>
    <row r="28" spans="1:75" ht="145" customHeight="1" x14ac:dyDescent="0.35">
      <c r="A28" s="1" t="s">
        <v>72</v>
      </c>
      <c r="B28" s="1" t="s">
        <v>1655</v>
      </c>
      <c r="C28" s="1" t="s">
        <v>74</v>
      </c>
      <c r="D28" s="1" t="s">
        <v>74</v>
      </c>
      <c r="E28" s="1" t="s">
        <v>74</v>
      </c>
      <c r="F28" s="1" t="s">
        <v>1655</v>
      </c>
      <c r="G28" s="1" t="s">
        <v>74</v>
      </c>
      <c r="H28" s="1" t="s">
        <v>74</v>
      </c>
      <c r="I28" s="1" t="s">
        <v>1656</v>
      </c>
      <c r="J28" s="1" t="s">
        <v>240</v>
      </c>
      <c r="K28" s="1" t="s">
        <v>74</v>
      </c>
      <c r="L28" s="1" t="s">
        <v>74</v>
      </c>
      <c r="M28" s="1" t="s">
        <v>78</v>
      </c>
      <c r="N28" s="1" t="s">
        <v>79</v>
      </c>
      <c r="O28" s="1" t="s">
        <v>74</v>
      </c>
      <c r="P28" s="1" t="s">
        <v>74</v>
      </c>
      <c r="Q28" s="1" t="s">
        <v>74</v>
      </c>
      <c r="R28" s="1" t="s">
        <v>74</v>
      </c>
      <c r="S28" s="1" t="s">
        <v>74</v>
      </c>
      <c r="T28" s="1" t="s">
        <v>74</v>
      </c>
      <c r="U28" s="1" t="s">
        <v>1657</v>
      </c>
      <c r="V28" s="1" t="s">
        <v>1658</v>
      </c>
      <c r="W28" s="1" t="s">
        <v>1659</v>
      </c>
      <c r="X28" s="1" t="s">
        <v>1660</v>
      </c>
      <c r="Y28" s="1" t="s">
        <v>1661</v>
      </c>
      <c r="Z28" s="1" t="s">
        <v>74</v>
      </c>
      <c r="AA28" s="1" t="s">
        <v>1662</v>
      </c>
      <c r="AB28" s="1" t="s">
        <v>1663</v>
      </c>
      <c r="AC28" s="1" t="s">
        <v>74</v>
      </c>
      <c r="AD28" s="1" t="s">
        <v>74</v>
      </c>
      <c r="AE28" s="1" t="s">
        <v>74</v>
      </c>
      <c r="AF28" s="1" t="s">
        <v>74</v>
      </c>
      <c r="AG28" s="1">
        <v>40</v>
      </c>
      <c r="AH28" s="1">
        <v>340</v>
      </c>
      <c r="AI28" s="1">
        <v>343</v>
      </c>
      <c r="AJ28" s="1">
        <v>2</v>
      </c>
      <c r="AK28" s="1">
        <v>45</v>
      </c>
      <c r="AL28" s="1" t="s">
        <v>232</v>
      </c>
      <c r="AM28" s="1" t="s">
        <v>233</v>
      </c>
      <c r="AN28" s="1" t="s">
        <v>1664</v>
      </c>
      <c r="AO28" s="1" t="s">
        <v>254</v>
      </c>
      <c r="AP28" s="1" t="s">
        <v>74</v>
      </c>
      <c r="AQ28" s="1" t="s">
        <v>74</v>
      </c>
      <c r="AR28" s="1" t="s">
        <v>256</v>
      </c>
      <c r="AS28" s="1" t="s">
        <v>257</v>
      </c>
      <c r="AT28" s="1" t="s">
        <v>74</v>
      </c>
      <c r="AU28" s="1">
        <v>1999</v>
      </c>
      <c r="AV28" s="1">
        <v>63</v>
      </c>
      <c r="AW28" s="1" t="s">
        <v>74</v>
      </c>
      <c r="AX28" s="1" t="s">
        <v>74</v>
      </c>
      <c r="AY28" s="1" t="s">
        <v>74</v>
      </c>
      <c r="AZ28" s="1" t="s">
        <v>259</v>
      </c>
      <c r="BA28" s="1" t="s">
        <v>74</v>
      </c>
      <c r="BB28" s="1">
        <v>64</v>
      </c>
      <c r="BC28" s="1">
        <v>77</v>
      </c>
      <c r="BD28" s="1" t="s">
        <v>74</v>
      </c>
      <c r="BE28" s="1" t="s">
        <v>1665</v>
      </c>
      <c r="BF28" s="1" t="str">
        <f>HYPERLINK("http://dx.doi.org/10.2307/1252102","http://dx.doi.org/10.2307/1252102")</f>
        <v>http://dx.doi.org/10.2307/1252102</v>
      </c>
      <c r="BG28" s="1" t="s">
        <v>74</v>
      </c>
      <c r="BH28" s="1" t="s">
        <v>74</v>
      </c>
      <c r="BI28" s="1">
        <v>14</v>
      </c>
      <c r="BJ28" s="1" t="s">
        <v>153</v>
      </c>
      <c r="BK28" s="1" t="s">
        <v>101</v>
      </c>
      <c r="BL28" s="1" t="s">
        <v>154</v>
      </c>
      <c r="BM28" s="1" t="s">
        <v>1666</v>
      </c>
      <c r="BN28" s="1" t="s">
        <v>74</v>
      </c>
      <c r="BO28" s="1" t="s">
        <v>74</v>
      </c>
      <c r="BP28" s="1" t="s">
        <v>74</v>
      </c>
      <c r="BQ28" s="1" t="s">
        <v>74</v>
      </c>
      <c r="BR28" s="1" t="s">
        <v>104</v>
      </c>
      <c r="BS28" s="1" t="s">
        <v>1667</v>
      </c>
      <c r="BT28" s="1" t="str">
        <f>HYPERLINK("https%3A%2F%2Fwww.webofscience.com%2Fwos%2Fwoscc%2Ffull-record%2FWOS:000083485900008","View Full Record in Web of Science")</f>
        <v>View Full Record in Web of Science</v>
      </c>
      <c r="BU28" s="1" t="s">
        <v>2040</v>
      </c>
      <c r="BV28" s="1" t="s">
        <v>6080</v>
      </c>
      <c r="BW28" s="1" t="s">
        <v>6080</v>
      </c>
    </row>
    <row r="29" spans="1:75" ht="290" x14ac:dyDescent="0.35">
      <c r="A29" s="1" t="s">
        <v>72</v>
      </c>
      <c r="B29" s="1" t="s">
        <v>1502</v>
      </c>
      <c r="C29" s="1" t="s">
        <v>74</v>
      </c>
      <c r="D29" s="1" t="s">
        <v>74</v>
      </c>
      <c r="E29" s="1" t="s">
        <v>74</v>
      </c>
      <c r="F29" s="1" t="s">
        <v>1502</v>
      </c>
      <c r="G29" s="1" t="s">
        <v>74</v>
      </c>
      <c r="H29" s="1" t="s">
        <v>74</v>
      </c>
      <c r="I29" s="1" t="s">
        <v>1503</v>
      </c>
      <c r="J29" s="1" t="s">
        <v>77</v>
      </c>
      <c r="K29" s="1" t="s">
        <v>74</v>
      </c>
      <c r="L29" s="1" t="s">
        <v>74</v>
      </c>
      <c r="M29" s="1" t="s">
        <v>78</v>
      </c>
      <c r="N29" s="1" t="s">
        <v>79</v>
      </c>
      <c r="O29" s="1" t="s">
        <v>74</v>
      </c>
      <c r="P29" s="1" t="s">
        <v>74</v>
      </c>
      <c r="Q29" s="1" t="s">
        <v>74</v>
      </c>
      <c r="R29" s="1" t="s">
        <v>74</v>
      </c>
      <c r="S29" s="1" t="s">
        <v>74</v>
      </c>
      <c r="T29" s="1" t="s">
        <v>74</v>
      </c>
      <c r="U29" s="1" t="s">
        <v>1504</v>
      </c>
      <c r="V29" s="1" t="s">
        <v>1505</v>
      </c>
      <c r="W29" s="1" t="s">
        <v>1506</v>
      </c>
      <c r="X29" s="1" t="s">
        <v>1507</v>
      </c>
      <c r="Y29" s="1" t="s">
        <v>1508</v>
      </c>
      <c r="Z29" s="1" t="s">
        <v>74</v>
      </c>
      <c r="AA29" s="1" t="s">
        <v>1509</v>
      </c>
      <c r="AB29" s="1" t="s">
        <v>1510</v>
      </c>
      <c r="AC29" s="1" t="s">
        <v>1511</v>
      </c>
      <c r="AD29" s="1" t="s">
        <v>497</v>
      </c>
      <c r="AE29" s="1" t="s">
        <v>74</v>
      </c>
      <c r="AF29" s="1" t="s">
        <v>74</v>
      </c>
      <c r="AG29" s="1">
        <v>54</v>
      </c>
      <c r="AH29" s="1">
        <v>904</v>
      </c>
      <c r="AI29" s="1">
        <v>915</v>
      </c>
      <c r="AJ29" s="1">
        <v>9</v>
      </c>
      <c r="AK29" s="1">
        <v>123</v>
      </c>
      <c r="AL29" s="1" t="s">
        <v>91</v>
      </c>
      <c r="AM29" s="1" t="s">
        <v>92</v>
      </c>
      <c r="AN29" s="1" t="s">
        <v>93</v>
      </c>
      <c r="AO29" s="1" t="s">
        <v>94</v>
      </c>
      <c r="AP29" s="1" t="s">
        <v>74</v>
      </c>
      <c r="AQ29" s="1" t="s">
        <v>74</v>
      </c>
      <c r="AR29" s="1" t="s">
        <v>96</v>
      </c>
      <c r="AS29" s="1" t="s">
        <v>97</v>
      </c>
      <c r="AT29" s="1" t="s">
        <v>348</v>
      </c>
      <c r="AU29" s="1">
        <v>1999</v>
      </c>
      <c r="AV29" s="1">
        <v>77</v>
      </c>
      <c r="AW29" s="1">
        <v>6</v>
      </c>
      <c r="AX29" s="1" t="s">
        <v>74</v>
      </c>
      <c r="AY29" s="1" t="s">
        <v>74</v>
      </c>
      <c r="AZ29" s="1" t="s">
        <v>74</v>
      </c>
      <c r="BA29" s="1" t="s">
        <v>74</v>
      </c>
      <c r="BB29" s="1">
        <v>1296</v>
      </c>
      <c r="BC29" s="1">
        <v>1312</v>
      </c>
      <c r="BD29" s="1" t="s">
        <v>74</v>
      </c>
      <c r="BE29" s="1" t="s">
        <v>1512</v>
      </c>
      <c r="BF29" s="1" t="str">
        <f>HYPERLINK("http://dx.doi.org/10.1037/0022-3514.77.6.1296","http://dx.doi.org/10.1037/0022-3514.77.6.1296")</f>
        <v>http://dx.doi.org/10.1037/0022-3514.77.6.1296</v>
      </c>
      <c r="BG29" s="1" t="s">
        <v>74</v>
      </c>
      <c r="BH29" s="1" t="s">
        <v>74</v>
      </c>
      <c r="BI29" s="1">
        <v>17</v>
      </c>
      <c r="BJ29" s="1" t="s">
        <v>100</v>
      </c>
      <c r="BK29" s="1" t="s">
        <v>101</v>
      </c>
      <c r="BL29" s="1" t="s">
        <v>102</v>
      </c>
      <c r="BM29" s="1" t="s">
        <v>1513</v>
      </c>
      <c r="BN29" s="1">
        <v>10626371</v>
      </c>
      <c r="BO29" s="1" t="s">
        <v>74</v>
      </c>
      <c r="BP29" s="1" t="s">
        <v>74</v>
      </c>
      <c r="BQ29" s="1" t="s">
        <v>74</v>
      </c>
      <c r="BR29" s="1" t="s">
        <v>104</v>
      </c>
      <c r="BS29" s="1" t="s">
        <v>1514</v>
      </c>
      <c r="BT29" s="1" t="str">
        <f>HYPERLINK("https%3A%2F%2Fwww.webofscience.com%2Fwos%2Fwoscc%2Ffull-record%2FWOS:000084208700015","View Full Record in Web of Science")</f>
        <v>View Full Record in Web of Science</v>
      </c>
      <c r="BU29" s="1" t="s">
        <v>3776</v>
      </c>
      <c r="BV29" s="1" t="s">
        <v>10653</v>
      </c>
    </row>
    <row r="30" spans="1:75" ht="391.5" x14ac:dyDescent="0.35">
      <c r="A30" s="1" t="s">
        <v>72</v>
      </c>
      <c r="B30" s="1" t="s">
        <v>3519</v>
      </c>
      <c r="C30" s="1" t="s">
        <v>74</v>
      </c>
      <c r="D30" s="1" t="s">
        <v>74</v>
      </c>
      <c r="E30" s="1" t="s">
        <v>74</v>
      </c>
      <c r="F30" s="1" t="s">
        <v>3519</v>
      </c>
      <c r="G30" s="1" t="s">
        <v>74</v>
      </c>
      <c r="H30" s="1" t="s">
        <v>74</v>
      </c>
      <c r="I30" s="1" t="s">
        <v>3520</v>
      </c>
      <c r="J30" s="1" t="s">
        <v>3521</v>
      </c>
      <c r="K30" s="1" t="s">
        <v>74</v>
      </c>
      <c r="L30" s="1" t="s">
        <v>74</v>
      </c>
      <c r="M30" s="1" t="s">
        <v>78</v>
      </c>
      <c r="N30" s="1" t="s">
        <v>241</v>
      </c>
      <c r="O30" s="1" t="s">
        <v>3522</v>
      </c>
      <c r="P30" s="1" t="s">
        <v>3523</v>
      </c>
      <c r="Q30" s="1" t="s">
        <v>3524</v>
      </c>
      <c r="R30" s="1" t="s">
        <v>3525</v>
      </c>
      <c r="S30" s="1" t="s">
        <v>74</v>
      </c>
      <c r="T30" s="1" t="s">
        <v>74</v>
      </c>
      <c r="U30" s="1" t="s">
        <v>3526</v>
      </c>
      <c r="V30" s="1" t="s">
        <v>3527</v>
      </c>
      <c r="W30" s="1" t="s">
        <v>3528</v>
      </c>
      <c r="X30" s="1" t="s">
        <v>2741</v>
      </c>
      <c r="Y30" s="1" t="s">
        <v>3529</v>
      </c>
      <c r="Z30" s="1" t="s">
        <v>74</v>
      </c>
      <c r="AA30" s="1" t="s">
        <v>74</v>
      </c>
      <c r="AB30" s="1" t="s">
        <v>74</v>
      </c>
      <c r="AC30" s="1" t="s">
        <v>74</v>
      </c>
      <c r="AD30" s="1" t="s">
        <v>74</v>
      </c>
      <c r="AE30" s="1" t="s">
        <v>74</v>
      </c>
      <c r="AF30" s="1" t="s">
        <v>74</v>
      </c>
      <c r="AG30" s="1">
        <v>48</v>
      </c>
      <c r="AH30" s="1">
        <v>169</v>
      </c>
      <c r="AI30" s="1">
        <v>172</v>
      </c>
      <c r="AJ30" s="1">
        <v>0</v>
      </c>
      <c r="AK30" s="1">
        <v>29</v>
      </c>
      <c r="AL30" s="1" t="s">
        <v>357</v>
      </c>
      <c r="AM30" s="1" t="s">
        <v>233</v>
      </c>
      <c r="AN30" s="1" t="s">
        <v>3494</v>
      </c>
      <c r="AO30" s="1" t="s">
        <v>3530</v>
      </c>
      <c r="AP30" s="1" t="s">
        <v>74</v>
      </c>
      <c r="AQ30" s="1" t="s">
        <v>74</v>
      </c>
      <c r="AR30" s="1" t="s">
        <v>3531</v>
      </c>
      <c r="AS30" s="1" t="s">
        <v>3532</v>
      </c>
      <c r="AT30" s="1" t="s">
        <v>746</v>
      </c>
      <c r="AU30" s="1">
        <v>1999</v>
      </c>
      <c r="AV30" s="1">
        <v>63</v>
      </c>
      <c r="AW30" s="1">
        <v>3</v>
      </c>
      <c r="AX30" s="1" t="s">
        <v>74</v>
      </c>
      <c r="AY30" s="1" t="s">
        <v>74</v>
      </c>
      <c r="AZ30" s="1" t="s">
        <v>74</v>
      </c>
      <c r="BA30" s="1" t="s">
        <v>74</v>
      </c>
      <c r="BB30" s="1">
        <v>293</v>
      </c>
      <c r="BC30" s="1">
        <v>320</v>
      </c>
      <c r="BD30" s="1" t="s">
        <v>74</v>
      </c>
      <c r="BE30" s="1" t="s">
        <v>3533</v>
      </c>
      <c r="BF30" s="1" t="str">
        <f>HYPERLINK("http://dx.doi.org/10.1086/297722","http://dx.doi.org/10.1086/297722")</f>
        <v>http://dx.doi.org/10.1086/297722</v>
      </c>
      <c r="BG30" s="1" t="s">
        <v>74</v>
      </c>
      <c r="BH30" s="1" t="s">
        <v>74</v>
      </c>
      <c r="BI30" s="1">
        <v>28</v>
      </c>
      <c r="BJ30" s="1" t="s">
        <v>3534</v>
      </c>
      <c r="BK30" s="1" t="s">
        <v>3483</v>
      </c>
      <c r="BL30" s="1" t="s">
        <v>3535</v>
      </c>
      <c r="BM30" s="1" t="s">
        <v>3536</v>
      </c>
      <c r="BN30" s="1" t="s">
        <v>74</v>
      </c>
      <c r="BO30" s="1" t="s">
        <v>74</v>
      </c>
      <c r="BP30" s="1" t="s">
        <v>74</v>
      </c>
      <c r="BQ30" s="1" t="s">
        <v>74</v>
      </c>
      <c r="BR30" s="1" t="s">
        <v>104</v>
      </c>
      <c r="BS30" s="1" t="s">
        <v>3537</v>
      </c>
      <c r="BT30" s="1" t="str">
        <f>HYPERLINK("https%3A%2F%2Fwww.webofscience.com%2Fwos%2Fwoscc%2Ffull-record%2FWOS:000084356600001","View Full Record in Web of Science")</f>
        <v>View Full Record in Web of Science</v>
      </c>
      <c r="BU30" s="1" t="s">
        <v>3776</v>
      </c>
      <c r="BV30" s="1" t="s">
        <v>10653</v>
      </c>
    </row>
    <row r="31" spans="1:75" ht="319" x14ac:dyDescent="0.35">
      <c r="A31" s="1" t="s">
        <v>72</v>
      </c>
      <c r="B31" s="1" t="s">
        <v>3538</v>
      </c>
      <c r="C31" s="1" t="s">
        <v>74</v>
      </c>
      <c r="D31" s="1" t="s">
        <v>74</v>
      </c>
      <c r="E31" s="1" t="s">
        <v>74</v>
      </c>
      <c r="F31" s="1" t="s">
        <v>3538</v>
      </c>
      <c r="G31" s="1" t="s">
        <v>74</v>
      </c>
      <c r="H31" s="1" t="s">
        <v>74</v>
      </c>
      <c r="I31" s="1" t="s">
        <v>3539</v>
      </c>
      <c r="J31" s="1" t="s">
        <v>301</v>
      </c>
      <c r="K31" s="1" t="s">
        <v>74</v>
      </c>
      <c r="L31" s="1" t="s">
        <v>74</v>
      </c>
      <c r="M31" s="1" t="s">
        <v>78</v>
      </c>
      <c r="N31" s="1" t="s">
        <v>79</v>
      </c>
      <c r="O31" s="1" t="s">
        <v>74</v>
      </c>
      <c r="P31" s="1" t="s">
        <v>74</v>
      </c>
      <c r="Q31" s="1" t="s">
        <v>74</v>
      </c>
      <c r="R31" s="1" t="s">
        <v>74</v>
      </c>
      <c r="S31" s="1" t="s">
        <v>74</v>
      </c>
      <c r="T31" s="1" t="s">
        <v>74</v>
      </c>
      <c r="U31" s="1" t="s">
        <v>3540</v>
      </c>
      <c r="V31" s="1" t="s">
        <v>3541</v>
      </c>
      <c r="W31" s="1" t="s">
        <v>3542</v>
      </c>
      <c r="X31" s="1" t="s">
        <v>916</v>
      </c>
      <c r="Y31" s="1" t="s">
        <v>3543</v>
      </c>
      <c r="Z31" s="1" t="s">
        <v>74</v>
      </c>
      <c r="AA31" s="1" t="s">
        <v>74</v>
      </c>
      <c r="AB31" s="1" t="s">
        <v>74</v>
      </c>
      <c r="AC31" s="1" t="s">
        <v>74</v>
      </c>
      <c r="AD31" s="1" t="s">
        <v>74</v>
      </c>
      <c r="AE31" s="1" t="s">
        <v>74</v>
      </c>
      <c r="AF31" s="1" t="s">
        <v>74</v>
      </c>
      <c r="AG31" s="1">
        <v>26</v>
      </c>
      <c r="AH31" s="1">
        <v>673</v>
      </c>
      <c r="AI31" s="1">
        <v>690</v>
      </c>
      <c r="AJ31" s="1">
        <v>6</v>
      </c>
      <c r="AK31" s="1">
        <v>129</v>
      </c>
      <c r="AL31" s="1" t="s">
        <v>3544</v>
      </c>
      <c r="AM31" s="1" t="s">
        <v>3545</v>
      </c>
      <c r="AN31" s="1" t="s">
        <v>3546</v>
      </c>
      <c r="AO31" s="1" t="s">
        <v>306</v>
      </c>
      <c r="AP31" s="1" t="s">
        <v>74</v>
      </c>
      <c r="AQ31" s="1" t="s">
        <v>74</v>
      </c>
      <c r="AR31" s="1" t="s">
        <v>308</v>
      </c>
      <c r="AS31" s="1" t="s">
        <v>309</v>
      </c>
      <c r="AT31" s="1" t="s">
        <v>98</v>
      </c>
      <c r="AU31" s="1">
        <v>1999</v>
      </c>
      <c r="AV31" s="1">
        <v>10</v>
      </c>
      <c r="AW31" s="1">
        <v>4</v>
      </c>
      <c r="AX31" s="1" t="s">
        <v>74</v>
      </c>
      <c r="AY31" s="1" t="s">
        <v>74</v>
      </c>
      <c r="AZ31" s="1" t="s">
        <v>74</v>
      </c>
      <c r="BA31" s="1" t="s">
        <v>74</v>
      </c>
      <c r="BB31" s="1">
        <v>321</v>
      </c>
      <c r="BC31" s="1">
        <v>326</v>
      </c>
      <c r="BD31" s="1" t="s">
        <v>74</v>
      </c>
      <c r="BE31" s="1" t="s">
        <v>3547</v>
      </c>
      <c r="BF31" s="1" t="str">
        <f>HYPERLINK("http://dx.doi.org/10.1111/1467-9280.00162","http://dx.doi.org/10.1111/1467-9280.00162")</f>
        <v>http://dx.doi.org/10.1111/1467-9280.00162</v>
      </c>
      <c r="BG31" s="1" t="s">
        <v>74</v>
      </c>
      <c r="BH31" s="1" t="s">
        <v>74</v>
      </c>
      <c r="BI31" s="1">
        <v>6</v>
      </c>
      <c r="BJ31" s="1" t="s">
        <v>311</v>
      </c>
      <c r="BK31" s="1" t="s">
        <v>101</v>
      </c>
      <c r="BL31" s="1" t="s">
        <v>102</v>
      </c>
      <c r="BM31" s="1" t="s">
        <v>3548</v>
      </c>
      <c r="BN31" s="1" t="s">
        <v>74</v>
      </c>
      <c r="BO31" s="1" t="s">
        <v>74</v>
      </c>
      <c r="BP31" s="1" t="s">
        <v>74</v>
      </c>
      <c r="BQ31" s="1" t="s">
        <v>74</v>
      </c>
      <c r="BR31" s="1" t="s">
        <v>104</v>
      </c>
      <c r="BS31" s="1" t="s">
        <v>3549</v>
      </c>
      <c r="BT31" s="1" t="str">
        <f>HYPERLINK("https%3A%2F%2Fwww.webofscience.com%2Fwos%2Fwoscc%2Ffull-record%2FWOS:000081849400006","View Full Record in Web of Science")</f>
        <v>View Full Record in Web of Science</v>
      </c>
      <c r="BU31" s="1" t="s">
        <v>3776</v>
      </c>
      <c r="BV31" s="1" t="s">
        <v>10653</v>
      </c>
    </row>
    <row r="32" spans="1:75" x14ac:dyDescent="0.35">
      <c r="A32" t="s">
        <v>72</v>
      </c>
      <c r="B32" t="s">
        <v>7480</v>
      </c>
      <c r="C32" t="s">
        <v>74</v>
      </c>
      <c r="D32" t="s">
        <v>74</v>
      </c>
      <c r="E32" t="s">
        <v>74</v>
      </c>
      <c r="F32" t="s">
        <v>7480</v>
      </c>
      <c r="G32" t="s">
        <v>74</v>
      </c>
      <c r="H32" t="s">
        <v>74</v>
      </c>
      <c r="I32" t="s">
        <v>7481</v>
      </c>
      <c r="J32" t="s">
        <v>6394</v>
      </c>
      <c r="K32" t="s">
        <v>74</v>
      </c>
      <c r="L32" t="s">
        <v>74</v>
      </c>
      <c r="M32" t="s">
        <v>78</v>
      </c>
      <c r="N32" t="s">
        <v>79</v>
      </c>
      <c r="O32" t="s">
        <v>74</v>
      </c>
      <c r="P32" t="s">
        <v>74</v>
      </c>
      <c r="Q32" t="s">
        <v>74</v>
      </c>
      <c r="R32" t="s">
        <v>74</v>
      </c>
      <c r="S32" t="s">
        <v>74</v>
      </c>
      <c r="T32" t="s">
        <v>74</v>
      </c>
      <c r="U32" t="s">
        <v>7482</v>
      </c>
      <c r="V32" t="s">
        <v>7483</v>
      </c>
      <c r="W32" t="s">
        <v>7484</v>
      </c>
      <c r="X32" t="s">
        <v>7485</v>
      </c>
      <c r="Y32" t="s">
        <v>7486</v>
      </c>
      <c r="Z32" t="s">
        <v>74</v>
      </c>
      <c r="AA32" t="s">
        <v>74</v>
      </c>
      <c r="AB32" t="s">
        <v>74</v>
      </c>
      <c r="AC32" t="s">
        <v>74</v>
      </c>
      <c r="AD32" t="s">
        <v>74</v>
      </c>
      <c r="AE32" t="s">
        <v>74</v>
      </c>
      <c r="AF32" t="s">
        <v>74</v>
      </c>
      <c r="AG32">
        <v>86</v>
      </c>
      <c r="AH32">
        <v>59</v>
      </c>
      <c r="AI32">
        <v>59</v>
      </c>
      <c r="AJ32">
        <v>0</v>
      </c>
      <c r="AK32">
        <v>10</v>
      </c>
      <c r="AL32" t="s">
        <v>6685</v>
      </c>
      <c r="AM32" t="s">
        <v>6686</v>
      </c>
      <c r="AN32" t="s">
        <v>7487</v>
      </c>
      <c r="AO32" t="s">
        <v>6402</v>
      </c>
      <c r="AP32" t="s">
        <v>74</v>
      </c>
      <c r="AQ32" t="s">
        <v>74</v>
      </c>
      <c r="AR32" t="s">
        <v>6404</v>
      </c>
      <c r="AS32" t="s">
        <v>6405</v>
      </c>
      <c r="AT32" t="s">
        <v>2617</v>
      </c>
      <c r="AU32">
        <v>1999</v>
      </c>
      <c r="AV32">
        <v>28</v>
      </c>
      <c r="AW32">
        <v>2</v>
      </c>
      <c r="AX32" t="s">
        <v>74</v>
      </c>
      <c r="AY32" t="s">
        <v>74</v>
      </c>
      <c r="AZ32" t="s">
        <v>74</v>
      </c>
      <c r="BA32" t="s">
        <v>74</v>
      </c>
      <c r="BB32">
        <v>33</v>
      </c>
      <c r="BC32">
        <v>49</v>
      </c>
      <c r="BD32" t="s">
        <v>74</v>
      </c>
      <c r="BE32" t="s">
        <v>7488</v>
      </c>
      <c r="BF32" t="str">
        <f>HYPERLINK("http://dx.doi.org/10.1080/00913367.1999.10673582","http://dx.doi.org/10.1080/00913367.1999.10673582")</f>
        <v>http://dx.doi.org/10.1080/00913367.1999.10673582</v>
      </c>
      <c r="BG32" t="s">
        <v>74</v>
      </c>
      <c r="BH32" t="s">
        <v>74</v>
      </c>
      <c r="BI32">
        <v>17</v>
      </c>
      <c r="BJ32" t="s">
        <v>2010</v>
      </c>
      <c r="BK32" t="s">
        <v>101</v>
      </c>
      <c r="BL32" t="s">
        <v>2011</v>
      </c>
      <c r="BM32" t="s">
        <v>7489</v>
      </c>
      <c r="BN32" t="s">
        <v>74</v>
      </c>
      <c r="BO32" t="s">
        <v>74</v>
      </c>
      <c r="BP32" t="s">
        <v>74</v>
      </c>
      <c r="BQ32" t="s">
        <v>74</v>
      </c>
      <c r="BR32" t="s">
        <v>6098</v>
      </c>
      <c r="BS32" t="s">
        <v>7490</v>
      </c>
      <c r="BT32" t="str">
        <f>HYPERLINK("https%3A%2F%2Fwww.webofscience.com%2Fwos%2Fwoscc%2Ffull-record%2FWOS:000082643000004","View Full Record in Web of Science")</f>
        <v>View Full Record in Web of Science</v>
      </c>
      <c r="BU32" t="s">
        <v>6100</v>
      </c>
      <c r="BV32" s="1" t="s">
        <v>6080</v>
      </c>
      <c r="BW32" s="1" t="s">
        <v>10653</v>
      </c>
    </row>
    <row r="33" spans="1:75" ht="409.5" x14ac:dyDescent="0.35">
      <c r="A33" s="1" t="s">
        <v>72</v>
      </c>
      <c r="B33" s="1" t="s">
        <v>3466</v>
      </c>
      <c r="C33" s="1" t="s">
        <v>74</v>
      </c>
      <c r="D33" s="1" t="s">
        <v>74</v>
      </c>
      <c r="E33" s="1" t="s">
        <v>74</v>
      </c>
      <c r="F33" s="1" t="s">
        <v>3466</v>
      </c>
      <c r="G33" s="1" t="s">
        <v>74</v>
      </c>
      <c r="H33" s="1" t="s">
        <v>74</v>
      </c>
      <c r="I33" s="1" t="s">
        <v>3467</v>
      </c>
      <c r="J33" s="1" t="s">
        <v>3066</v>
      </c>
      <c r="K33" s="1" t="s">
        <v>74</v>
      </c>
      <c r="L33" s="1" t="s">
        <v>74</v>
      </c>
      <c r="M33" s="1" t="s">
        <v>78</v>
      </c>
      <c r="N33" s="1" t="s">
        <v>241</v>
      </c>
      <c r="O33" s="1" t="s">
        <v>3468</v>
      </c>
      <c r="P33" s="1" t="s">
        <v>3469</v>
      </c>
      <c r="Q33" s="1" t="s">
        <v>3470</v>
      </c>
      <c r="R33" s="1" t="s">
        <v>3471</v>
      </c>
      <c r="S33" s="1" t="s">
        <v>74</v>
      </c>
      <c r="T33" s="1" t="s">
        <v>74</v>
      </c>
      <c r="U33" s="1" t="s">
        <v>3472</v>
      </c>
      <c r="V33" s="1" t="s">
        <v>3473</v>
      </c>
      <c r="W33" s="1" t="s">
        <v>3474</v>
      </c>
      <c r="X33" s="1" t="s">
        <v>3475</v>
      </c>
      <c r="Y33" s="1" t="s">
        <v>3476</v>
      </c>
      <c r="Z33" s="1" t="s">
        <v>74</v>
      </c>
      <c r="AA33" s="1" t="s">
        <v>3477</v>
      </c>
      <c r="AB33" s="1" t="s">
        <v>3478</v>
      </c>
      <c r="AC33" s="1" t="s">
        <v>74</v>
      </c>
      <c r="AD33" s="1" t="s">
        <v>74</v>
      </c>
      <c r="AE33" s="1" t="s">
        <v>74</v>
      </c>
      <c r="AF33" s="1" t="s">
        <v>74</v>
      </c>
      <c r="AG33" s="1">
        <v>21</v>
      </c>
      <c r="AH33" s="1">
        <v>254</v>
      </c>
      <c r="AI33" s="1">
        <v>262</v>
      </c>
      <c r="AJ33" s="1">
        <v>4</v>
      </c>
      <c r="AK33" s="1">
        <v>45</v>
      </c>
      <c r="AL33" s="1" t="s">
        <v>3479</v>
      </c>
      <c r="AM33" s="1" t="s">
        <v>3480</v>
      </c>
      <c r="AN33" s="1" t="s">
        <v>3481</v>
      </c>
      <c r="AO33" s="1" t="s">
        <v>3072</v>
      </c>
      <c r="AP33" s="1" t="s">
        <v>74</v>
      </c>
      <c r="AQ33" s="1" t="s">
        <v>74</v>
      </c>
      <c r="AR33" s="1" t="s">
        <v>3074</v>
      </c>
      <c r="AS33" s="1" t="s">
        <v>3075</v>
      </c>
      <c r="AT33" s="1" t="s">
        <v>98</v>
      </c>
      <c r="AU33" s="1">
        <v>2000</v>
      </c>
      <c r="AV33" s="1">
        <v>44</v>
      </c>
      <c r="AW33" s="1">
        <v>3</v>
      </c>
      <c r="AX33" s="1" t="s">
        <v>74</v>
      </c>
      <c r="AY33" s="1" t="s">
        <v>74</v>
      </c>
      <c r="AZ33" s="1" t="s">
        <v>74</v>
      </c>
      <c r="BA33" s="1" t="s">
        <v>74</v>
      </c>
      <c r="BB33" s="1">
        <v>619</v>
      </c>
      <c r="BC33" s="1">
        <v>634</v>
      </c>
      <c r="BD33" s="1" t="s">
        <v>74</v>
      </c>
      <c r="BE33" s="1" t="s">
        <v>3482</v>
      </c>
      <c r="BF33" s="1" t="str">
        <f>HYPERLINK("http://dx.doi.org/10.2307/2669268","http://dx.doi.org/10.2307/2669268")</f>
        <v>http://dx.doi.org/10.2307/2669268</v>
      </c>
      <c r="BG33" s="1" t="s">
        <v>74</v>
      </c>
      <c r="BH33" s="1" t="s">
        <v>74</v>
      </c>
      <c r="BI33" s="1">
        <v>16</v>
      </c>
      <c r="BJ33" s="1" t="s">
        <v>2619</v>
      </c>
      <c r="BK33" s="1" t="s">
        <v>3483</v>
      </c>
      <c r="BL33" s="1" t="s">
        <v>2620</v>
      </c>
      <c r="BM33" s="1" t="s">
        <v>3484</v>
      </c>
      <c r="BN33" s="1" t="s">
        <v>74</v>
      </c>
      <c r="BO33" s="1" t="s">
        <v>74</v>
      </c>
      <c r="BP33" s="1" t="s">
        <v>74</v>
      </c>
      <c r="BQ33" s="1" t="s">
        <v>74</v>
      </c>
      <c r="BR33" s="1" t="s">
        <v>104</v>
      </c>
      <c r="BS33" s="1" t="s">
        <v>3485</v>
      </c>
      <c r="BT33" s="1" t="str">
        <f>HYPERLINK("https%3A%2F%2Fwww.webofscience.com%2Fwos%2Fwoscc%2Ffull-record%2FWOS:000087817700014","View Full Record in Web of Science")</f>
        <v>View Full Record in Web of Science</v>
      </c>
      <c r="BU33" s="1" t="s">
        <v>3776</v>
      </c>
      <c r="BV33" s="1" t="s">
        <v>10653</v>
      </c>
    </row>
    <row r="34" spans="1:75" ht="246.5" x14ac:dyDescent="0.35">
      <c r="A34" s="1" t="s">
        <v>72</v>
      </c>
      <c r="B34" s="1" t="s">
        <v>3486</v>
      </c>
      <c r="C34" s="1" t="s">
        <v>74</v>
      </c>
      <c r="D34" s="1" t="s">
        <v>74</v>
      </c>
      <c r="E34" s="1" t="s">
        <v>74</v>
      </c>
      <c r="F34" s="1" t="s">
        <v>3486</v>
      </c>
      <c r="G34" s="1" t="s">
        <v>74</v>
      </c>
      <c r="H34" s="1" t="s">
        <v>74</v>
      </c>
      <c r="I34" s="1" t="s">
        <v>3487</v>
      </c>
      <c r="J34" s="1" t="s">
        <v>161</v>
      </c>
      <c r="K34" s="1" t="s">
        <v>74</v>
      </c>
      <c r="L34" s="1" t="s">
        <v>74</v>
      </c>
      <c r="M34" s="1" t="s">
        <v>78</v>
      </c>
      <c r="N34" s="1" t="s">
        <v>79</v>
      </c>
      <c r="O34" s="1" t="s">
        <v>74</v>
      </c>
      <c r="P34" s="1" t="s">
        <v>74</v>
      </c>
      <c r="Q34" s="1" t="s">
        <v>74</v>
      </c>
      <c r="R34" s="1" t="s">
        <v>74</v>
      </c>
      <c r="S34" s="1" t="s">
        <v>74</v>
      </c>
      <c r="T34" s="1" t="s">
        <v>74</v>
      </c>
      <c r="U34" s="1" t="s">
        <v>3488</v>
      </c>
      <c r="V34" s="1" t="s">
        <v>3489</v>
      </c>
      <c r="W34" s="1" t="s">
        <v>3490</v>
      </c>
      <c r="X34" s="1" t="s">
        <v>3491</v>
      </c>
      <c r="Y34" s="1" t="s">
        <v>3492</v>
      </c>
      <c r="Z34" s="1" t="s">
        <v>74</v>
      </c>
      <c r="AA34" s="1" t="s">
        <v>3493</v>
      </c>
      <c r="AB34" s="1" t="s">
        <v>74</v>
      </c>
      <c r="AC34" s="1" t="s">
        <v>74</v>
      </c>
      <c r="AD34" s="1" t="s">
        <v>74</v>
      </c>
      <c r="AE34" s="1" t="s">
        <v>74</v>
      </c>
      <c r="AF34" s="1" t="s">
        <v>74</v>
      </c>
      <c r="AG34" s="1">
        <v>58</v>
      </c>
      <c r="AH34" s="1">
        <v>174</v>
      </c>
      <c r="AI34" s="1">
        <v>177</v>
      </c>
      <c r="AJ34" s="1">
        <v>0</v>
      </c>
      <c r="AK34" s="1">
        <v>30</v>
      </c>
      <c r="AL34" s="1" t="s">
        <v>357</v>
      </c>
      <c r="AM34" s="1" t="s">
        <v>233</v>
      </c>
      <c r="AN34" s="1" t="s">
        <v>3494</v>
      </c>
      <c r="AO34" s="1" t="s">
        <v>173</v>
      </c>
      <c r="AP34" s="1" t="s">
        <v>74</v>
      </c>
      <c r="AQ34" s="1" t="s">
        <v>74</v>
      </c>
      <c r="AR34" s="1" t="s">
        <v>175</v>
      </c>
      <c r="AS34" s="1" t="s">
        <v>176</v>
      </c>
      <c r="AT34" s="1" t="s">
        <v>151</v>
      </c>
      <c r="AU34" s="1">
        <v>2000</v>
      </c>
      <c r="AV34" s="1">
        <v>27</v>
      </c>
      <c r="AW34" s="1">
        <v>1</v>
      </c>
      <c r="AX34" s="1" t="s">
        <v>74</v>
      </c>
      <c r="AY34" s="1" t="s">
        <v>74</v>
      </c>
      <c r="AZ34" s="1" t="s">
        <v>74</v>
      </c>
      <c r="BA34" s="1" t="s">
        <v>74</v>
      </c>
      <c r="BB34" s="1">
        <v>17</v>
      </c>
      <c r="BC34" s="1">
        <v>30</v>
      </c>
      <c r="BD34" s="1" t="s">
        <v>74</v>
      </c>
      <c r="BE34" s="1" t="s">
        <v>3495</v>
      </c>
      <c r="BF34" s="1" t="str">
        <f>HYPERLINK("http://dx.doi.org/10.1086/314306","http://dx.doi.org/10.1086/314306")</f>
        <v>http://dx.doi.org/10.1086/314306</v>
      </c>
      <c r="BG34" s="1" t="s">
        <v>74</v>
      </c>
      <c r="BH34" s="1" t="s">
        <v>74</v>
      </c>
      <c r="BI34" s="1">
        <v>14</v>
      </c>
      <c r="BJ34" s="1" t="s">
        <v>153</v>
      </c>
      <c r="BK34" s="1" t="s">
        <v>1532</v>
      </c>
      <c r="BL34" s="1" t="s">
        <v>154</v>
      </c>
      <c r="BM34" s="1" t="s">
        <v>3496</v>
      </c>
      <c r="BN34" s="1" t="s">
        <v>74</v>
      </c>
      <c r="BO34" s="1" t="s">
        <v>74</v>
      </c>
      <c r="BP34" s="1" t="s">
        <v>74</v>
      </c>
      <c r="BQ34" s="1" t="s">
        <v>74</v>
      </c>
      <c r="BR34" s="1" t="s">
        <v>104</v>
      </c>
      <c r="BS34" s="1" t="s">
        <v>3497</v>
      </c>
      <c r="BT34" s="1" t="str">
        <f>HYPERLINK("https%3A%2F%2Fwww.webofscience.com%2Fwos%2Fwoscc%2Ffull-record%2FWOS:000088151600003","View Full Record in Web of Science")</f>
        <v>View Full Record in Web of Science</v>
      </c>
      <c r="BU34" s="1" t="s">
        <v>3776</v>
      </c>
      <c r="BV34" s="1" t="s">
        <v>6080</v>
      </c>
      <c r="BW34" s="1" t="s">
        <v>10653</v>
      </c>
    </row>
    <row r="35" spans="1:75" ht="246.5" x14ac:dyDescent="0.35">
      <c r="A35" s="1" t="s">
        <v>72</v>
      </c>
      <c r="B35" s="1" t="s">
        <v>3498</v>
      </c>
      <c r="C35" s="1" t="s">
        <v>74</v>
      </c>
      <c r="D35" s="1" t="s">
        <v>74</v>
      </c>
      <c r="E35" s="1" t="s">
        <v>74</v>
      </c>
      <c r="F35" s="1" t="s">
        <v>3498</v>
      </c>
      <c r="G35" s="1" t="s">
        <v>74</v>
      </c>
      <c r="H35" s="1" t="s">
        <v>74</v>
      </c>
      <c r="I35" s="1" t="s">
        <v>3499</v>
      </c>
      <c r="J35" s="1" t="s">
        <v>136</v>
      </c>
      <c r="K35" s="1" t="s">
        <v>74</v>
      </c>
      <c r="L35" s="1" t="s">
        <v>74</v>
      </c>
      <c r="M35" s="1" t="s">
        <v>78</v>
      </c>
      <c r="N35" s="1" t="s">
        <v>110</v>
      </c>
      <c r="O35" s="1" t="s">
        <v>74</v>
      </c>
      <c r="P35" s="1" t="s">
        <v>74</v>
      </c>
      <c r="Q35" s="1" t="s">
        <v>74</v>
      </c>
      <c r="R35" s="1" t="s">
        <v>74</v>
      </c>
      <c r="S35" s="1" t="s">
        <v>74</v>
      </c>
      <c r="T35" s="1" t="s">
        <v>74</v>
      </c>
      <c r="U35" s="1" t="s">
        <v>3500</v>
      </c>
      <c r="V35" s="1" t="s">
        <v>3501</v>
      </c>
      <c r="W35" s="1" t="s">
        <v>3502</v>
      </c>
      <c r="X35" s="1" t="s">
        <v>716</v>
      </c>
      <c r="Y35" s="1" t="s">
        <v>3503</v>
      </c>
      <c r="Z35" s="1" t="s">
        <v>74</v>
      </c>
      <c r="AA35" s="1" t="s">
        <v>74</v>
      </c>
      <c r="AB35" s="1" t="s">
        <v>74</v>
      </c>
      <c r="AC35" s="1" t="s">
        <v>74</v>
      </c>
      <c r="AD35" s="1" t="s">
        <v>74</v>
      </c>
      <c r="AE35" s="1" t="s">
        <v>74</v>
      </c>
      <c r="AF35" s="1" t="s">
        <v>74</v>
      </c>
      <c r="AG35" s="1">
        <v>102</v>
      </c>
      <c r="AH35" s="1">
        <v>173</v>
      </c>
      <c r="AI35" s="1">
        <v>175</v>
      </c>
      <c r="AJ35" s="1">
        <v>0</v>
      </c>
      <c r="AK35" s="1">
        <v>27</v>
      </c>
      <c r="AL35" s="1" t="s">
        <v>232</v>
      </c>
      <c r="AM35" s="1" t="s">
        <v>233</v>
      </c>
      <c r="AN35" s="1" t="s">
        <v>234</v>
      </c>
      <c r="AO35" s="1" t="s">
        <v>147</v>
      </c>
      <c r="AP35" s="1" t="s">
        <v>74</v>
      </c>
      <c r="AQ35" s="1" t="s">
        <v>74</v>
      </c>
      <c r="AR35" s="1" t="s">
        <v>149</v>
      </c>
      <c r="AS35" s="1" t="s">
        <v>150</v>
      </c>
      <c r="AT35" s="1" t="s">
        <v>704</v>
      </c>
      <c r="AU35" s="1">
        <v>2000</v>
      </c>
      <c r="AV35" s="1">
        <v>37</v>
      </c>
      <c r="AW35" s="1">
        <v>2</v>
      </c>
      <c r="AX35" s="1" t="s">
        <v>74</v>
      </c>
      <c r="AY35" s="1" t="s">
        <v>74</v>
      </c>
      <c r="AZ35" s="1" t="s">
        <v>74</v>
      </c>
      <c r="BA35" s="1" t="s">
        <v>74</v>
      </c>
      <c r="BB35" s="1">
        <v>156</v>
      </c>
      <c r="BC35" s="1">
        <v>172</v>
      </c>
      <c r="BD35" s="1" t="s">
        <v>74</v>
      </c>
      <c r="BE35" s="1" t="s">
        <v>3504</v>
      </c>
      <c r="BF35" s="1" t="str">
        <f>HYPERLINK("http://dx.doi.org/10.1509/jmkr.37.2.156.18732","http://dx.doi.org/10.1509/jmkr.37.2.156.18732")</f>
        <v>http://dx.doi.org/10.1509/jmkr.37.2.156.18732</v>
      </c>
      <c r="BG35" s="1" t="s">
        <v>74</v>
      </c>
      <c r="BH35" s="1" t="s">
        <v>74</v>
      </c>
      <c r="BI35" s="1">
        <v>17</v>
      </c>
      <c r="BJ35" s="1" t="s">
        <v>153</v>
      </c>
      <c r="BK35" s="1" t="s">
        <v>101</v>
      </c>
      <c r="BL35" s="1" t="s">
        <v>154</v>
      </c>
      <c r="BM35" s="1" t="s">
        <v>3505</v>
      </c>
      <c r="BN35" s="1" t="s">
        <v>74</v>
      </c>
      <c r="BO35" s="1" t="s">
        <v>74</v>
      </c>
      <c r="BP35" s="1" t="s">
        <v>74</v>
      </c>
      <c r="BQ35" s="1" t="s">
        <v>74</v>
      </c>
      <c r="BR35" s="1" t="s">
        <v>104</v>
      </c>
      <c r="BS35" s="1" t="s">
        <v>3506</v>
      </c>
      <c r="BT35" s="1" t="str">
        <f>HYPERLINK("https%3A%2F%2Fwww.webofscience.com%2Fwos%2Fwoscc%2Ffull-record%2FWOS:000087116900002","View Full Record in Web of Science")</f>
        <v>View Full Record in Web of Science</v>
      </c>
      <c r="BU35" s="1" t="s">
        <v>3776</v>
      </c>
      <c r="BV35" s="1" t="s">
        <v>6080</v>
      </c>
      <c r="BW35" s="1" t="s">
        <v>10653</v>
      </c>
    </row>
    <row r="36" spans="1:75" ht="319" x14ac:dyDescent="0.35">
      <c r="A36" s="1" t="s">
        <v>72</v>
      </c>
      <c r="B36" s="1" t="s">
        <v>3507</v>
      </c>
      <c r="C36" s="1" t="s">
        <v>74</v>
      </c>
      <c r="D36" s="1" t="s">
        <v>74</v>
      </c>
      <c r="E36" s="1" t="s">
        <v>74</v>
      </c>
      <c r="F36" s="1" t="s">
        <v>3507</v>
      </c>
      <c r="G36" s="1" t="s">
        <v>74</v>
      </c>
      <c r="H36" s="1" t="s">
        <v>74</v>
      </c>
      <c r="I36" s="1" t="s">
        <v>3508</v>
      </c>
      <c r="J36" s="1" t="s">
        <v>3323</v>
      </c>
      <c r="K36" s="1" t="s">
        <v>74</v>
      </c>
      <c r="L36" s="1" t="s">
        <v>74</v>
      </c>
      <c r="M36" s="1" t="s">
        <v>78</v>
      </c>
      <c r="N36" s="1" t="s">
        <v>110</v>
      </c>
      <c r="O36" s="1" t="s">
        <v>74</v>
      </c>
      <c r="P36" s="1" t="s">
        <v>74</v>
      </c>
      <c r="Q36" s="1" t="s">
        <v>74</v>
      </c>
      <c r="R36" s="1" t="s">
        <v>74</v>
      </c>
      <c r="S36" s="1" t="s">
        <v>74</v>
      </c>
      <c r="T36" s="1" t="s">
        <v>3509</v>
      </c>
      <c r="U36" s="1" t="s">
        <v>3510</v>
      </c>
      <c r="V36" s="1" t="s">
        <v>3511</v>
      </c>
      <c r="W36" s="1" t="s">
        <v>3512</v>
      </c>
      <c r="X36" s="1" t="s">
        <v>3513</v>
      </c>
      <c r="Y36" s="1" t="s">
        <v>3514</v>
      </c>
      <c r="Z36" s="1" t="s">
        <v>74</v>
      </c>
      <c r="AA36" s="1" t="s">
        <v>74</v>
      </c>
      <c r="AB36" s="1" t="s">
        <v>3515</v>
      </c>
      <c r="AC36" s="1" t="s">
        <v>74</v>
      </c>
      <c r="AD36" s="1" t="s">
        <v>74</v>
      </c>
      <c r="AE36" s="1" t="s">
        <v>74</v>
      </c>
      <c r="AF36" s="1" t="s">
        <v>74</v>
      </c>
      <c r="AG36" s="1">
        <v>139</v>
      </c>
      <c r="AH36" s="1">
        <v>4726</v>
      </c>
      <c r="AI36" s="1">
        <v>4817</v>
      </c>
      <c r="AJ36" s="1">
        <v>27</v>
      </c>
      <c r="AK36" s="1">
        <v>837</v>
      </c>
      <c r="AL36" s="1" t="s">
        <v>3333</v>
      </c>
      <c r="AM36" s="1" t="s">
        <v>3334</v>
      </c>
      <c r="AN36" s="1" t="s">
        <v>3335</v>
      </c>
      <c r="AO36" s="1" t="s">
        <v>3336</v>
      </c>
      <c r="AP36" s="1" t="s">
        <v>74</v>
      </c>
      <c r="AQ36" s="1" t="s">
        <v>74</v>
      </c>
      <c r="AR36" s="1" t="s">
        <v>3337</v>
      </c>
      <c r="AS36" s="1" t="s">
        <v>3338</v>
      </c>
      <c r="AT36" s="1" t="s">
        <v>74</v>
      </c>
      <c r="AU36" s="1">
        <v>2000</v>
      </c>
      <c r="AV36" s="1">
        <v>26</v>
      </c>
      <c r="AW36" s="1" t="s">
        <v>74</v>
      </c>
      <c r="AX36" s="1" t="s">
        <v>74</v>
      </c>
      <c r="AY36" s="1" t="s">
        <v>74</v>
      </c>
      <c r="AZ36" s="1" t="s">
        <v>74</v>
      </c>
      <c r="BA36" s="1" t="s">
        <v>74</v>
      </c>
      <c r="BB36" s="1">
        <v>611</v>
      </c>
      <c r="BC36" s="1">
        <v>639</v>
      </c>
      <c r="BD36" s="1" t="s">
        <v>74</v>
      </c>
      <c r="BE36" s="1" t="s">
        <v>3516</v>
      </c>
      <c r="BF36" s="1" t="str">
        <f>HYPERLINK("http://dx.doi.org/10.1146/annurev.soc.26.1.611","http://dx.doi.org/10.1146/annurev.soc.26.1.611")</f>
        <v>http://dx.doi.org/10.1146/annurev.soc.26.1.611</v>
      </c>
      <c r="BG36" s="1" t="s">
        <v>74</v>
      </c>
      <c r="BH36" s="1" t="s">
        <v>74</v>
      </c>
      <c r="BI36" s="1">
        <v>29</v>
      </c>
      <c r="BJ36" s="1" t="s">
        <v>365</v>
      </c>
      <c r="BK36" s="1" t="s">
        <v>101</v>
      </c>
      <c r="BL36" s="1" t="s">
        <v>365</v>
      </c>
      <c r="BM36" s="1" t="s">
        <v>3517</v>
      </c>
      <c r="BN36" s="1" t="s">
        <v>74</v>
      </c>
      <c r="BO36" s="1" t="s">
        <v>74</v>
      </c>
      <c r="BP36" s="1" t="s">
        <v>74</v>
      </c>
      <c r="BQ36" s="1" t="s">
        <v>74</v>
      </c>
      <c r="BR36" s="1" t="s">
        <v>104</v>
      </c>
      <c r="BS36" s="1" t="s">
        <v>3518</v>
      </c>
      <c r="BT36" s="1" t="str">
        <f>HYPERLINK("https%3A%2F%2Fwww.webofscience.com%2Fwos%2Fwoscc%2Ffull-record%2FWOS:000089631300027","View Full Record in Web of Science")</f>
        <v>View Full Record in Web of Science</v>
      </c>
      <c r="BU36" s="1" t="s">
        <v>3776</v>
      </c>
      <c r="BV36" s="1" t="s">
        <v>10653</v>
      </c>
    </row>
    <row r="37" spans="1:75" ht="290" x14ac:dyDescent="0.35">
      <c r="A37" s="1" t="s">
        <v>72</v>
      </c>
      <c r="B37" s="1" t="s">
        <v>1362</v>
      </c>
      <c r="C37" s="1" t="s">
        <v>74</v>
      </c>
      <c r="D37" s="1" t="s">
        <v>74</v>
      </c>
      <c r="E37" s="1" t="s">
        <v>74</v>
      </c>
      <c r="F37" s="1" t="s">
        <v>1362</v>
      </c>
      <c r="G37" s="1" t="s">
        <v>74</v>
      </c>
      <c r="H37" s="1" t="s">
        <v>74</v>
      </c>
      <c r="I37" s="1" t="s">
        <v>1363</v>
      </c>
      <c r="J37" s="1" t="s">
        <v>161</v>
      </c>
      <c r="K37" s="1" t="s">
        <v>74</v>
      </c>
      <c r="L37" s="1" t="s">
        <v>74</v>
      </c>
      <c r="M37" s="1" t="s">
        <v>78</v>
      </c>
      <c r="N37" s="1" t="s">
        <v>110</v>
      </c>
      <c r="O37" s="1" t="s">
        <v>74</v>
      </c>
      <c r="P37" s="1" t="s">
        <v>74</v>
      </c>
      <c r="Q37" s="1" t="s">
        <v>74</v>
      </c>
      <c r="R37" s="1" t="s">
        <v>74</v>
      </c>
      <c r="S37" s="1" t="s">
        <v>74</v>
      </c>
      <c r="T37" s="1" t="s">
        <v>74</v>
      </c>
      <c r="U37" s="1" t="s">
        <v>1364</v>
      </c>
      <c r="V37" s="1" t="s">
        <v>1365</v>
      </c>
      <c r="W37" s="1" t="s">
        <v>1366</v>
      </c>
      <c r="X37" s="1" t="s">
        <v>1367</v>
      </c>
      <c r="Y37" s="1" t="s">
        <v>1368</v>
      </c>
      <c r="Z37" s="1" t="s">
        <v>74</v>
      </c>
      <c r="AA37" s="1" t="s">
        <v>74</v>
      </c>
      <c r="AB37" s="1" t="s">
        <v>74</v>
      </c>
      <c r="AC37" s="1" t="s">
        <v>74</v>
      </c>
      <c r="AD37" s="1" t="s">
        <v>74</v>
      </c>
      <c r="AE37" s="1" t="s">
        <v>74</v>
      </c>
      <c r="AF37" s="1" t="s">
        <v>74</v>
      </c>
      <c r="AG37" s="1">
        <v>116</v>
      </c>
      <c r="AH37" s="1">
        <v>2616</v>
      </c>
      <c r="AI37" s="1">
        <v>2662</v>
      </c>
      <c r="AJ37" s="1">
        <v>30</v>
      </c>
      <c r="AK37" s="1">
        <v>510</v>
      </c>
      <c r="AL37" s="1" t="s">
        <v>357</v>
      </c>
      <c r="AM37" s="1" t="s">
        <v>233</v>
      </c>
      <c r="AN37" s="1" t="s">
        <v>358</v>
      </c>
      <c r="AO37" s="1" t="s">
        <v>173</v>
      </c>
      <c r="AP37" s="1" t="s">
        <v>74</v>
      </c>
      <c r="AQ37" s="1" t="s">
        <v>74</v>
      </c>
      <c r="AR37" s="1" t="s">
        <v>175</v>
      </c>
      <c r="AS37" s="1" t="s">
        <v>176</v>
      </c>
      <c r="AT37" s="1" t="s">
        <v>363</v>
      </c>
      <c r="AU37" s="1">
        <v>2001</v>
      </c>
      <c r="AV37" s="1">
        <v>27</v>
      </c>
      <c r="AW37" s="1">
        <v>4</v>
      </c>
      <c r="AX37" s="1" t="s">
        <v>74</v>
      </c>
      <c r="AY37" s="1" t="s">
        <v>74</v>
      </c>
      <c r="AZ37" s="1" t="s">
        <v>74</v>
      </c>
      <c r="BA37" s="1" t="s">
        <v>74</v>
      </c>
      <c r="BB37" s="1">
        <v>412</v>
      </c>
      <c r="BC37" s="1">
        <v>432</v>
      </c>
      <c r="BD37" s="1" t="s">
        <v>74</v>
      </c>
      <c r="BE37" s="1" t="s">
        <v>1369</v>
      </c>
      <c r="BF37" s="1" t="str">
        <f>HYPERLINK("http://dx.doi.org/10.1086/319618","http://dx.doi.org/10.1086/319618")</f>
        <v>http://dx.doi.org/10.1086/319618</v>
      </c>
      <c r="BG37" s="1" t="s">
        <v>74</v>
      </c>
      <c r="BH37" s="1" t="s">
        <v>74</v>
      </c>
      <c r="BI37" s="1">
        <v>21</v>
      </c>
      <c r="BJ37" s="1" t="s">
        <v>153</v>
      </c>
      <c r="BK37" s="1" t="s">
        <v>101</v>
      </c>
      <c r="BL37" s="1" t="s">
        <v>154</v>
      </c>
      <c r="BM37" s="1" t="s">
        <v>1370</v>
      </c>
      <c r="BN37" s="1" t="s">
        <v>74</v>
      </c>
      <c r="BO37" s="1" t="s">
        <v>74</v>
      </c>
      <c r="BP37" s="1" t="s">
        <v>74</v>
      </c>
      <c r="BQ37" s="1" t="s">
        <v>74</v>
      </c>
      <c r="BR37" s="1" t="s">
        <v>104</v>
      </c>
      <c r="BS37" s="1" t="s">
        <v>1371</v>
      </c>
      <c r="BT37" s="1" t="str">
        <f>HYPERLINK("https%3A%2F%2Fwww.webofscience.com%2Fwos%2Fwoscc%2Ffull-record%2FWOS:000167708800002","View Full Record in Web of Science")</f>
        <v>View Full Record in Web of Science</v>
      </c>
      <c r="BU37" s="1" t="s">
        <v>2040</v>
      </c>
      <c r="BV37" s="1" t="s">
        <v>6080</v>
      </c>
      <c r="BW37" s="1" t="s">
        <v>10653</v>
      </c>
    </row>
    <row r="38" spans="1:75" ht="348" x14ac:dyDescent="0.35">
      <c r="A38" s="1" t="s">
        <v>72</v>
      </c>
      <c r="B38" s="1" t="s">
        <v>3412</v>
      </c>
      <c r="C38" s="1" t="s">
        <v>74</v>
      </c>
      <c r="D38" s="1" t="s">
        <v>74</v>
      </c>
      <c r="E38" s="1" t="s">
        <v>74</v>
      </c>
      <c r="F38" s="1" t="s">
        <v>3413</v>
      </c>
      <c r="G38" s="1" t="s">
        <v>74</v>
      </c>
      <c r="H38" s="1" t="s">
        <v>74</v>
      </c>
      <c r="I38" s="1" t="s">
        <v>3414</v>
      </c>
      <c r="J38" s="1" t="s">
        <v>3415</v>
      </c>
      <c r="K38" s="1" t="s">
        <v>74</v>
      </c>
      <c r="L38" s="1" t="s">
        <v>74</v>
      </c>
      <c r="M38" s="1" t="s">
        <v>78</v>
      </c>
      <c r="N38" s="1" t="s">
        <v>79</v>
      </c>
      <c r="O38" s="1" t="s">
        <v>74</v>
      </c>
      <c r="P38" s="1" t="s">
        <v>74</v>
      </c>
      <c r="Q38" s="1" t="s">
        <v>74</v>
      </c>
      <c r="R38" s="1" t="s">
        <v>74</v>
      </c>
      <c r="S38" s="1" t="s">
        <v>74</v>
      </c>
      <c r="T38" s="1" t="s">
        <v>3416</v>
      </c>
      <c r="U38" s="1" t="s">
        <v>74</v>
      </c>
      <c r="V38" s="1" t="s">
        <v>3417</v>
      </c>
      <c r="W38" s="1" t="s">
        <v>3418</v>
      </c>
      <c r="X38" s="1" t="s">
        <v>74</v>
      </c>
      <c r="Y38" s="1" t="s">
        <v>3419</v>
      </c>
      <c r="Z38" s="1" t="s">
        <v>3420</v>
      </c>
      <c r="AA38" s="1" t="s">
        <v>74</v>
      </c>
      <c r="AB38" s="1" t="s">
        <v>74</v>
      </c>
      <c r="AC38" s="1" t="s">
        <v>74</v>
      </c>
      <c r="AD38" s="1" t="s">
        <v>74</v>
      </c>
      <c r="AE38" s="1" t="s">
        <v>74</v>
      </c>
      <c r="AF38" s="1" t="s">
        <v>74</v>
      </c>
      <c r="AG38" s="1">
        <v>25</v>
      </c>
      <c r="AH38" s="1">
        <v>76</v>
      </c>
      <c r="AI38" s="1">
        <v>76</v>
      </c>
      <c r="AJ38" s="1">
        <v>1</v>
      </c>
      <c r="AK38" s="1">
        <v>2</v>
      </c>
      <c r="AL38" s="1" t="s">
        <v>820</v>
      </c>
      <c r="AM38" s="1" t="s">
        <v>2119</v>
      </c>
      <c r="AN38" s="1" t="s">
        <v>2120</v>
      </c>
      <c r="AO38" s="1" t="s">
        <v>3421</v>
      </c>
      <c r="AP38" s="1" t="s">
        <v>3422</v>
      </c>
      <c r="AQ38" s="1" t="s">
        <v>74</v>
      </c>
      <c r="AR38" s="1" t="s">
        <v>3423</v>
      </c>
      <c r="AS38" s="1" t="s">
        <v>3424</v>
      </c>
      <c r="AT38" s="1" t="s">
        <v>517</v>
      </c>
      <c r="AU38" s="1">
        <v>2001</v>
      </c>
      <c r="AV38" s="1">
        <v>3</v>
      </c>
      <c r="AW38" s="1">
        <v>3</v>
      </c>
      <c r="AX38" s="1" t="s">
        <v>74</v>
      </c>
      <c r="AY38" s="1" t="s">
        <v>74</v>
      </c>
      <c r="AZ38" s="1" t="s">
        <v>74</v>
      </c>
      <c r="BA38" s="1" t="s">
        <v>74</v>
      </c>
      <c r="BB38" s="1">
        <v>157</v>
      </c>
      <c r="BC38" s="1">
        <v>169</v>
      </c>
      <c r="BD38" s="1" t="s">
        <v>74</v>
      </c>
      <c r="BE38" s="1" t="s">
        <v>3425</v>
      </c>
      <c r="BF38" s="1" t="str">
        <f>HYPERLINK("http://dx.doi.org/10.1023/A:1012456832336","http://dx.doi.org/10.1023/A:1012456832336")</f>
        <v>http://dx.doi.org/10.1023/A:1012456832336</v>
      </c>
      <c r="BG38" s="1" t="s">
        <v>74</v>
      </c>
      <c r="BH38" s="1" t="s">
        <v>74</v>
      </c>
      <c r="BI38" s="1">
        <v>13</v>
      </c>
      <c r="BJ38" s="1" t="s">
        <v>3426</v>
      </c>
      <c r="BK38" s="1" t="s">
        <v>1532</v>
      </c>
      <c r="BL38" s="1" t="s">
        <v>3427</v>
      </c>
      <c r="BM38" s="1" t="s">
        <v>3428</v>
      </c>
      <c r="BN38" s="1" t="s">
        <v>74</v>
      </c>
      <c r="BO38" s="1" t="s">
        <v>74</v>
      </c>
      <c r="BP38" s="1" t="s">
        <v>74</v>
      </c>
      <c r="BQ38" s="1" t="s">
        <v>74</v>
      </c>
      <c r="BR38" s="1" t="s">
        <v>104</v>
      </c>
      <c r="BS38" s="1" t="s">
        <v>3429</v>
      </c>
      <c r="BT38" s="1" t="str">
        <f>HYPERLINK("https%3A%2F%2Fwww.webofscience.com%2Fwos%2Fwoscc%2Ffull-record%2FWOS:000497503700002","View Full Record in Web of Science")</f>
        <v>View Full Record in Web of Science</v>
      </c>
      <c r="BU38" s="1" t="s">
        <v>3776</v>
      </c>
      <c r="BV38" s="1" t="s">
        <v>10653</v>
      </c>
    </row>
    <row r="39" spans="1:75" ht="409.5" x14ac:dyDescent="0.35">
      <c r="A39" s="1" t="s">
        <v>72</v>
      </c>
      <c r="B39" s="1" t="s">
        <v>3430</v>
      </c>
      <c r="C39" s="1" t="s">
        <v>74</v>
      </c>
      <c r="D39" s="1" t="s">
        <v>74</v>
      </c>
      <c r="E39" s="1" t="s">
        <v>74</v>
      </c>
      <c r="F39" s="1" t="s">
        <v>3430</v>
      </c>
      <c r="G39" s="1" t="s">
        <v>74</v>
      </c>
      <c r="H39" s="1" t="s">
        <v>74</v>
      </c>
      <c r="I39" s="1" t="s">
        <v>3431</v>
      </c>
      <c r="J39" s="1" t="s">
        <v>3432</v>
      </c>
      <c r="K39" s="1" t="s">
        <v>74</v>
      </c>
      <c r="L39" s="1" t="s">
        <v>74</v>
      </c>
      <c r="M39" s="1" t="s">
        <v>78</v>
      </c>
      <c r="N39" s="1" t="s">
        <v>79</v>
      </c>
      <c r="O39" s="1" t="s">
        <v>74</v>
      </c>
      <c r="P39" s="1" t="s">
        <v>74</v>
      </c>
      <c r="Q39" s="1" t="s">
        <v>74</v>
      </c>
      <c r="R39" s="1" t="s">
        <v>74</v>
      </c>
      <c r="S39" s="1" t="s">
        <v>74</v>
      </c>
      <c r="T39" s="1" t="s">
        <v>3433</v>
      </c>
      <c r="U39" s="1" t="s">
        <v>3434</v>
      </c>
      <c r="V39" s="1" t="s">
        <v>3435</v>
      </c>
      <c r="W39" s="1" t="s">
        <v>1883</v>
      </c>
      <c r="X39" s="1" t="s">
        <v>321</v>
      </c>
      <c r="Y39" s="1" t="s">
        <v>3436</v>
      </c>
      <c r="Z39" s="1" t="s">
        <v>74</v>
      </c>
      <c r="AA39" s="1" t="s">
        <v>74</v>
      </c>
      <c r="AB39" s="1" t="s">
        <v>74</v>
      </c>
      <c r="AC39" s="1" t="s">
        <v>74</v>
      </c>
      <c r="AD39" s="1" t="s">
        <v>74</v>
      </c>
      <c r="AE39" s="1" t="s">
        <v>74</v>
      </c>
      <c r="AF39" s="1" t="s">
        <v>74</v>
      </c>
      <c r="AG39" s="1">
        <v>39</v>
      </c>
      <c r="AH39" s="1">
        <v>697</v>
      </c>
      <c r="AI39" s="1">
        <v>731</v>
      </c>
      <c r="AJ39" s="1">
        <v>2</v>
      </c>
      <c r="AK39" s="1">
        <v>207</v>
      </c>
      <c r="AL39" s="1" t="s">
        <v>3437</v>
      </c>
      <c r="AM39" s="1" t="s">
        <v>1628</v>
      </c>
      <c r="AN39" s="1" t="s">
        <v>1629</v>
      </c>
      <c r="AO39" s="1" t="s">
        <v>3438</v>
      </c>
      <c r="AP39" s="1" t="s">
        <v>74</v>
      </c>
      <c r="AQ39" s="1" t="s">
        <v>74</v>
      </c>
      <c r="AR39" s="1" t="s">
        <v>3439</v>
      </c>
      <c r="AS39" s="1" t="s">
        <v>3440</v>
      </c>
      <c r="AT39" s="1" t="s">
        <v>469</v>
      </c>
      <c r="AU39" s="1">
        <v>2001</v>
      </c>
      <c r="AV39" s="1">
        <v>43</v>
      </c>
      <c r="AW39" s="1">
        <v>1</v>
      </c>
      <c r="AX39" s="1" t="s">
        <v>74</v>
      </c>
      <c r="AY39" s="1" t="s">
        <v>74</v>
      </c>
      <c r="AZ39" s="1" t="s">
        <v>74</v>
      </c>
      <c r="BA39" s="1" t="s">
        <v>74</v>
      </c>
      <c r="BB39" s="1">
        <v>1</v>
      </c>
      <c r="BC39" s="1">
        <v>22</v>
      </c>
      <c r="BD39" s="1" t="s">
        <v>74</v>
      </c>
      <c r="BE39" s="1" t="s">
        <v>3441</v>
      </c>
      <c r="BF39" s="1" t="str">
        <f>HYPERLINK("http://dx.doi.org/10.1006/cogp.2001.0748","http://dx.doi.org/10.1006/cogp.2001.0748")</f>
        <v>http://dx.doi.org/10.1006/cogp.2001.0748</v>
      </c>
      <c r="BG39" s="1" t="s">
        <v>74</v>
      </c>
      <c r="BH39" s="1" t="s">
        <v>74</v>
      </c>
      <c r="BI39" s="1">
        <v>22</v>
      </c>
      <c r="BJ39" s="1" t="s">
        <v>3442</v>
      </c>
      <c r="BK39" s="1" t="s">
        <v>520</v>
      </c>
      <c r="BL39" s="1" t="s">
        <v>102</v>
      </c>
      <c r="BM39" s="1" t="s">
        <v>3443</v>
      </c>
      <c r="BN39" s="1">
        <v>11487292</v>
      </c>
      <c r="BO39" s="1" t="s">
        <v>74</v>
      </c>
      <c r="BP39" s="1" t="s">
        <v>74</v>
      </c>
      <c r="BQ39" s="1" t="s">
        <v>74</v>
      </c>
      <c r="BR39" s="1" t="s">
        <v>104</v>
      </c>
      <c r="BS39" s="1" t="s">
        <v>3444</v>
      </c>
      <c r="BT39" s="1" t="str">
        <f>HYPERLINK("https%3A%2F%2Fwww.webofscience.com%2Fwos%2Fwoscc%2Ffull-record%2FWOS:000170403700001","View Full Record in Web of Science")</f>
        <v>View Full Record in Web of Science</v>
      </c>
      <c r="BU39" s="1" t="s">
        <v>3776</v>
      </c>
      <c r="BV39" s="1" t="s">
        <v>10653</v>
      </c>
    </row>
    <row r="40" spans="1:75" ht="319" x14ac:dyDescent="0.35">
      <c r="A40" s="1" t="s">
        <v>72</v>
      </c>
      <c r="B40" s="1" t="s">
        <v>3445</v>
      </c>
      <c r="C40" s="1" t="s">
        <v>74</v>
      </c>
      <c r="D40" s="1" t="s">
        <v>74</v>
      </c>
      <c r="E40" s="1" t="s">
        <v>74</v>
      </c>
      <c r="F40" s="1" t="s">
        <v>3445</v>
      </c>
      <c r="G40" s="1" t="s">
        <v>74</v>
      </c>
      <c r="H40" s="1" t="s">
        <v>74</v>
      </c>
      <c r="I40" s="1" t="s">
        <v>3446</v>
      </c>
      <c r="J40" s="1" t="s">
        <v>3447</v>
      </c>
      <c r="K40" s="1" t="s">
        <v>74</v>
      </c>
      <c r="L40" s="1" t="s">
        <v>74</v>
      </c>
      <c r="M40" s="1" t="s">
        <v>78</v>
      </c>
      <c r="N40" s="1" t="s">
        <v>79</v>
      </c>
      <c r="O40" s="1" t="s">
        <v>74</v>
      </c>
      <c r="P40" s="1" t="s">
        <v>74</v>
      </c>
      <c r="Q40" s="1" t="s">
        <v>74</v>
      </c>
      <c r="R40" s="1" t="s">
        <v>74</v>
      </c>
      <c r="S40" s="1" t="s">
        <v>74</v>
      </c>
      <c r="T40" s="1" t="s">
        <v>3448</v>
      </c>
      <c r="U40" s="1" t="s">
        <v>3449</v>
      </c>
      <c r="V40" s="1" t="s">
        <v>3450</v>
      </c>
      <c r="W40" s="1" t="s">
        <v>3451</v>
      </c>
      <c r="X40" s="1" t="s">
        <v>3452</v>
      </c>
      <c r="Y40" s="1" t="s">
        <v>3453</v>
      </c>
      <c r="Z40" s="1" t="s">
        <v>3454</v>
      </c>
      <c r="AA40" s="1" t="s">
        <v>3455</v>
      </c>
      <c r="AB40" s="1" t="s">
        <v>3456</v>
      </c>
      <c r="AC40" s="1" t="s">
        <v>74</v>
      </c>
      <c r="AD40" s="1" t="s">
        <v>74</v>
      </c>
      <c r="AE40" s="1" t="s">
        <v>74</v>
      </c>
      <c r="AF40" s="1" t="s">
        <v>74</v>
      </c>
      <c r="AG40" s="1">
        <v>61</v>
      </c>
      <c r="AH40" s="1">
        <v>175</v>
      </c>
      <c r="AI40" s="1">
        <v>175</v>
      </c>
      <c r="AJ40" s="1">
        <v>1</v>
      </c>
      <c r="AK40" s="1">
        <v>8</v>
      </c>
      <c r="AL40" s="1" t="s">
        <v>1627</v>
      </c>
      <c r="AM40" s="1" t="s">
        <v>1628</v>
      </c>
      <c r="AN40" s="1" t="s">
        <v>1629</v>
      </c>
      <c r="AO40" s="1" t="s">
        <v>3457</v>
      </c>
      <c r="AP40" s="1" t="s">
        <v>3458</v>
      </c>
      <c r="AQ40" s="1" t="s">
        <v>74</v>
      </c>
      <c r="AR40" s="1" t="s">
        <v>3459</v>
      </c>
      <c r="AS40" s="1" t="s">
        <v>3460</v>
      </c>
      <c r="AT40" s="1" t="s">
        <v>704</v>
      </c>
      <c r="AU40" s="1">
        <v>2001</v>
      </c>
      <c r="AV40" s="1">
        <v>44</v>
      </c>
      <c r="AW40" s="1">
        <v>4</v>
      </c>
      <c r="AX40" s="1" t="s">
        <v>74</v>
      </c>
      <c r="AY40" s="1" t="s">
        <v>74</v>
      </c>
      <c r="AZ40" s="1" t="s">
        <v>74</v>
      </c>
      <c r="BA40" s="1" t="s">
        <v>74</v>
      </c>
      <c r="BB40" s="1">
        <v>568</v>
      </c>
      <c r="BC40" s="1">
        <v>591</v>
      </c>
      <c r="BD40" s="1" t="s">
        <v>74</v>
      </c>
      <c r="BE40" s="1" t="s">
        <v>3461</v>
      </c>
      <c r="BF40" s="1" t="str">
        <f>HYPERLINK("http://dx.doi.org/10.1006/jmla.2000.2756","http://dx.doi.org/10.1006/jmla.2000.2756")</f>
        <v>http://dx.doi.org/10.1006/jmla.2000.2756</v>
      </c>
      <c r="BG40" s="1" t="s">
        <v>74</v>
      </c>
      <c r="BH40" s="1" t="s">
        <v>74</v>
      </c>
      <c r="BI40" s="1">
        <v>24</v>
      </c>
      <c r="BJ40" s="1" t="s">
        <v>3462</v>
      </c>
      <c r="BK40" s="1" t="s">
        <v>520</v>
      </c>
      <c r="BL40" s="1" t="s">
        <v>3463</v>
      </c>
      <c r="BM40" s="1" t="s">
        <v>3464</v>
      </c>
      <c r="BN40" s="1" t="s">
        <v>74</v>
      </c>
      <c r="BO40" s="1" t="s">
        <v>74</v>
      </c>
      <c r="BP40" s="1" t="s">
        <v>74</v>
      </c>
      <c r="BQ40" s="1" t="s">
        <v>74</v>
      </c>
      <c r="BR40" s="1" t="s">
        <v>104</v>
      </c>
      <c r="BS40" s="1" t="s">
        <v>3465</v>
      </c>
      <c r="BT40" s="1" t="str">
        <f>HYPERLINK("https%3A%2F%2Fwww.webofscience.com%2Fwos%2Fwoscc%2Ffull-record%2FWOS:000168306500004","View Full Record in Web of Science")</f>
        <v>View Full Record in Web of Science</v>
      </c>
      <c r="BU40" s="1" t="s">
        <v>3776</v>
      </c>
      <c r="BV40" s="1" t="s">
        <v>10653</v>
      </c>
    </row>
    <row r="41" spans="1:75" x14ac:dyDescent="0.35">
      <c r="A41" t="s">
        <v>72</v>
      </c>
      <c r="B41" t="s">
        <v>9567</v>
      </c>
      <c r="C41" t="s">
        <v>74</v>
      </c>
      <c r="D41" t="s">
        <v>74</v>
      </c>
      <c r="E41" t="s">
        <v>74</v>
      </c>
      <c r="F41" t="s">
        <v>9567</v>
      </c>
      <c r="G41" t="s">
        <v>74</v>
      </c>
      <c r="H41" t="s">
        <v>74</v>
      </c>
      <c r="I41" t="s">
        <v>9568</v>
      </c>
      <c r="J41" t="s">
        <v>9569</v>
      </c>
      <c r="K41" t="s">
        <v>74</v>
      </c>
      <c r="L41" t="s">
        <v>74</v>
      </c>
      <c r="M41" t="s">
        <v>78</v>
      </c>
      <c r="N41" t="s">
        <v>79</v>
      </c>
      <c r="O41" t="s">
        <v>74</v>
      </c>
      <c r="P41" t="s">
        <v>74</v>
      </c>
      <c r="Q41" t="s">
        <v>74</v>
      </c>
      <c r="R41" t="s">
        <v>74</v>
      </c>
      <c r="S41" t="s">
        <v>74</v>
      </c>
      <c r="T41" t="s">
        <v>9570</v>
      </c>
      <c r="U41" t="s">
        <v>9571</v>
      </c>
      <c r="V41" t="s">
        <v>9572</v>
      </c>
      <c r="W41" t="s">
        <v>9573</v>
      </c>
      <c r="X41" t="s">
        <v>9574</v>
      </c>
      <c r="Y41" t="s">
        <v>9575</v>
      </c>
      <c r="Z41" t="s">
        <v>74</v>
      </c>
      <c r="AA41" t="s">
        <v>9576</v>
      </c>
      <c r="AB41" t="s">
        <v>9577</v>
      </c>
      <c r="AC41" t="s">
        <v>74</v>
      </c>
      <c r="AD41" t="s">
        <v>74</v>
      </c>
      <c r="AE41" t="s">
        <v>74</v>
      </c>
      <c r="AF41" t="s">
        <v>74</v>
      </c>
      <c r="AG41">
        <v>46</v>
      </c>
      <c r="AH41">
        <v>152</v>
      </c>
      <c r="AI41">
        <v>157</v>
      </c>
      <c r="AJ41">
        <v>4</v>
      </c>
      <c r="AK41">
        <v>44</v>
      </c>
      <c r="AL41" t="s">
        <v>854</v>
      </c>
      <c r="AM41" t="s">
        <v>410</v>
      </c>
      <c r="AN41" t="s">
        <v>855</v>
      </c>
      <c r="AO41" t="s">
        <v>9578</v>
      </c>
      <c r="AP41" t="s">
        <v>74</v>
      </c>
      <c r="AQ41" t="s">
        <v>74</v>
      </c>
      <c r="AR41" t="s">
        <v>9579</v>
      </c>
      <c r="AS41" t="s">
        <v>9580</v>
      </c>
      <c r="AT41" t="s">
        <v>126</v>
      </c>
      <c r="AU41">
        <v>2001</v>
      </c>
      <c r="AV41">
        <v>128</v>
      </c>
      <c r="AW41">
        <v>3</v>
      </c>
      <c r="AX41" t="s">
        <v>74</v>
      </c>
      <c r="AY41" t="s">
        <v>74</v>
      </c>
      <c r="AZ41" t="s">
        <v>74</v>
      </c>
      <c r="BA41" t="s">
        <v>74</v>
      </c>
      <c r="BB41">
        <v>479</v>
      </c>
      <c r="BC41">
        <v>498</v>
      </c>
      <c r="BD41" t="s">
        <v>74</v>
      </c>
      <c r="BE41" t="s">
        <v>9581</v>
      </c>
      <c r="BF41" t="str">
        <f>HYPERLINK("http://dx.doi.org/10.1016/S0377-2217(99)00368-9","http://dx.doi.org/10.1016/S0377-2217(99)00368-9")</f>
        <v>http://dx.doi.org/10.1016/S0377-2217(99)00368-9</v>
      </c>
      <c r="BG41" t="s">
        <v>74</v>
      </c>
      <c r="BH41" t="s">
        <v>74</v>
      </c>
      <c r="BI41">
        <v>20</v>
      </c>
      <c r="BJ41" t="s">
        <v>519</v>
      </c>
      <c r="BK41" t="s">
        <v>520</v>
      </c>
      <c r="BL41" t="s">
        <v>521</v>
      </c>
      <c r="BM41" t="s">
        <v>9582</v>
      </c>
      <c r="BN41" t="s">
        <v>74</v>
      </c>
      <c r="BO41" t="s">
        <v>367</v>
      </c>
      <c r="BP41" t="s">
        <v>74</v>
      </c>
      <c r="BQ41" t="s">
        <v>74</v>
      </c>
      <c r="BR41" t="s">
        <v>6098</v>
      </c>
      <c r="BS41" t="s">
        <v>9583</v>
      </c>
      <c r="BT41" t="str">
        <f>HYPERLINK("https%3A%2F%2Fwww.webofscience.com%2Fwos%2Fwoscc%2Ffull-record%2FWOS:000165936400002","View Full Record in Web of Science")</f>
        <v>View Full Record in Web of Science</v>
      </c>
      <c r="BU41" t="s">
        <v>6100</v>
      </c>
      <c r="BV41" s="1" t="s">
        <v>10653</v>
      </c>
    </row>
    <row r="42" spans="1:75" ht="409.5" x14ac:dyDescent="0.35">
      <c r="A42" s="1" t="s">
        <v>72</v>
      </c>
      <c r="B42" s="1" t="s">
        <v>3388</v>
      </c>
      <c r="C42" s="1" t="s">
        <v>74</v>
      </c>
      <c r="D42" s="1" t="s">
        <v>74</v>
      </c>
      <c r="E42" s="1" t="s">
        <v>74</v>
      </c>
      <c r="F42" s="1" t="s">
        <v>3388</v>
      </c>
      <c r="G42" s="1" t="s">
        <v>74</v>
      </c>
      <c r="H42" s="1" t="s">
        <v>74</v>
      </c>
      <c r="I42" s="1" t="s">
        <v>3389</v>
      </c>
      <c r="J42" s="1" t="s">
        <v>198</v>
      </c>
      <c r="K42" s="1" t="s">
        <v>74</v>
      </c>
      <c r="L42" s="1" t="s">
        <v>74</v>
      </c>
      <c r="M42" s="1" t="s">
        <v>78</v>
      </c>
      <c r="N42" s="1" t="s">
        <v>79</v>
      </c>
      <c r="O42" s="1" t="s">
        <v>74</v>
      </c>
      <c r="P42" s="1" t="s">
        <v>74</v>
      </c>
      <c r="Q42" s="1" t="s">
        <v>74</v>
      </c>
      <c r="R42" s="1" t="s">
        <v>74</v>
      </c>
      <c r="S42" s="1" t="s">
        <v>74</v>
      </c>
      <c r="T42" s="1" t="s">
        <v>74</v>
      </c>
      <c r="U42" s="1" t="s">
        <v>3390</v>
      </c>
      <c r="V42" s="1" t="s">
        <v>3391</v>
      </c>
      <c r="W42" s="1" t="s">
        <v>3392</v>
      </c>
      <c r="X42" s="1" t="s">
        <v>3393</v>
      </c>
      <c r="Y42" s="1" t="s">
        <v>3394</v>
      </c>
      <c r="Z42" s="1" t="s">
        <v>74</v>
      </c>
      <c r="AA42" s="1" t="s">
        <v>74</v>
      </c>
      <c r="AB42" s="1" t="s">
        <v>74</v>
      </c>
      <c r="AC42" s="1" t="s">
        <v>74</v>
      </c>
      <c r="AD42" s="1" t="s">
        <v>74</v>
      </c>
      <c r="AE42" s="1" t="s">
        <v>74</v>
      </c>
      <c r="AF42" s="1" t="s">
        <v>74</v>
      </c>
      <c r="AG42" s="1">
        <v>41</v>
      </c>
      <c r="AH42" s="1">
        <v>27</v>
      </c>
      <c r="AI42" s="1">
        <v>27</v>
      </c>
      <c r="AJ42" s="1">
        <v>0</v>
      </c>
      <c r="AK42" s="1">
        <v>17</v>
      </c>
      <c r="AL42" s="1" t="s">
        <v>3395</v>
      </c>
      <c r="AM42" s="1" t="s">
        <v>207</v>
      </c>
      <c r="AN42" s="1" t="s">
        <v>3396</v>
      </c>
      <c r="AO42" s="1" t="s">
        <v>209</v>
      </c>
      <c r="AP42" s="1" t="s">
        <v>74</v>
      </c>
      <c r="AQ42" s="1" t="s">
        <v>74</v>
      </c>
      <c r="AR42" s="1" t="s">
        <v>211</v>
      </c>
      <c r="AS42" s="1" t="s">
        <v>212</v>
      </c>
      <c r="AT42" s="1" t="s">
        <v>3397</v>
      </c>
      <c r="AU42" s="1">
        <v>2002</v>
      </c>
      <c r="AV42" s="1">
        <v>19</v>
      </c>
      <c r="AW42" s="1" t="s">
        <v>3398</v>
      </c>
      <c r="AX42" s="1" t="s">
        <v>74</v>
      </c>
      <c r="AY42" s="1" t="s">
        <v>74</v>
      </c>
      <c r="AZ42" s="1" t="s">
        <v>74</v>
      </c>
      <c r="BA42" s="1" t="s">
        <v>74</v>
      </c>
      <c r="BB42" s="1">
        <v>595</v>
      </c>
      <c r="BC42" s="1">
        <v>619</v>
      </c>
      <c r="BD42" s="1" t="s">
        <v>74</v>
      </c>
      <c r="BE42" s="1" t="s">
        <v>3399</v>
      </c>
      <c r="BF42" s="1" t="str">
        <f>HYPERLINK("http://dx.doi.org/10.1002/mar.10027","http://dx.doi.org/10.1002/mar.10027")</f>
        <v>http://dx.doi.org/10.1002/mar.10027</v>
      </c>
      <c r="BG42" s="1" t="s">
        <v>74</v>
      </c>
      <c r="BH42" s="1" t="s">
        <v>74</v>
      </c>
      <c r="BI42" s="1">
        <v>25</v>
      </c>
      <c r="BJ42" s="1" t="s">
        <v>215</v>
      </c>
      <c r="BK42" s="1" t="s">
        <v>101</v>
      </c>
      <c r="BL42" s="1" t="s">
        <v>216</v>
      </c>
      <c r="BM42" s="1" t="s">
        <v>3400</v>
      </c>
      <c r="BN42" s="1" t="s">
        <v>74</v>
      </c>
      <c r="BO42" s="1" t="s">
        <v>74</v>
      </c>
      <c r="BP42" s="1" t="s">
        <v>74</v>
      </c>
      <c r="BQ42" s="1" t="s">
        <v>74</v>
      </c>
      <c r="BR42" s="1" t="s">
        <v>104</v>
      </c>
      <c r="BS42" s="1" t="s">
        <v>3401</v>
      </c>
      <c r="BT42" s="1" t="str">
        <f>HYPERLINK("https%3A%2F%2Fwww.webofscience.com%2Fwos%2Fwoscc%2Ffull-record%2FWOS:000176248200003","View Full Record in Web of Science")</f>
        <v>View Full Record in Web of Science</v>
      </c>
      <c r="BU42" s="1" t="s">
        <v>3776</v>
      </c>
      <c r="BV42" s="1" t="s">
        <v>6080</v>
      </c>
      <c r="BW42" s="1" t="s">
        <v>10653</v>
      </c>
    </row>
    <row r="43" spans="1:75" ht="290" x14ac:dyDescent="0.35">
      <c r="A43" s="1" t="s">
        <v>72</v>
      </c>
      <c r="B43" s="1" t="s">
        <v>3402</v>
      </c>
      <c r="C43" s="1" t="s">
        <v>74</v>
      </c>
      <c r="D43" s="1" t="s">
        <v>74</v>
      </c>
      <c r="E43" s="1" t="s">
        <v>74</v>
      </c>
      <c r="F43" s="1" t="s">
        <v>3402</v>
      </c>
      <c r="G43" s="1" t="s">
        <v>74</v>
      </c>
      <c r="H43" s="1" t="s">
        <v>74</v>
      </c>
      <c r="I43" s="1" t="s">
        <v>3403</v>
      </c>
      <c r="J43" s="1" t="s">
        <v>161</v>
      </c>
      <c r="K43" s="1" t="s">
        <v>74</v>
      </c>
      <c r="L43" s="1" t="s">
        <v>74</v>
      </c>
      <c r="M43" s="1" t="s">
        <v>78</v>
      </c>
      <c r="N43" s="1" t="s">
        <v>79</v>
      </c>
      <c r="O43" s="1" t="s">
        <v>74</v>
      </c>
      <c r="P43" s="1" t="s">
        <v>74</v>
      </c>
      <c r="Q43" s="1" t="s">
        <v>74</v>
      </c>
      <c r="R43" s="1" t="s">
        <v>74</v>
      </c>
      <c r="S43" s="1" t="s">
        <v>74</v>
      </c>
      <c r="T43" s="1" t="s">
        <v>74</v>
      </c>
      <c r="U43" s="1" t="s">
        <v>3404</v>
      </c>
      <c r="V43" s="1" t="s">
        <v>3405</v>
      </c>
      <c r="W43" s="1" t="s">
        <v>3406</v>
      </c>
      <c r="X43" s="1" t="s">
        <v>3407</v>
      </c>
      <c r="Y43" s="1" t="s">
        <v>3408</v>
      </c>
      <c r="Z43" s="1" t="s">
        <v>74</v>
      </c>
      <c r="AA43" s="1" t="s">
        <v>74</v>
      </c>
      <c r="AB43" s="1" t="s">
        <v>74</v>
      </c>
      <c r="AC43" s="1" t="s">
        <v>74</v>
      </c>
      <c r="AD43" s="1" t="s">
        <v>74</v>
      </c>
      <c r="AE43" s="1" t="s">
        <v>74</v>
      </c>
      <c r="AF43" s="1" t="s">
        <v>74</v>
      </c>
      <c r="AG43" s="1">
        <v>67</v>
      </c>
      <c r="AH43" s="1">
        <v>144</v>
      </c>
      <c r="AI43" s="1">
        <v>147</v>
      </c>
      <c r="AJ43" s="1">
        <v>2</v>
      </c>
      <c r="AK43" s="1">
        <v>22</v>
      </c>
      <c r="AL43" s="1" t="s">
        <v>357</v>
      </c>
      <c r="AM43" s="1" t="s">
        <v>233</v>
      </c>
      <c r="AN43" s="1" t="s">
        <v>358</v>
      </c>
      <c r="AO43" s="1" t="s">
        <v>173</v>
      </c>
      <c r="AP43" s="1" t="s">
        <v>74</v>
      </c>
      <c r="AQ43" s="1" t="s">
        <v>74</v>
      </c>
      <c r="AR43" s="1" t="s">
        <v>175</v>
      </c>
      <c r="AS43" s="1" t="s">
        <v>176</v>
      </c>
      <c r="AT43" s="1" t="s">
        <v>363</v>
      </c>
      <c r="AU43" s="1">
        <v>2002</v>
      </c>
      <c r="AV43" s="1">
        <v>28</v>
      </c>
      <c r="AW43" s="1">
        <v>4</v>
      </c>
      <c r="AX43" s="1" t="s">
        <v>74</v>
      </c>
      <c r="AY43" s="1" t="s">
        <v>74</v>
      </c>
      <c r="AZ43" s="1" t="s">
        <v>74</v>
      </c>
      <c r="BA43" s="1" t="s">
        <v>74</v>
      </c>
      <c r="BB43" s="1">
        <v>515</v>
      </c>
      <c r="BC43" s="1">
        <v>532</v>
      </c>
      <c r="BD43" s="1" t="s">
        <v>74</v>
      </c>
      <c r="BE43" s="1" t="s">
        <v>3409</v>
      </c>
      <c r="BF43" s="1" t="str">
        <f>HYPERLINK("http://dx.doi.org/10.1086/338202","http://dx.doi.org/10.1086/338202")</f>
        <v>http://dx.doi.org/10.1086/338202</v>
      </c>
      <c r="BG43" s="1" t="s">
        <v>74</v>
      </c>
      <c r="BH43" s="1" t="s">
        <v>74</v>
      </c>
      <c r="BI43" s="1">
        <v>18</v>
      </c>
      <c r="BJ43" s="1" t="s">
        <v>153</v>
      </c>
      <c r="BK43" s="1" t="s">
        <v>101</v>
      </c>
      <c r="BL43" s="1" t="s">
        <v>154</v>
      </c>
      <c r="BM43" s="1" t="s">
        <v>3410</v>
      </c>
      <c r="BN43" s="1" t="s">
        <v>74</v>
      </c>
      <c r="BO43" s="1" t="s">
        <v>74</v>
      </c>
      <c r="BP43" s="1" t="s">
        <v>74</v>
      </c>
      <c r="BQ43" s="1" t="s">
        <v>74</v>
      </c>
      <c r="BR43" s="1" t="s">
        <v>104</v>
      </c>
      <c r="BS43" s="1" t="s">
        <v>3411</v>
      </c>
      <c r="BT43" s="1" t="str">
        <f>HYPERLINK("https%3A%2F%2Fwww.webofscience.com%2Fwos%2Fwoscc%2Ffull-record%2FWOS:000174373700001","View Full Record in Web of Science")</f>
        <v>View Full Record in Web of Science</v>
      </c>
      <c r="BU43" s="1" t="s">
        <v>3776</v>
      </c>
      <c r="BV43" s="1" t="s">
        <v>6080</v>
      </c>
      <c r="BW43" s="1" t="s">
        <v>10653</v>
      </c>
    </row>
    <row r="44" spans="1:75" ht="232" x14ac:dyDescent="0.35">
      <c r="A44" s="1" t="s">
        <v>72</v>
      </c>
      <c r="B44" s="1" t="s">
        <v>369</v>
      </c>
      <c r="C44" s="1" t="s">
        <v>74</v>
      </c>
      <c r="D44" s="1" t="s">
        <v>74</v>
      </c>
      <c r="E44" s="1" t="s">
        <v>74</v>
      </c>
      <c r="F44" s="1" t="s">
        <v>369</v>
      </c>
      <c r="G44" s="1" t="s">
        <v>74</v>
      </c>
      <c r="H44" s="1" t="s">
        <v>74</v>
      </c>
      <c r="I44" s="1" t="s">
        <v>370</v>
      </c>
      <c r="J44" s="1" t="s">
        <v>371</v>
      </c>
      <c r="K44" s="1" t="s">
        <v>74</v>
      </c>
      <c r="L44" s="1" t="s">
        <v>74</v>
      </c>
      <c r="M44" s="1" t="s">
        <v>78</v>
      </c>
      <c r="N44" s="1" t="s">
        <v>241</v>
      </c>
      <c r="O44" s="1" t="s">
        <v>372</v>
      </c>
      <c r="P44" s="1" t="s">
        <v>373</v>
      </c>
      <c r="Q44" s="1" t="s">
        <v>374</v>
      </c>
      <c r="R44" s="1" t="s">
        <v>74</v>
      </c>
      <c r="S44" s="1" t="s">
        <v>74</v>
      </c>
      <c r="T44" s="1" t="s">
        <v>74</v>
      </c>
      <c r="U44" s="1" t="s">
        <v>375</v>
      </c>
      <c r="V44" s="1" t="s">
        <v>376</v>
      </c>
      <c r="W44" s="1" t="s">
        <v>377</v>
      </c>
      <c r="X44" s="1" t="s">
        <v>378</v>
      </c>
      <c r="Y44" s="1" t="s">
        <v>379</v>
      </c>
      <c r="Z44" s="1" t="s">
        <v>380</v>
      </c>
      <c r="AA44" s="1" t="s">
        <v>381</v>
      </c>
      <c r="AB44" s="1" t="s">
        <v>74</v>
      </c>
      <c r="AC44" s="1" t="s">
        <v>74</v>
      </c>
      <c r="AD44" s="1" t="s">
        <v>74</v>
      </c>
      <c r="AE44" s="1" t="s">
        <v>74</v>
      </c>
      <c r="AF44" s="1" t="s">
        <v>74</v>
      </c>
      <c r="AG44" s="1">
        <v>31</v>
      </c>
      <c r="AH44" s="1">
        <v>18317</v>
      </c>
      <c r="AI44" s="1">
        <v>19853</v>
      </c>
      <c r="AJ44" s="1">
        <v>227</v>
      </c>
      <c r="AK44" s="1">
        <v>1942</v>
      </c>
      <c r="AL44" s="1" t="s">
        <v>382</v>
      </c>
      <c r="AM44" s="1" t="s">
        <v>383</v>
      </c>
      <c r="AN44" s="1" t="s">
        <v>384</v>
      </c>
      <c r="AO44" s="1" t="s">
        <v>385</v>
      </c>
      <c r="AP44" s="1" t="s">
        <v>74</v>
      </c>
      <c r="AQ44" s="1" t="s">
        <v>74</v>
      </c>
      <c r="AR44" s="1" t="s">
        <v>386</v>
      </c>
      <c r="AS44" s="1" t="s">
        <v>387</v>
      </c>
      <c r="AT44" s="1" t="s">
        <v>388</v>
      </c>
      <c r="AU44" s="1">
        <v>2003</v>
      </c>
      <c r="AV44" s="1">
        <v>3</v>
      </c>
      <c r="AW44" s="1" t="s">
        <v>389</v>
      </c>
      <c r="AX44" s="1" t="s">
        <v>74</v>
      </c>
      <c r="AY44" s="1" t="s">
        <v>74</v>
      </c>
      <c r="AZ44" s="1" t="s">
        <v>74</v>
      </c>
      <c r="BA44" s="1" t="s">
        <v>74</v>
      </c>
      <c r="BB44" s="1">
        <v>993</v>
      </c>
      <c r="BC44" s="1">
        <v>1022</v>
      </c>
      <c r="BD44" s="1" t="s">
        <v>74</v>
      </c>
      <c r="BE44" s="1" t="s">
        <v>390</v>
      </c>
      <c r="BF44" s="1" t="str">
        <f>HYPERLINK("http://dx.doi.org/10.1162/jmlr.2003.3.4-5.993","http://dx.doi.org/10.1162/jmlr.2003.3.4-5.993")</f>
        <v>http://dx.doi.org/10.1162/jmlr.2003.3.4-5.993</v>
      </c>
      <c r="BG44" s="1" t="s">
        <v>74</v>
      </c>
      <c r="BH44" s="1" t="s">
        <v>74</v>
      </c>
      <c r="BI44" s="1">
        <v>30</v>
      </c>
      <c r="BJ44" s="1" t="s">
        <v>391</v>
      </c>
      <c r="BK44" s="1" t="s">
        <v>392</v>
      </c>
      <c r="BL44" s="1" t="s">
        <v>393</v>
      </c>
      <c r="BM44" s="1" t="s">
        <v>394</v>
      </c>
      <c r="BN44" s="1" t="s">
        <v>74</v>
      </c>
      <c r="BO44" s="1" t="s">
        <v>74</v>
      </c>
      <c r="BP44" s="1" t="s">
        <v>74</v>
      </c>
      <c r="BQ44" s="1" t="s">
        <v>74</v>
      </c>
      <c r="BR44" s="1" t="s">
        <v>104</v>
      </c>
      <c r="BS44" s="1" t="s">
        <v>395</v>
      </c>
      <c r="BT44" s="1" t="str">
        <f>HYPERLINK("https%3A%2F%2Fwww.webofscience.com%2Fwos%2Fwoscc%2Ffull-record%2FWOS:000184926200015","View Full Record in Web of Science")</f>
        <v>View Full Record in Web of Science</v>
      </c>
      <c r="BU44" s="1" t="s">
        <v>2040</v>
      </c>
      <c r="BV44" s="1" t="s">
        <v>10653</v>
      </c>
    </row>
    <row r="45" spans="1:75" ht="232" x14ac:dyDescent="0.35">
      <c r="A45" s="1" t="s">
        <v>72</v>
      </c>
      <c r="B45" s="1" t="s">
        <v>369</v>
      </c>
      <c r="C45" s="1" t="s">
        <v>74</v>
      </c>
      <c r="D45" s="1" t="s">
        <v>74</v>
      </c>
      <c r="E45" s="1" t="s">
        <v>74</v>
      </c>
      <c r="F45" s="1" t="s">
        <v>369</v>
      </c>
      <c r="G45" s="1" t="s">
        <v>74</v>
      </c>
      <c r="H45" s="1" t="s">
        <v>74</v>
      </c>
      <c r="I45" s="1" t="s">
        <v>370</v>
      </c>
      <c r="J45" s="1" t="s">
        <v>371</v>
      </c>
      <c r="K45" s="1" t="s">
        <v>74</v>
      </c>
      <c r="L45" s="1" t="s">
        <v>74</v>
      </c>
      <c r="M45" s="1" t="s">
        <v>78</v>
      </c>
      <c r="N45" s="1" t="s">
        <v>241</v>
      </c>
      <c r="O45" s="1" t="s">
        <v>372</v>
      </c>
      <c r="P45" s="1" t="s">
        <v>373</v>
      </c>
      <c r="Q45" s="1" t="s">
        <v>374</v>
      </c>
      <c r="R45" s="1" t="s">
        <v>74</v>
      </c>
      <c r="S45" s="1" t="s">
        <v>74</v>
      </c>
      <c r="T45" s="1" t="s">
        <v>74</v>
      </c>
      <c r="U45" s="1" t="s">
        <v>375</v>
      </c>
      <c r="V45" s="1" t="s">
        <v>376</v>
      </c>
      <c r="W45" s="1" t="s">
        <v>377</v>
      </c>
      <c r="X45" s="1" t="s">
        <v>378</v>
      </c>
      <c r="Y45" s="1" t="s">
        <v>379</v>
      </c>
      <c r="Z45" s="1" t="s">
        <v>380</v>
      </c>
      <c r="AA45" s="1" t="s">
        <v>381</v>
      </c>
      <c r="AB45" s="1" t="s">
        <v>74</v>
      </c>
      <c r="AC45" s="1" t="s">
        <v>74</v>
      </c>
      <c r="AD45" s="1" t="s">
        <v>74</v>
      </c>
      <c r="AE45" s="1" t="s">
        <v>74</v>
      </c>
      <c r="AF45" s="1" t="s">
        <v>74</v>
      </c>
      <c r="AG45" s="1">
        <v>31</v>
      </c>
      <c r="AH45" s="1">
        <v>18317</v>
      </c>
      <c r="AI45" s="1">
        <v>19853</v>
      </c>
      <c r="AJ45" s="1">
        <v>227</v>
      </c>
      <c r="AK45" s="1">
        <v>1942</v>
      </c>
      <c r="AL45" s="1" t="s">
        <v>382</v>
      </c>
      <c r="AM45" s="1" t="s">
        <v>383</v>
      </c>
      <c r="AN45" s="1" t="s">
        <v>384</v>
      </c>
      <c r="AO45" s="1" t="s">
        <v>385</v>
      </c>
      <c r="AP45" s="1" t="s">
        <v>74</v>
      </c>
      <c r="AQ45" s="1" t="s">
        <v>74</v>
      </c>
      <c r="AR45" s="1" t="s">
        <v>386</v>
      </c>
      <c r="AS45" s="1" t="s">
        <v>387</v>
      </c>
      <c r="AT45" s="1" t="s">
        <v>388</v>
      </c>
      <c r="AU45" s="1">
        <v>2003</v>
      </c>
      <c r="AV45" s="1">
        <v>3</v>
      </c>
      <c r="AW45" s="1" t="s">
        <v>389</v>
      </c>
      <c r="AX45" s="1" t="s">
        <v>74</v>
      </c>
      <c r="AY45" s="1" t="s">
        <v>74</v>
      </c>
      <c r="AZ45" s="1" t="s">
        <v>74</v>
      </c>
      <c r="BA45" s="1" t="s">
        <v>74</v>
      </c>
      <c r="BB45" s="1">
        <v>993</v>
      </c>
      <c r="BC45" s="1">
        <v>1022</v>
      </c>
      <c r="BD45" s="1" t="s">
        <v>74</v>
      </c>
      <c r="BE45" s="1" t="s">
        <v>390</v>
      </c>
      <c r="BF45" s="1" t="str">
        <f>HYPERLINK("http://dx.doi.org/10.1162/jmlr.2003.3.4-5.993","http://dx.doi.org/10.1162/jmlr.2003.3.4-5.993")</f>
        <v>http://dx.doi.org/10.1162/jmlr.2003.3.4-5.993</v>
      </c>
      <c r="BG45" s="1" t="s">
        <v>74</v>
      </c>
      <c r="BH45" s="1" t="s">
        <v>74</v>
      </c>
      <c r="BI45" s="1">
        <v>30</v>
      </c>
      <c r="BJ45" s="1" t="s">
        <v>391</v>
      </c>
      <c r="BK45" s="1" t="s">
        <v>392</v>
      </c>
      <c r="BL45" s="1" t="s">
        <v>393</v>
      </c>
      <c r="BM45" s="1" t="s">
        <v>394</v>
      </c>
      <c r="BN45" s="1" t="s">
        <v>74</v>
      </c>
      <c r="BO45" s="1" t="s">
        <v>74</v>
      </c>
      <c r="BP45" s="1" t="s">
        <v>74</v>
      </c>
      <c r="BQ45" s="1" t="s">
        <v>74</v>
      </c>
      <c r="BR45" s="1" t="s">
        <v>104</v>
      </c>
      <c r="BS45" s="1" t="s">
        <v>395</v>
      </c>
      <c r="BT45" s="1" t="str">
        <f>HYPERLINK("https%3A%2F%2Fwww.webofscience.com%2Fwos%2Fwoscc%2Ffull-record%2FWOS:000184926200015","View Full Record in Web of Science")</f>
        <v>View Full Record in Web of Science</v>
      </c>
      <c r="BU45" s="1" t="s">
        <v>3776</v>
      </c>
      <c r="BV45" s="1" t="s">
        <v>10653</v>
      </c>
    </row>
    <row r="46" spans="1:75" ht="188.5" x14ac:dyDescent="0.35">
      <c r="A46" s="1" t="s">
        <v>72</v>
      </c>
      <c r="B46" s="1" t="s">
        <v>3342</v>
      </c>
      <c r="C46" s="1" t="s">
        <v>74</v>
      </c>
      <c r="D46" s="1" t="s">
        <v>74</v>
      </c>
      <c r="E46" s="1" t="s">
        <v>74</v>
      </c>
      <c r="F46" s="1" t="s">
        <v>3342</v>
      </c>
      <c r="G46" s="1" t="s">
        <v>74</v>
      </c>
      <c r="H46" s="1" t="s">
        <v>74</v>
      </c>
      <c r="I46" s="1" t="s">
        <v>3343</v>
      </c>
      <c r="J46" s="1" t="s">
        <v>2262</v>
      </c>
      <c r="K46" s="1" t="s">
        <v>74</v>
      </c>
      <c r="L46" s="1" t="s">
        <v>74</v>
      </c>
      <c r="M46" s="1" t="s">
        <v>78</v>
      </c>
      <c r="N46" s="1" t="s">
        <v>79</v>
      </c>
      <c r="O46" s="1" t="s">
        <v>74</v>
      </c>
      <c r="P46" s="1" t="s">
        <v>74</v>
      </c>
      <c r="Q46" s="1" t="s">
        <v>74</v>
      </c>
      <c r="R46" s="1" t="s">
        <v>74</v>
      </c>
      <c r="S46" s="1" t="s">
        <v>74</v>
      </c>
      <c r="T46" s="1" t="s">
        <v>3344</v>
      </c>
      <c r="U46" s="1" t="s">
        <v>3345</v>
      </c>
      <c r="V46" s="1" t="s">
        <v>3346</v>
      </c>
      <c r="W46" s="1" t="s">
        <v>3347</v>
      </c>
      <c r="X46" s="1" t="s">
        <v>3348</v>
      </c>
      <c r="Y46" s="1" t="s">
        <v>1508</v>
      </c>
      <c r="Z46" s="1" t="s">
        <v>493</v>
      </c>
      <c r="AA46" s="1" t="s">
        <v>494</v>
      </c>
      <c r="AB46" s="1" t="s">
        <v>495</v>
      </c>
      <c r="AC46" s="1" t="s">
        <v>496</v>
      </c>
      <c r="AD46" s="1" t="s">
        <v>497</v>
      </c>
      <c r="AE46" s="1" t="s">
        <v>74</v>
      </c>
      <c r="AF46" s="1" t="s">
        <v>74</v>
      </c>
      <c r="AG46" s="1">
        <v>53</v>
      </c>
      <c r="AH46" s="1">
        <v>643</v>
      </c>
      <c r="AI46" s="1">
        <v>654</v>
      </c>
      <c r="AJ46" s="1">
        <v>5</v>
      </c>
      <c r="AK46" s="1">
        <v>109</v>
      </c>
      <c r="AL46" s="1" t="s">
        <v>144</v>
      </c>
      <c r="AM46" s="1" t="s">
        <v>145</v>
      </c>
      <c r="AN46" s="1" t="s">
        <v>146</v>
      </c>
      <c r="AO46" s="1" t="s">
        <v>2272</v>
      </c>
      <c r="AP46" s="1" t="s">
        <v>2273</v>
      </c>
      <c r="AQ46" s="1" t="s">
        <v>74</v>
      </c>
      <c r="AR46" s="1" t="s">
        <v>2274</v>
      </c>
      <c r="AS46" s="1" t="s">
        <v>2275</v>
      </c>
      <c r="AT46" s="1" t="s">
        <v>704</v>
      </c>
      <c r="AU46" s="1">
        <v>2003</v>
      </c>
      <c r="AV46" s="1">
        <v>29</v>
      </c>
      <c r="AW46" s="1">
        <v>5</v>
      </c>
      <c r="AX46" s="1" t="s">
        <v>74</v>
      </c>
      <c r="AY46" s="1" t="s">
        <v>74</v>
      </c>
      <c r="AZ46" s="1" t="s">
        <v>74</v>
      </c>
      <c r="BA46" s="1" t="s">
        <v>74</v>
      </c>
      <c r="BB46" s="1">
        <v>665</v>
      </c>
      <c r="BC46" s="1">
        <v>675</v>
      </c>
      <c r="BD46" s="1" t="s">
        <v>74</v>
      </c>
      <c r="BE46" s="1" t="s">
        <v>3349</v>
      </c>
      <c r="BF46" s="1" t="str">
        <f>HYPERLINK("http://dx.doi.org/10.1177/0146167203029005010","http://dx.doi.org/10.1177/0146167203029005010")</f>
        <v>http://dx.doi.org/10.1177/0146167203029005010</v>
      </c>
      <c r="BG46" s="1" t="s">
        <v>74</v>
      </c>
      <c r="BH46" s="1" t="s">
        <v>74</v>
      </c>
      <c r="BI46" s="1">
        <v>11</v>
      </c>
      <c r="BJ46" s="1" t="s">
        <v>100</v>
      </c>
      <c r="BK46" s="1" t="s">
        <v>1532</v>
      </c>
      <c r="BL46" s="1" t="s">
        <v>102</v>
      </c>
      <c r="BM46" s="1" t="s">
        <v>3350</v>
      </c>
      <c r="BN46" s="1">
        <v>15272998</v>
      </c>
      <c r="BO46" s="1" t="s">
        <v>74</v>
      </c>
      <c r="BP46" s="1" t="s">
        <v>74</v>
      </c>
      <c r="BQ46" s="1" t="s">
        <v>74</v>
      </c>
      <c r="BR46" s="1" t="s">
        <v>104</v>
      </c>
      <c r="BS46" s="1" t="s">
        <v>3351</v>
      </c>
      <c r="BT46" s="1" t="str">
        <f>HYPERLINK("https%3A%2F%2Fwww.webofscience.com%2Fwos%2Fwoscc%2Ffull-record%2FWOS:000182341800010","View Full Record in Web of Science")</f>
        <v>View Full Record in Web of Science</v>
      </c>
      <c r="BU46" s="1" t="s">
        <v>3776</v>
      </c>
      <c r="BV46" s="1" t="s">
        <v>10653</v>
      </c>
    </row>
    <row r="47" spans="1:75" ht="409.5" x14ac:dyDescent="0.35">
      <c r="A47" s="1" t="s">
        <v>72</v>
      </c>
      <c r="B47" s="1" t="s">
        <v>3352</v>
      </c>
      <c r="C47" s="1" t="s">
        <v>74</v>
      </c>
      <c r="D47" s="1" t="s">
        <v>74</v>
      </c>
      <c r="E47" s="1" t="s">
        <v>74</v>
      </c>
      <c r="F47" s="1" t="s">
        <v>3352</v>
      </c>
      <c r="G47" s="1" t="s">
        <v>74</v>
      </c>
      <c r="H47" s="1" t="s">
        <v>74</v>
      </c>
      <c r="I47" s="1" t="s">
        <v>3353</v>
      </c>
      <c r="J47" s="1" t="s">
        <v>3354</v>
      </c>
      <c r="K47" s="1" t="s">
        <v>74</v>
      </c>
      <c r="L47" s="1" t="s">
        <v>74</v>
      </c>
      <c r="M47" s="1" t="s">
        <v>78</v>
      </c>
      <c r="N47" s="1" t="s">
        <v>79</v>
      </c>
      <c r="O47" s="1" t="s">
        <v>74</v>
      </c>
      <c r="P47" s="1" t="s">
        <v>74</v>
      </c>
      <c r="Q47" s="1" t="s">
        <v>74</v>
      </c>
      <c r="R47" s="1" t="s">
        <v>74</v>
      </c>
      <c r="S47" s="1" t="s">
        <v>74</v>
      </c>
      <c r="T47" s="1" t="s">
        <v>3355</v>
      </c>
      <c r="U47" s="1" t="s">
        <v>3356</v>
      </c>
      <c r="V47" s="1" t="s">
        <v>3357</v>
      </c>
      <c r="W47" s="1" t="s">
        <v>3358</v>
      </c>
      <c r="X47" s="1" t="s">
        <v>3359</v>
      </c>
      <c r="Y47" s="1" t="s">
        <v>3360</v>
      </c>
      <c r="Z47" s="1" t="s">
        <v>74</v>
      </c>
      <c r="AA47" s="1" t="s">
        <v>3361</v>
      </c>
      <c r="AB47" s="1" t="s">
        <v>3362</v>
      </c>
      <c r="AC47" s="1" t="s">
        <v>74</v>
      </c>
      <c r="AD47" s="1" t="s">
        <v>74</v>
      </c>
      <c r="AE47" s="1" t="s">
        <v>74</v>
      </c>
      <c r="AF47" s="1" t="s">
        <v>74</v>
      </c>
      <c r="AG47" s="1">
        <v>35</v>
      </c>
      <c r="AH47" s="1">
        <v>16</v>
      </c>
      <c r="AI47" s="1">
        <v>18</v>
      </c>
      <c r="AJ47" s="1">
        <v>0</v>
      </c>
      <c r="AK47" s="1">
        <v>9</v>
      </c>
      <c r="AL47" s="1" t="s">
        <v>3363</v>
      </c>
      <c r="AM47" s="1" t="s">
        <v>1181</v>
      </c>
      <c r="AN47" s="1" t="s">
        <v>3364</v>
      </c>
      <c r="AO47" s="1" t="s">
        <v>3365</v>
      </c>
      <c r="AP47" s="1" t="s">
        <v>74</v>
      </c>
      <c r="AQ47" s="1" t="s">
        <v>74</v>
      </c>
      <c r="AR47" s="1" t="s">
        <v>3366</v>
      </c>
      <c r="AS47" s="1" t="s">
        <v>3367</v>
      </c>
      <c r="AT47" s="1" t="s">
        <v>3368</v>
      </c>
      <c r="AU47" s="1">
        <v>2003</v>
      </c>
      <c r="AV47" s="1">
        <v>49</v>
      </c>
      <c r="AW47" s="1">
        <v>2</v>
      </c>
      <c r="AX47" s="1" t="s">
        <v>74</v>
      </c>
      <c r="AY47" s="1" t="s">
        <v>74</v>
      </c>
      <c r="AZ47" s="1" t="s">
        <v>74</v>
      </c>
      <c r="BA47" s="1" t="s">
        <v>74</v>
      </c>
      <c r="BB47" s="1">
        <v>169</v>
      </c>
      <c r="BC47" s="1">
        <v>175</v>
      </c>
      <c r="BD47" s="1" t="s">
        <v>74</v>
      </c>
      <c r="BE47" s="1" t="s">
        <v>3369</v>
      </c>
      <c r="BF47" s="1" t="str">
        <f>HYPERLINK("http://dx.doi.org/10.1080/0967087031000085024","http://dx.doi.org/10.1080/0967087031000085024")</f>
        <v>http://dx.doi.org/10.1080/0967087031000085024</v>
      </c>
      <c r="BG47" s="1" t="s">
        <v>74</v>
      </c>
      <c r="BH47" s="1" t="s">
        <v>74</v>
      </c>
      <c r="BI47" s="1">
        <v>7</v>
      </c>
      <c r="BJ47" s="1" t="s">
        <v>3370</v>
      </c>
      <c r="BK47" s="1" t="s">
        <v>129</v>
      </c>
      <c r="BL47" s="1" t="s">
        <v>3370</v>
      </c>
      <c r="BM47" s="1" t="s">
        <v>3371</v>
      </c>
      <c r="BN47" s="1" t="s">
        <v>74</v>
      </c>
      <c r="BO47" s="1" t="s">
        <v>74</v>
      </c>
      <c r="BP47" s="1" t="s">
        <v>74</v>
      </c>
      <c r="BQ47" s="1" t="s">
        <v>74</v>
      </c>
      <c r="BR47" s="1" t="s">
        <v>104</v>
      </c>
      <c r="BS47" s="1" t="s">
        <v>3372</v>
      </c>
      <c r="BT47" s="1" t="str">
        <f>HYPERLINK("https%3A%2F%2Fwww.webofscience.com%2Fwos%2Fwoscc%2Ffull-record%2FWOS:000182720200012","View Full Record in Web of Science")</f>
        <v>View Full Record in Web of Science</v>
      </c>
      <c r="BU47" s="1" t="s">
        <v>3776</v>
      </c>
      <c r="BV47" s="1" t="s">
        <v>10653</v>
      </c>
    </row>
    <row r="48" spans="1:75" ht="43.5" x14ac:dyDescent="0.35">
      <c r="A48" s="1" t="s">
        <v>2064</v>
      </c>
      <c r="B48" s="1" t="s">
        <v>3373</v>
      </c>
      <c r="C48" s="1" t="s">
        <v>74</v>
      </c>
      <c r="D48" s="1" t="s">
        <v>3374</v>
      </c>
      <c r="E48" s="1" t="s">
        <v>74</v>
      </c>
      <c r="F48" s="1" t="s">
        <v>3375</v>
      </c>
      <c r="G48" s="1" t="s">
        <v>74</v>
      </c>
      <c r="H48" s="1" t="s">
        <v>74</v>
      </c>
      <c r="I48" s="1" t="s">
        <v>3376</v>
      </c>
      <c r="J48" s="1" t="s">
        <v>3377</v>
      </c>
      <c r="K48" s="1" t="s">
        <v>3378</v>
      </c>
      <c r="L48" s="1" t="s">
        <v>74</v>
      </c>
      <c r="M48" s="1" t="s">
        <v>78</v>
      </c>
      <c r="N48" s="1" t="s">
        <v>3379</v>
      </c>
      <c r="O48" s="1" t="s">
        <v>74</v>
      </c>
      <c r="P48" s="1" t="s">
        <v>74</v>
      </c>
      <c r="Q48" s="1" t="s">
        <v>74</v>
      </c>
      <c r="R48" s="1" t="s">
        <v>74</v>
      </c>
      <c r="S48" s="1" t="s">
        <v>74</v>
      </c>
      <c r="T48" s="1" t="s">
        <v>74</v>
      </c>
      <c r="U48" s="1" t="s">
        <v>3380</v>
      </c>
      <c r="V48" s="1" t="s">
        <v>74</v>
      </c>
      <c r="W48" s="1" t="s">
        <v>3381</v>
      </c>
      <c r="X48" s="1" t="s">
        <v>3382</v>
      </c>
      <c r="Y48" s="1" t="s">
        <v>3383</v>
      </c>
      <c r="Z48" s="1" t="s">
        <v>74</v>
      </c>
      <c r="AA48" s="1" t="s">
        <v>74</v>
      </c>
      <c r="AB48" s="1" t="s">
        <v>74</v>
      </c>
      <c r="AC48" s="1" t="s">
        <v>74</v>
      </c>
      <c r="AD48" s="1" t="s">
        <v>74</v>
      </c>
      <c r="AE48" s="1" t="s">
        <v>74</v>
      </c>
      <c r="AF48" s="1" t="s">
        <v>74</v>
      </c>
      <c r="AG48" s="1">
        <v>28</v>
      </c>
      <c r="AH48" s="1">
        <v>291</v>
      </c>
      <c r="AI48" s="1">
        <v>294</v>
      </c>
      <c r="AJ48" s="1">
        <v>0</v>
      </c>
      <c r="AK48" s="1">
        <v>9</v>
      </c>
      <c r="AL48" s="1" t="s">
        <v>2115</v>
      </c>
      <c r="AM48" s="1" t="s">
        <v>2067</v>
      </c>
      <c r="AN48" s="1" t="s">
        <v>2116</v>
      </c>
      <c r="AO48" s="1" t="s">
        <v>74</v>
      </c>
      <c r="AP48" s="1" t="s">
        <v>74</v>
      </c>
      <c r="AQ48" s="1" t="s">
        <v>3384</v>
      </c>
      <c r="AR48" s="1" t="s">
        <v>3385</v>
      </c>
      <c r="AS48" s="1" t="s">
        <v>74</v>
      </c>
      <c r="AT48" s="1" t="s">
        <v>74</v>
      </c>
      <c r="AU48" s="1">
        <v>2003</v>
      </c>
      <c r="AV48" s="1" t="s">
        <v>74</v>
      </c>
      <c r="AW48" s="1" t="s">
        <v>74</v>
      </c>
      <c r="AX48" s="1" t="s">
        <v>74</v>
      </c>
      <c r="AY48" s="1" t="s">
        <v>74</v>
      </c>
      <c r="AZ48" s="1" t="s">
        <v>74</v>
      </c>
      <c r="BA48" s="1" t="s">
        <v>74</v>
      </c>
      <c r="BB48" s="1">
        <v>61</v>
      </c>
      <c r="BC48" s="1">
        <v>79</v>
      </c>
      <c r="BD48" s="1" t="s">
        <v>74</v>
      </c>
      <c r="BE48" s="1" t="s">
        <v>74</v>
      </c>
      <c r="BF48" s="1" t="s">
        <v>74</v>
      </c>
      <c r="BG48" s="1" t="s">
        <v>74</v>
      </c>
      <c r="BH48" s="1" t="s">
        <v>74</v>
      </c>
      <c r="BI48" s="1">
        <v>19</v>
      </c>
      <c r="BJ48" s="1" t="s">
        <v>2540</v>
      </c>
      <c r="BK48" s="1" t="s">
        <v>1989</v>
      </c>
      <c r="BL48" s="1" t="s">
        <v>2540</v>
      </c>
      <c r="BM48" s="1" t="s">
        <v>3386</v>
      </c>
      <c r="BN48" s="1" t="s">
        <v>74</v>
      </c>
      <c r="BO48" s="1" t="s">
        <v>74</v>
      </c>
      <c r="BP48" s="1" t="s">
        <v>74</v>
      </c>
      <c r="BQ48" s="1" t="s">
        <v>74</v>
      </c>
      <c r="BR48" s="1" t="s">
        <v>104</v>
      </c>
      <c r="BS48" s="1" t="s">
        <v>3387</v>
      </c>
      <c r="BT48" s="1" t="str">
        <f>HYPERLINK("https%3A%2F%2Fwww.webofscience.com%2Fwos%2Fwoscc%2Ffull-record%2FWOS:000284044700005","View Full Record in Web of Science")</f>
        <v>View Full Record in Web of Science</v>
      </c>
      <c r="BU48" s="1" t="s">
        <v>3776</v>
      </c>
      <c r="BV48" s="1" t="s">
        <v>10653</v>
      </c>
    </row>
    <row r="49" spans="1:75" ht="319" x14ac:dyDescent="0.35">
      <c r="A49" s="1" t="s">
        <v>72</v>
      </c>
      <c r="B49" s="1" t="s">
        <v>486</v>
      </c>
      <c r="C49" s="1" t="s">
        <v>74</v>
      </c>
      <c r="D49" s="1" t="s">
        <v>74</v>
      </c>
      <c r="E49" s="1" t="s">
        <v>74</v>
      </c>
      <c r="F49" s="1" t="s">
        <v>486</v>
      </c>
      <c r="G49" s="1" t="s">
        <v>74</v>
      </c>
      <c r="H49" s="1" t="s">
        <v>74</v>
      </c>
      <c r="I49" s="1" t="s">
        <v>487</v>
      </c>
      <c r="J49" s="1" t="s">
        <v>301</v>
      </c>
      <c r="K49" s="1" t="s">
        <v>74</v>
      </c>
      <c r="L49" s="1" t="s">
        <v>74</v>
      </c>
      <c r="M49" s="1" t="s">
        <v>78</v>
      </c>
      <c r="N49" s="1" t="s">
        <v>79</v>
      </c>
      <c r="O49" s="1" t="s">
        <v>74</v>
      </c>
      <c r="P49" s="1" t="s">
        <v>74</v>
      </c>
      <c r="Q49" s="1" t="s">
        <v>74</v>
      </c>
      <c r="R49" s="1" t="s">
        <v>74</v>
      </c>
      <c r="S49" s="1" t="s">
        <v>74</v>
      </c>
      <c r="T49" s="1" t="s">
        <v>74</v>
      </c>
      <c r="U49" s="1" t="s">
        <v>488</v>
      </c>
      <c r="V49" s="1" t="s">
        <v>489</v>
      </c>
      <c r="W49" s="1" t="s">
        <v>490</v>
      </c>
      <c r="X49" s="1" t="s">
        <v>491</v>
      </c>
      <c r="Y49" s="1" t="s">
        <v>492</v>
      </c>
      <c r="Z49" s="1" t="s">
        <v>493</v>
      </c>
      <c r="AA49" s="1" t="s">
        <v>494</v>
      </c>
      <c r="AB49" s="1" t="s">
        <v>495</v>
      </c>
      <c r="AC49" s="1" t="s">
        <v>496</v>
      </c>
      <c r="AD49" s="1" t="s">
        <v>497</v>
      </c>
      <c r="AE49" s="1" t="s">
        <v>74</v>
      </c>
      <c r="AF49" s="1" t="s">
        <v>74</v>
      </c>
      <c r="AG49" s="1">
        <v>42</v>
      </c>
      <c r="AH49" s="1">
        <v>429</v>
      </c>
      <c r="AI49" s="1">
        <v>435</v>
      </c>
      <c r="AJ49" s="1">
        <v>1</v>
      </c>
      <c r="AK49" s="1">
        <v>60</v>
      </c>
      <c r="AL49" s="1" t="s">
        <v>144</v>
      </c>
      <c r="AM49" s="1" t="s">
        <v>145</v>
      </c>
      <c r="AN49" s="1" t="s">
        <v>146</v>
      </c>
      <c r="AO49" s="1" t="s">
        <v>306</v>
      </c>
      <c r="AP49" s="1" t="s">
        <v>307</v>
      </c>
      <c r="AQ49" s="1" t="s">
        <v>74</v>
      </c>
      <c r="AR49" s="1" t="s">
        <v>308</v>
      </c>
      <c r="AS49" s="1" t="s">
        <v>309</v>
      </c>
      <c r="AT49" s="1" t="s">
        <v>281</v>
      </c>
      <c r="AU49" s="1">
        <v>2004</v>
      </c>
      <c r="AV49" s="1">
        <v>15</v>
      </c>
      <c r="AW49" s="1">
        <v>10</v>
      </c>
      <c r="AX49" s="1" t="s">
        <v>74</v>
      </c>
      <c r="AY49" s="1" t="s">
        <v>74</v>
      </c>
      <c r="AZ49" s="1" t="s">
        <v>74</v>
      </c>
      <c r="BA49" s="1" t="s">
        <v>74</v>
      </c>
      <c r="BB49" s="1">
        <v>687</v>
      </c>
      <c r="BC49" s="1">
        <v>693</v>
      </c>
      <c r="BD49" s="1" t="s">
        <v>74</v>
      </c>
      <c r="BE49" s="1" t="s">
        <v>498</v>
      </c>
      <c r="BF49" s="1" t="str">
        <f>HYPERLINK("http://dx.doi.org/10.1111/j.0956-7976.2004.00741.x","http://dx.doi.org/10.1111/j.0956-7976.2004.00741.x")</f>
        <v>http://dx.doi.org/10.1111/j.0956-7976.2004.00741.x</v>
      </c>
      <c r="BG49" s="1" t="s">
        <v>74</v>
      </c>
      <c r="BH49" s="1" t="s">
        <v>74</v>
      </c>
      <c r="BI49" s="1">
        <v>7</v>
      </c>
      <c r="BJ49" s="1" t="s">
        <v>311</v>
      </c>
      <c r="BK49" s="1" t="s">
        <v>101</v>
      </c>
      <c r="BL49" s="1" t="s">
        <v>102</v>
      </c>
      <c r="BM49" s="1" t="s">
        <v>499</v>
      </c>
      <c r="BN49" s="1">
        <v>15447640</v>
      </c>
      <c r="BO49" s="1" t="s">
        <v>74</v>
      </c>
      <c r="BP49" s="1" t="s">
        <v>74</v>
      </c>
      <c r="BQ49" s="1" t="s">
        <v>74</v>
      </c>
      <c r="BR49" s="1" t="s">
        <v>104</v>
      </c>
      <c r="BS49" s="1" t="s">
        <v>500</v>
      </c>
      <c r="BT49" s="1" t="str">
        <f>HYPERLINK("https%3A%2F%2Fwww.webofscience.com%2Fwos%2Fwoscc%2Ffull-record%2FWOS:000225021500008","View Full Record in Web of Science")</f>
        <v>View Full Record in Web of Science</v>
      </c>
      <c r="BU49" s="1" t="s">
        <v>2040</v>
      </c>
      <c r="BV49" s="1" t="s">
        <v>10653</v>
      </c>
    </row>
    <row r="50" spans="1:75" ht="362.5" x14ac:dyDescent="0.35">
      <c r="A50" s="1" t="s">
        <v>72</v>
      </c>
      <c r="B50" s="1" t="s">
        <v>736</v>
      </c>
      <c r="C50" s="1" t="s">
        <v>74</v>
      </c>
      <c r="D50" s="1" t="s">
        <v>74</v>
      </c>
      <c r="E50" s="1" t="s">
        <v>74</v>
      </c>
      <c r="F50" s="1" t="s">
        <v>736</v>
      </c>
      <c r="G50" s="1" t="s">
        <v>74</v>
      </c>
      <c r="H50" s="1" t="s">
        <v>74</v>
      </c>
      <c r="I50" s="1" t="s">
        <v>737</v>
      </c>
      <c r="J50" s="1" t="s">
        <v>436</v>
      </c>
      <c r="K50" s="1" t="s">
        <v>74</v>
      </c>
      <c r="L50" s="1" t="s">
        <v>74</v>
      </c>
      <c r="M50" s="1" t="s">
        <v>78</v>
      </c>
      <c r="N50" s="1" t="s">
        <v>79</v>
      </c>
      <c r="O50" s="1" t="s">
        <v>74</v>
      </c>
      <c r="P50" s="1" t="s">
        <v>74</v>
      </c>
      <c r="Q50" s="1" t="s">
        <v>74</v>
      </c>
      <c r="R50" s="1" t="s">
        <v>74</v>
      </c>
      <c r="S50" s="1" t="s">
        <v>74</v>
      </c>
      <c r="T50" s="1" t="s">
        <v>738</v>
      </c>
      <c r="U50" s="1" t="s">
        <v>739</v>
      </c>
      <c r="V50" s="1" t="s">
        <v>740</v>
      </c>
      <c r="W50" s="1" t="s">
        <v>741</v>
      </c>
      <c r="X50" s="1" t="s">
        <v>742</v>
      </c>
      <c r="Y50" s="1" t="s">
        <v>743</v>
      </c>
      <c r="Z50" s="1" t="s">
        <v>744</v>
      </c>
      <c r="AA50" s="1" t="s">
        <v>745</v>
      </c>
      <c r="AB50" s="1" t="s">
        <v>74</v>
      </c>
      <c r="AC50" s="1" t="s">
        <v>74</v>
      </c>
      <c r="AD50" s="1" t="s">
        <v>74</v>
      </c>
      <c r="AE50" s="1" t="s">
        <v>74</v>
      </c>
      <c r="AF50" s="1" t="s">
        <v>74</v>
      </c>
      <c r="AG50" s="1">
        <v>35</v>
      </c>
      <c r="AH50" s="1">
        <v>1285</v>
      </c>
      <c r="AI50" s="1">
        <v>1331</v>
      </c>
      <c r="AJ50" s="1">
        <v>24</v>
      </c>
      <c r="AK50" s="1">
        <v>436</v>
      </c>
      <c r="AL50" s="1" t="s">
        <v>446</v>
      </c>
      <c r="AM50" s="1" t="s">
        <v>447</v>
      </c>
      <c r="AN50" s="1" t="s">
        <v>448</v>
      </c>
      <c r="AO50" s="1" t="s">
        <v>449</v>
      </c>
      <c r="AP50" s="1" t="s">
        <v>450</v>
      </c>
      <c r="AQ50" s="1" t="s">
        <v>74</v>
      </c>
      <c r="AR50" s="1" t="s">
        <v>451</v>
      </c>
      <c r="AS50" s="1" t="s">
        <v>452</v>
      </c>
      <c r="AT50" s="1" t="s">
        <v>746</v>
      </c>
      <c r="AU50" s="1">
        <v>2004</v>
      </c>
      <c r="AV50" s="1">
        <v>23</v>
      </c>
      <c r="AW50" s="1">
        <v>4</v>
      </c>
      <c r="AX50" s="1" t="s">
        <v>74</v>
      </c>
      <c r="AY50" s="1" t="s">
        <v>74</v>
      </c>
      <c r="AZ50" s="1" t="s">
        <v>74</v>
      </c>
      <c r="BA50" s="1" t="s">
        <v>74</v>
      </c>
      <c r="BB50" s="1">
        <v>545</v>
      </c>
      <c r="BC50" s="1">
        <v>560</v>
      </c>
      <c r="BD50" s="1" t="s">
        <v>74</v>
      </c>
      <c r="BE50" s="1" t="s">
        <v>747</v>
      </c>
      <c r="BF50" s="1" t="str">
        <f>HYPERLINK("http://dx.doi.org/10.1287/mksc.1040.0071","http://dx.doi.org/10.1287/mksc.1040.0071")</f>
        <v>http://dx.doi.org/10.1287/mksc.1040.0071</v>
      </c>
      <c r="BG50" s="1" t="s">
        <v>74</v>
      </c>
      <c r="BH50" s="1" t="s">
        <v>74</v>
      </c>
      <c r="BI50" s="1">
        <v>16</v>
      </c>
      <c r="BJ50" s="1" t="s">
        <v>153</v>
      </c>
      <c r="BK50" s="1" t="s">
        <v>101</v>
      </c>
      <c r="BL50" s="1" t="s">
        <v>154</v>
      </c>
      <c r="BM50" s="1" t="s">
        <v>748</v>
      </c>
      <c r="BN50" s="1" t="s">
        <v>74</v>
      </c>
      <c r="BO50" s="1" t="s">
        <v>74</v>
      </c>
      <c r="BP50" s="1" t="s">
        <v>74</v>
      </c>
      <c r="BQ50" s="1" t="s">
        <v>74</v>
      </c>
      <c r="BR50" s="1" t="s">
        <v>104</v>
      </c>
      <c r="BS50" s="1" t="s">
        <v>749</v>
      </c>
      <c r="BT50" s="1" t="str">
        <f>HYPERLINK("https%3A%2F%2Fwww.webofscience.com%2Fwos%2Fwoscc%2Ffull-record%2FWOS:000225384800007","View Full Record in Web of Science")</f>
        <v>View Full Record in Web of Science</v>
      </c>
      <c r="BU50" s="1" t="s">
        <v>2040</v>
      </c>
      <c r="BV50" s="1" t="s">
        <v>6080</v>
      </c>
      <c r="BW50" s="1" t="s">
        <v>6080</v>
      </c>
    </row>
    <row r="51" spans="1:75" ht="130.5" x14ac:dyDescent="0.35">
      <c r="A51" s="1" t="s">
        <v>72</v>
      </c>
      <c r="B51" s="1" t="s">
        <v>1372</v>
      </c>
      <c r="C51" s="1" t="s">
        <v>74</v>
      </c>
      <c r="D51" s="1" t="s">
        <v>74</v>
      </c>
      <c r="E51" s="1" t="s">
        <v>74</v>
      </c>
      <c r="F51" s="1" t="s">
        <v>1372</v>
      </c>
      <c r="G51" s="1" t="s">
        <v>74</v>
      </c>
      <c r="H51" s="1" t="s">
        <v>74</v>
      </c>
      <c r="I51" s="1" t="s">
        <v>1373</v>
      </c>
      <c r="J51" s="1" t="s">
        <v>240</v>
      </c>
      <c r="K51" s="1" t="s">
        <v>74</v>
      </c>
      <c r="L51" s="1" t="s">
        <v>74</v>
      </c>
      <c r="M51" s="1" t="s">
        <v>78</v>
      </c>
      <c r="N51" s="1" t="s">
        <v>79</v>
      </c>
      <c r="O51" s="1" t="s">
        <v>74</v>
      </c>
      <c r="P51" s="1" t="s">
        <v>74</v>
      </c>
      <c r="Q51" s="1" t="s">
        <v>74</v>
      </c>
      <c r="R51" s="1" t="s">
        <v>74</v>
      </c>
      <c r="S51" s="1" t="s">
        <v>74</v>
      </c>
      <c r="T51" s="1" t="s">
        <v>74</v>
      </c>
      <c r="U51" s="1" t="s">
        <v>1374</v>
      </c>
      <c r="V51" s="1" t="s">
        <v>1375</v>
      </c>
      <c r="W51" s="1" t="s">
        <v>1376</v>
      </c>
      <c r="X51" s="1" t="s">
        <v>1377</v>
      </c>
      <c r="Y51" s="1" t="s">
        <v>1378</v>
      </c>
      <c r="Z51" s="1" t="s">
        <v>1379</v>
      </c>
      <c r="AA51" s="1" t="s">
        <v>1380</v>
      </c>
      <c r="AB51" s="1" t="s">
        <v>1381</v>
      </c>
      <c r="AC51" s="1" t="s">
        <v>74</v>
      </c>
      <c r="AD51" s="1" t="s">
        <v>74</v>
      </c>
      <c r="AE51" s="1" t="s">
        <v>74</v>
      </c>
      <c r="AF51" s="1" t="s">
        <v>74</v>
      </c>
      <c r="AG51" s="1">
        <v>35</v>
      </c>
      <c r="AH51" s="1">
        <v>125</v>
      </c>
      <c r="AI51" s="1">
        <v>125</v>
      </c>
      <c r="AJ51" s="1">
        <v>2</v>
      </c>
      <c r="AK51" s="1">
        <v>30</v>
      </c>
      <c r="AL51" s="1" t="s">
        <v>144</v>
      </c>
      <c r="AM51" s="1" t="s">
        <v>145</v>
      </c>
      <c r="AN51" s="1" t="s">
        <v>146</v>
      </c>
      <c r="AO51" s="1" t="s">
        <v>254</v>
      </c>
      <c r="AP51" s="1" t="s">
        <v>255</v>
      </c>
      <c r="AQ51" s="1" t="s">
        <v>74</v>
      </c>
      <c r="AR51" s="1" t="s">
        <v>256</v>
      </c>
      <c r="AS51" s="1" t="s">
        <v>257</v>
      </c>
      <c r="AT51" s="1" t="s">
        <v>281</v>
      </c>
      <c r="AU51" s="1">
        <v>2004</v>
      </c>
      <c r="AV51" s="1">
        <v>68</v>
      </c>
      <c r="AW51" s="1">
        <v>4</v>
      </c>
      <c r="AX51" s="1" t="s">
        <v>74</v>
      </c>
      <c r="AY51" s="1" t="s">
        <v>74</v>
      </c>
      <c r="AZ51" s="1" t="s">
        <v>74</v>
      </c>
      <c r="BA51" s="1" t="s">
        <v>74</v>
      </c>
      <c r="BB51" s="1">
        <v>90</v>
      </c>
      <c r="BC51" s="1">
        <v>105</v>
      </c>
      <c r="BD51" s="1" t="s">
        <v>74</v>
      </c>
      <c r="BE51" s="1" t="s">
        <v>1382</v>
      </c>
      <c r="BF51" s="1" t="str">
        <f>HYPERLINK("http://dx.doi.org/10.1509/jmkg.68.4.90.42734","http://dx.doi.org/10.1509/jmkg.68.4.90.42734")</f>
        <v>http://dx.doi.org/10.1509/jmkg.68.4.90.42734</v>
      </c>
      <c r="BG51" s="1" t="s">
        <v>74</v>
      </c>
      <c r="BH51" s="1" t="s">
        <v>74</v>
      </c>
      <c r="BI51" s="1">
        <v>16</v>
      </c>
      <c r="BJ51" s="1" t="s">
        <v>153</v>
      </c>
      <c r="BK51" s="1" t="s">
        <v>101</v>
      </c>
      <c r="BL51" s="1" t="s">
        <v>154</v>
      </c>
      <c r="BM51" s="1" t="s">
        <v>1383</v>
      </c>
      <c r="BN51" s="1" t="s">
        <v>74</v>
      </c>
      <c r="BO51" s="1" t="s">
        <v>156</v>
      </c>
      <c r="BP51" s="1" t="s">
        <v>74</v>
      </c>
      <c r="BQ51" s="1" t="s">
        <v>74</v>
      </c>
      <c r="BR51" s="1" t="s">
        <v>104</v>
      </c>
      <c r="BS51" s="1" t="s">
        <v>1384</v>
      </c>
      <c r="BT51" s="1" t="str">
        <f>HYPERLINK("https%3A%2F%2Fwww.webofscience.com%2Fwos%2Fwoscc%2Ffull-record%2FWOS:000224540200008","View Full Record in Web of Science")</f>
        <v>View Full Record in Web of Science</v>
      </c>
      <c r="BU51" s="1" t="s">
        <v>2040</v>
      </c>
      <c r="BV51" s="1" t="s">
        <v>6080</v>
      </c>
      <c r="BW51" s="1" t="s">
        <v>10653</v>
      </c>
    </row>
    <row r="52" spans="1:75" ht="290" x14ac:dyDescent="0.35">
      <c r="A52" s="1" t="s">
        <v>72</v>
      </c>
      <c r="B52" s="1" t="s">
        <v>1668</v>
      </c>
      <c r="C52" s="1" t="s">
        <v>74</v>
      </c>
      <c r="D52" s="1" t="s">
        <v>74</v>
      </c>
      <c r="E52" s="1" t="s">
        <v>74</v>
      </c>
      <c r="F52" s="1" t="s">
        <v>1668</v>
      </c>
      <c r="G52" s="1" t="s">
        <v>74</v>
      </c>
      <c r="H52" s="1" t="s">
        <v>74</v>
      </c>
      <c r="I52" s="1" t="s">
        <v>1669</v>
      </c>
      <c r="J52" s="1" t="s">
        <v>1670</v>
      </c>
      <c r="K52" s="1" t="s">
        <v>74</v>
      </c>
      <c r="L52" s="1" t="s">
        <v>74</v>
      </c>
      <c r="M52" s="1" t="s">
        <v>78</v>
      </c>
      <c r="N52" s="1" t="s">
        <v>79</v>
      </c>
      <c r="O52" s="1" t="s">
        <v>74</v>
      </c>
      <c r="P52" s="1" t="s">
        <v>74</v>
      </c>
      <c r="Q52" s="1" t="s">
        <v>74</v>
      </c>
      <c r="R52" s="1" t="s">
        <v>74</v>
      </c>
      <c r="S52" s="1" t="s">
        <v>74</v>
      </c>
      <c r="T52" s="1" t="s">
        <v>74</v>
      </c>
      <c r="U52" s="1" t="s">
        <v>1671</v>
      </c>
      <c r="V52" s="1" t="s">
        <v>1672</v>
      </c>
      <c r="W52" s="1" t="s">
        <v>1673</v>
      </c>
      <c r="X52" s="1" t="s">
        <v>1490</v>
      </c>
      <c r="Y52" s="1" t="s">
        <v>1674</v>
      </c>
      <c r="Z52" s="1" t="s">
        <v>1675</v>
      </c>
      <c r="AA52" s="1" t="s">
        <v>1509</v>
      </c>
      <c r="AB52" s="1" t="s">
        <v>1510</v>
      </c>
      <c r="AC52" s="1" t="s">
        <v>74</v>
      </c>
      <c r="AD52" s="1" t="s">
        <v>74</v>
      </c>
      <c r="AE52" s="1" t="s">
        <v>74</v>
      </c>
      <c r="AF52" s="1" t="s">
        <v>74</v>
      </c>
      <c r="AG52" s="1">
        <v>38</v>
      </c>
      <c r="AH52" s="1">
        <v>454</v>
      </c>
      <c r="AI52" s="1">
        <v>459</v>
      </c>
      <c r="AJ52" s="1">
        <v>4</v>
      </c>
      <c r="AK52" s="1">
        <v>57</v>
      </c>
      <c r="AL52" s="1" t="s">
        <v>1180</v>
      </c>
      <c r="AM52" s="1" t="s">
        <v>1181</v>
      </c>
      <c r="AN52" s="1" t="s">
        <v>1182</v>
      </c>
      <c r="AO52" s="1" t="s">
        <v>1676</v>
      </c>
      <c r="AP52" s="1" t="s">
        <v>1677</v>
      </c>
      <c r="AQ52" s="1" t="s">
        <v>74</v>
      </c>
      <c r="AR52" s="1" t="s">
        <v>1678</v>
      </c>
      <c r="AS52" s="1" t="s">
        <v>1679</v>
      </c>
      <c r="AT52" s="1" t="s">
        <v>348</v>
      </c>
      <c r="AU52" s="1">
        <v>2004</v>
      </c>
      <c r="AV52" s="1">
        <v>18</v>
      </c>
      <c r="AW52" s="1">
        <v>8</v>
      </c>
      <c r="AX52" s="1" t="s">
        <v>74</v>
      </c>
      <c r="AY52" s="1" t="s">
        <v>74</v>
      </c>
      <c r="AZ52" s="1" t="s">
        <v>74</v>
      </c>
      <c r="BA52" s="1" t="s">
        <v>74</v>
      </c>
      <c r="BB52" s="1">
        <v>1121</v>
      </c>
      <c r="BC52" s="1">
        <v>1133</v>
      </c>
      <c r="BD52" s="1" t="s">
        <v>74</v>
      </c>
      <c r="BE52" s="1" t="s">
        <v>1680</v>
      </c>
      <c r="BF52" s="1" t="str">
        <f>HYPERLINK("http://dx.doi.org/10.1080/02699930441000030","http://dx.doi.org/10.1080/02699930441000030")</f>
        <v>http://dx.doi.org/10.1080/02699930441000030</v>
      </c>
      <c r="BG52" s="1" t="s">
        <v>74</v>
      </c>
      <c r="BH52" s="1" t="s">
        <v>74</v>
      </c>
      <c r="BI52" s="1">
        <v>13</v>
      </c>
      <c r="BJ52" s="1" t="s">
        <v>332</v>
      </c>
      <c r="BK52" s="1" t="s">
        <v>101</v>
      </c>
      <c r="BL52" s="1" t="s">
        <v>102</v>
      </c>
      <c r="BM52" s="1" t="s">
        <v>1681</v>
      </c>
      <c r="BN52" s="1" t="s">
        <v>74</v>
      </c>
      <c r="BO52" s="1" t="s">
        <v>74</v>
      </c>
      <c r="BP52" s="1" t="s">
        <v>74</v>
      </c>
      <c r="BQ52" s="1" t="s">
        <v>74</v>
      </c>
      <c r="BR52" s="1" t="s">
        <v>104</v>
      </c>
      <c r="BS52" s="1" t="s">
        <v>1682</v>
      </c>
      <c r="BT52" s="1" t="str">
        <f>HYPERLINK("https%3A%2F%2Fwww.webofscience.com%2Fwos%2Fwoscc%2Ffull-record%2FWOS:000225760300006","View Full Record in Web of Science")</f>
        <v>View Full Record in Web of Science</v>
      </c>
      <c r="BU52" s="1" t="s">
        <v>2040</v>
      </c>
      <c r="BV52" s="1" t="s">
        <v>10653</v>
      </c>
    </row>
    <row r="53" spans="1:75" ht="290" x14ac:dyDescent="0.35">
      <c r="A53" s="1" t="s">
        <v>72</v>
      </c>
      <c r="B53" s="1" t="s">
        <v>1668</v>
      </c>
      <c r="C53" s="1" t="s">
        <v>74</v>
      </c>
      <c r="D53" s="1" t="s">
        <v>74</v>
      </c>
      <c r="E53" s="1" t="s">
        <v>74</v>
      </c>
      <c r="F53" s="1" t="s">
        <v>1668</v>
      </c>
      <c r="G53" s="1" t="s">
        <v>74</v>
      </c>
      <c r="H53" s="1" t="s">
        <v>74</v>
      </c>
      <c r="I53" s="1" t="s">
        <v>1669</v>
      </c>
      <c r="J53" s="1" t="s">
        <v>1670</v>
      </c>
      <c r="K53" s="1" t="s">
        <v>74</v>
      </c>
      <c r="L53" s="1" t="s">
        <v>74</v>
      </c>
      <c r="M53" s="1" t="s">
        <v>78</v>
      </c>
      <c r="N53" s="1" t="s">
        <v>79</v>
      </c>
      <c r="O53" s="1" t="s">
        <v>74</v>
      </c>
      <c r="P53" s="1" t="s">
        <v>74</v>
      </c>
      <c r="Q53" s="1" t="s">
        <v>74</v>
      </c>
      <c r="R53" s="1" t="s">
        <v>74</v>
      </c>
      <c r="S53" s="1" t="s">
        <v>74</v>
      </c>
      <c r="T53" s="1" t="s">
        <v>74</v>
      </c>
      <c r="U53" s="1" t="s">
        <v>1671</v>
      </c>
      <c r="V53" s="1" t="s">
        <v>1672</v>
      </c>
      <c r="W53" s="1" t="s">
        <v>1673</v>
      </c>
      <c r="X53" s="1" t="s">
        <v>1490</v>
      </c>
      <c r="Y53" s="1" t="s">
        <v>1674</v>
      </c>
      <c r="Z53" s="1" t="s">
        <v>1675</v>
      </c>
      <c r="AA53" s="1" t="s">
        <v>1509</v>
      </c>
      <c r="AB53" s="1" t="s">
        <v>1510</v>
      </c>
      <c r="AC53" s="1" t="s">
        <v>74</v>
      </c>
      <c r="AD53" s="1" t="s">
        <v>74</v>
      </c>
      <c r="AE53" s="1" t="s">
        <v>74</v>
      </c>
      <c r="AF53" s="1" t="s">
        <v>74</v>
      </c>
      <c r="AG53" s="1">
        <v>38</v>
      </c>
      <c r="AH53" s="1">
        <v>454</v>
      </c>
      <c r="AI53" s="1">
        <v>459</v>
      </c>
      <c r="AJ53" s="1">
        <v>4</v>
      </c>
      <c r="AK53" s="1">
        <v>57</v>
      </c>
      <c r="AL53" s="1" t="s">
        <v>1180</v>
      </c>
      <c r="AM53" s="1" t="s">
        <v>1181</v>
      </c>
      <c r="AN53" s="1" t="s">
        <v>1182</v>
      </c>
      <c r="AO53" s="1" t="s">
        <v>1676</v>
      </c>
      <c r="AP53" s="1" t="s">
        <v>1677</v>
      </c>
      <c r="AQ53" s="1" t="s">
        <v>74</v>
      </c>
      <c r="AR53" s="1" t="s">
        <v>1678</v>
      </c>
      <c r="AS53" s="1" t="s">
        <v>1679</v>
      </c>
      <c r="AT53" s="1" t="s">
        <v>348</v>
      </c>
      <c r="AU53" s="1">
        <v>2004</v>
      </c>
      <c r="AV53" s="1">
        <v>18</v>
      </c>
      <c r="AW53" s="1">
        <v>8</v>
      </c>
      <c r="AX53" s="1" t="s">
        <v>74</v>
      </c>
      <c r="AY53" s="1" t="s">
        <v>74</v>
      </c>
      <c r="AZ53" s="1" t="s">
        <v>74</v>
      </c>
      <c r="BA53" s="1" t="s">
        <v>74</v>
      </c>
      <c r="BB53" s="1">
        <v>1121</v>
      </c>
      <c r="BC53" s="1">
        <v>1133</v>
      </c>
      <c r="BD53" s="1" t="s">
        <v>74</v>
      </c>
      <c r="BE53" s="1" t="s">
        <v>1680</v>
      </c>
      <c r="BF53" s="1" t="str">
        <f>HYPERLINK("http://dx.doi.org/10.1080/02699930441000030","http://dx.doi.org/10.1080/02699930441000030")</f>
        <v>http://dx.doi.org/10.1080/02699930441000030</v>
      </c>
      <c r="BG53" s="1" t="s">
        <v>74</v>
      </c>
      <c r="BH53" s="1" t="s">
        <v>74</v>
      </c>
      <c r="BI53" s="1">
        <v>13</v>
      </c>
      <c r="BJ53" s="1" t="s">
        <v>332</v>
      </c>
      <c r="BK53" s="1" t="s">
        <v>101</v>
      </c>
      <c r="BL53" s="1" t="s">
        <v>102</v>
      </c>
      <c r="BM53" s="1" t="s">
        <v>1681</v>
      </c>
      <c r="BN53" s="1" t="s">
        <v>74</v>
      </c>
      <c r="BO53" s="1" t="s">
        <v>74</v>
      </c>
      <c r="BP53" s="1" t="s">
        <v>74</v>
      </c>
      <c r="BQ53" s="1" t="s">
        <v>74</v>
      </c>
      <c r="BR53" s="1" t="s">
        <v>104</v>
      </c>
      <c r="BS53" s="1" t="s">
        <v>1682</v>
      </c>
      <c r="BT53" s="1" t="str">
        <f>HYPERLINK("https%3A%2F%2Fwww.webofscience.com%2Fwos%2Fwoscc%2Ffull-record%2FWOS:000225760300006","View Full Record in Web of Science")</f>
        <v>View Full Record in Web of Science</v>
      </c>
      <c r="BU53" s="1" t="s">
        <v>3776</v>
      </c>
      <c r="BV53" s="1" t="s">
        <v>10653</v>
      </c>
    </row>
    <row r="54" spans="1:75" ht="217.5" x14ac:dyDescent="0.35">
      <c r="A54" s="1" t="s">
        <v>72</v>
      </c>
      <c r="B54" s="1" t="s">
        <v>3264</v>
      </c>
      <c r="C54" s="1" t="s">
        <v>74</v>
      </c>
      <c r="D54" s="1" t="s">
        <v>74</v>
      </c>
      <c r="E54" s="1" t="s">
        <v>74</v>
      </c>
      <c r="F54" s="1" t="s">
        <v>3264</v>
      </c>
      <c r="G54" s="1" t="s">
        <v>74</v>
      </c>
      <c r="H54" s="1" t="s">
        <v>74</v>
      </c>
      <c r="I54" s="1" t="s">
        <v>3265</v>
      </c>
      <c r="J54" s="1" t="s">
        <v>161</v>
      </c>
      <c r="K54" s="1" t="s">
        <v>74</v>
      </c>
      <c r="L54" s="1" t="s">
        <v>74</v>
      </c>
      <c r="M54" s="1" t="s">
        <v>78</v>
      </c>
      <c r="N54" s="1" t="s">
        <v>79</v>
      </c>
      <c r="O54" s="1" t="s">
        <v>74</v>
      </c>
      <c r="P54" s="1" t="s">
        <v>74</v>
      </c>
      <c r="Q54" s="1" t="s">
        <v>74</v>
      </c>
      <c r="R54" s="1" t="s">
        <v>74</v>
      </c>
      <c r="S54" s="1" t="s">
        <v>74</v>
      </c>
      <c r="T54" s="1" t="s">
        <v>74</v>
      </c>
      <c r="U54" s="1" t="s">
        <v>3266</v>
      </c>
      <c r="V54" s="1" t="s">
        <v>3267</v>
      </c>
      <c r="W54" s="1" t="s">
        <v>3268</v>
      </c>
      <c r="X54" s="1" t="s">
        <v>3269</v>
      </c>
      <c r="Y54" s="1" t="s">
        <v>3270</v>
      </c>
      <c r="Z54" s="1" t="s">
        <v>3271</v>
      </c>
      <c r="AA54" s="1" t="s">
        <v>74</v>
      </c>
      <c r="AB54" s="1" t="s">
        <v>74</v>
      </c>
      <c r="AC54" s="1" t="s">
        <v>74</v>
      </c>
      <c r="AD54" s="1" t="s">
        <v>74</v>
      </c>
      <c r="AE54" s="1" t="s">
        <v>74</v>
      </c>
      <c r="AF54" s="1" t="s">
        <v>74</v>
      </c>
      <c r="AG54" s="1">
        <v>42</v>
      </c>
      <c r="AH54" s="1">
        <v>364</v>
      </c>
      <c r="AI54" s="1">
        <v>370</v>
      </c>
      <c r="AJ54" s="1">
        <v>2</v>
      </c>
      <c r="AK54" s="1">
        <v>48</v>
      </c>
      <c r="AL54" s="1" t="s">
        <v>170</v>
      </c>
      <c r="AM54" s="1" t="s">
        <v>171</v>
      </c>
      <c r="AN54" s="1" t="s">
        <v>172</v>
      </c>
      <c r="AO54" s="1" t="s">
        <v>173</v>
      </c>
      <c r="AP54" s="1" t="s">
        <v>174</v>
      </c>
      <c r="AQ54" s="1" t="s">
        <v>74</v>
      </c>
      <c r="AR54" s="1" t="s">
        <v>175</v>
      </c>
      <c r="AS54" s="1" t="s">
        <v>176</v>
      </c>
      <c r="AT54" s="1" t="s">
        <v>517</v>
      </c>
      <c r="AU54" s="1">
        <v>2004</v>
      </c>
      <c r="AV54" s="1">
        <v>31</v>
      </c>
      <c r="AW54" s="1">
        <v>2</v>
      </c>
      <c r="AX54" s="1" t="s">
        <v>74</v>
      </c>
      <c r="AY54" s="1" t="s">
        <v>74</v>
      </c>
      <c r="AZ54" s="1" t="s">
        <v>74</v>
      </c>
      <c r="BA54" s="1" t="s">
        <v>74</v>
      </c>
      <c r="BB54" s="1">
        <v>425</v>
      </c>
      <c r="BC54" s="1">
        <v>440</v>
      </c>
      <c r="BD54" s="1" t="s">
        <v>74</v>
      </c>
      <c r="BE54" s="1" t="s">
        <v>3272</v>
      </c>
      <c r="BF54" s="1" t="str">
        <f>HYPERLINK("http://dx.doi.org/10.1086/422120","http://dx.doi.org/10.1086/422120")</f>
        <v>http://dx.doi.org/10.1086/422120</v>
      </c>
      <c r="BG54" s="1" t="s">
        <v>74</v>
      </c>
      <c r="BH54" s="1" t="s">
        <v>74</v>
      </c>
      <c r="BI54" s="1">
        <v>16</v>
      </c>
      <c r="BJ54" s="1" t="s">
        <v>153</v>
      </c>
      <c r="BK54" s="1" t="s">
        <v>101</v>
      </c>
      <c r="BL54" s="1" t="s">
        <v>154</v>
      </c>
      <c r="BM54" s="1" t="s">
        <v>3273</v>
      </c>
      <c r="BN54" s="1" t="s">
        <v>74</v>
      </c>
      <c r="BO54" s="1" t="s">
        <v>74</v>
      </c>
      <c r="BP54" s="1" t="s">
        <v>74</v>
      </c>
      <c r="BQ54" s="1" t="s">
        <v>74</v>
      </c>
      <c r="BR54" s="1" t="s">
        <v>104</v>
      </c>
      <c r="BS54" s="1" t="s">
        <v>3274</v>
      </c>
      <c r="BT54" s="1" t="str">
        <f>HYPERLINK("https%3A%2F%2Fwww.webofscience.com%2Fwos%2Fwoscc%2Ffull-record%2FWOS:000224129300017","View Full Record in Web of Science")</f>
        <v>View Full Record in Web of Science</v>
      </c>
      <c r="BU54" s="1" t="s">
        <v>3776</v>
      </c>
      <c r="BV54" s="1" t="s">
        <v>6080</v>
      </c>
      <c r="BW54" s="1" t="s">
        <v>10653</v>
      </c>
    </row>
    <row r="55" spans="1:75" ht="261" x14ac:dyDescent="0.35">
      <c r="A55" s="1" t="s">
        <v>72</v>
      </c>
      <c r="B55" s="1" t="s">
        <v>3275</v>
      </c>
      <c r="C55" s="1" t="s">
        <v>74</v>
      </c>
      <c r="D55" s="1" t="s">
        <v>74</v>
      </c>
      <c r="E55" s="1" t="s">
        <v>74</v>
      </c>
      <c r="F55" s="1" t="s">
        <v>3275</v>
      </c>
      <c r="G55" s="1" t="s">
        <v>74</v>
      </c>
      <c r="H55" s="1" t="s">
        <v>74</v>
      </c>
      <c r="I55" s="1" t="s">
        <v>3276</v>
      </c>
      <c r="J55" s="1" t="s">
        <v>3277</v>
      </c>
      <c r="K55" s="1" t="s">
        <v>74</v>
      </c>
      <c r="L55" s="1" t="s">
        <v>74</v>
      </c>
      <c r="M55" s="1" t="s">
        <v>78</v>
      </c>
      <c r="N55" s="1" t="s">
        <v>241</v>
      </c>
      <c r="O55" s="1" t="s">
        <v>3278</v>
      </c>
      <c r="P55" s="1" t="s">
        <v>3279</v>
      </c>
      <c r="Q55" s="1" t="s">
        <v>3280</v>
      </c>
      <c r="R55" s="1" t="s">
        <v>3281</v>
      </c>
      <c r="S55" s="1" t="s">
        <v>74</v>
      </c>
      <c r="T55" s="1" t="s">
        <v>74</v>
      </c>
      <c r="U55" s="1" t="s">
        <v>3282</v>
      </c>
      <c r="V55" s="1" t="s">
        <v>3283</v>
      </c>
      <c r="W55" s="1" t="s">
        <v>3284</v>
      </c>
      <c r="X55" s="1" t="s">
        <v>3285</v>
      </c>
      <c r="Y55" s="1" t="s">
        <v>3286</v>
      </c>
      <c r="Z55" s="1" t="s">
        <v>3287</v>
      </c>
      <c r="AA55" s="1" t="s">
        <v>74</v>
      </c>
      <c r="AB55" s="1" t="s">
        <v>3288</v>
      </c>
      <c r="AC55" s="1" t="s">
        <v>74</v>
      </c>
      <c r="AD55" s="1" t="s">
        <v>74</v>
      </c>
      <c r="AE55" s="1" t="s">
        <v>74</v>
      </c>
      <c r="AF55" s="1" t="s">
        <v>74</v>
      </c>
      <c r="AG55" s="1">
        <v>57</v>
      </c>
      <c r="AH55" s="1">
        <v>654</v>
      </c>
      <c r="AI55" s="1">
        <v>669</v>
      </c>
      <c r="AJ55" s="1">
        <v>17</v>
      </c>
      <c r="AK55" s="1">
        <v>89</v>
      </c>
      <c r="AL55" s="1" t="s">
        <v>3289</v>
      </c>
      <c r="AM55" s="1" t="s">
        <v>3290</v>
      </c>
      <c r="AN55" s="1" t="s">
        <v>3291</v>
      </c>
      <c r="AO55" s="1" t="s">
        <v>3292</v>
      </c>
      <c r="AP55" s="1" t="s">
        <v>74</v>
      </c>
      <c r="AQ55" s="1" t="s">
        <v>74</v>
      </c>
      <c r="AR55" s="1" t="s">
        <v>3293</v>
      </c>
      <c r="AS55" s="1" t="s">
        <v>3294</v>
      </c>
      <c r="AT55" s="1" t="s">
        <v>704</v>
      </c>
      <c r="AU55" s="1">
        <v>2004</v>
      </c>
      <c r="AV55" s="1">
        <v>36</v>
      </c>
      <c r="AW55" s="1">
        <v>2</v>
      </c>
      <c r="AX55" s="1" t="s">
        <v>74</v>
      </c>
      <c r="AY55" s="1" t="s">
        <v>74</v>
      </c>
      <c r="AZ55" s="1" t="s">
        <v>74</v>
      </c>
      <c r="BA55" s="1" t="s">
        <v>74</v>
      </c>
      <c r="BB55" s="1">
        <v>193</v>
      </c>
      <c r="BC55" s="1">
        <v>202</v>
      </c>
      <c r="BD55" s="1" t="s">
        <v>74</v>
      </c>
      <c r="BE55" s="1" t="s">
        <v>3295</v>
      </c>
      <c r="BF55" s="1" t="str">
        <f>HYPERLINK("http://dx.doi.org/10.3758/BF03195564","http://dx.doi.org/10.3758/BF03195564")</f>
        <v>http://dx.doi.org/10.3758/BF03195564</v>
      </c>
      <c r="BG55" s="1" t="s">
        <v>74</v>
      </c>
      <c r="BH55" s="1" t="s">
        <v>74</v>
      </c>
      <c r="BI55" s="1">
        <v>10</v>
      </c>
      <c r="BJ55" s="1" t="s">
        <v>1652</v>
      </c>
      <c r="BK55" s="1" t="s">
        <v>261</v>
      </c>
      <c r="BL55" s="1" t="s">
        <v>102</v>
      </c>
      <c r="BM55" s="1" t="s">
        <v>3296</v>
      </c>
      <c r="BN55" s="1">
        <v>15354684</v>
      </c>
      <c r="BO55" s="1" t="s">
        <v>334</v>
      </c>
      <c r="BP55" s="1" t="s">
        <v>74</v>
      </c>
      <c r="BQ55" s="1" t="s">
        <v>74</v>
      </c>
      <c r="BR55" s="1" t="s">
        <v>104</v>
      </c>
      <c r="BS55" s="1" t="s">
        <v>3297</v>
      </c>
      <c r="BT55" s="1" t="str">
        <f>HYPERLINK("https%3A%2F%2Fwww.webofscience.com%2Fwos%2Fwoscc%2Ffull-record%2FWOS:000223026600004","View Full Record in Web of Science")</f>
        <v>View Full Record in Web of Science</v>
      </c>
      <c r="BU55" s="1" t="s">
        <v>3776</v>
      </c>
      <c r="BV55" s="1" t="s">
        <v>10653</v>
      </c>
    </row>
    <row r="56" spans="1:75" ht="319" x14ac:dyDescent="0.35">
      <c r="A56" s="1" t="s">
        <v>72</v>
      </c>
      <c r="B56" s="1" t="s">
        <v>3298</v>
      </c>
      <c r="C56" s="1" t="s">
        <v>74</v>
      </c>
      <c r="D56" s="1" t="s">
        <v>74</v>
      </c>
      <c r="E56" s="1" t="s">
        <v>74</v>
      </c>
      <c r="F56" s="1" t="s">
        <v>3298</v>
      </c>
      <c r="G56" s="1" t="s">
        <v>74</v>
      </c>
      <c r="H56" s="1" t="s">
        <v>74</v>
      </c>
      <c r="I56" s="1" t="s">
        <v>3299</v>
      </c>
      <c r="J56" s="1" t="s">
        <v>136</v>
      </c>
      <c r="K56" s="1" t="s">
        <v>74</v>
      </c>
      <c r="L56" s="1" t="s">
        <v>74</v>
      </c>
      <c r="M56" s="1" t="s">
        <v>78</v>
      </c>
      <c r="N56" s="1" t="s">
        <v>79</v>
      </c>
      <c r="O56" s="1" t="s">
        <v>74</v>
      </c>
      <c r="P56" s="1" t="s">
        <v>74</v>
      </c>
      <c r="Q56" s="1" t="s">
        <v>74</v>
      </c>
      <c r="R56" s="1" t="s">
        <v>74</v>
      </c>
      <c r="S56" s="1" t="s">
        <v>74</v>
      </c>
      <c r="T56" s="1" t="s">
        <v>74</v>
      </c>
      <c r="U56" s="1" t="s">
        <v>3300</v>
      </c>
      <c r="V56" s="1" t="s">
        <v>3301</v>
      </c>
      <c r="W56" s="1" t="s">
        <v>3302</v>
      </c>
      <c r="X56" s="1" t="s">
        <v>3303</v>
      </c>
      <c r="Y56" s="1" t="s">
        <v>3304</v>
      </c>
      <c r="Z56" s="1" t="s">
        <v>3305</v>
      </c>
      <c r="AA56" s="1" t="s">
        <v>3306</v>
      </c>
      <c r="AB56" s="1" t="s">
        <v>74</v>
      </c>
      <c r="AC56" s="1" t="s">
        <v>74</v>
      </c>
      <c r="AD56" s="1" t="s">
        <v>74</v>
      </c>
      <c r="AE56" s="1" t="s">
        <v>74</v>
      </c>
      <c r="AF56" s="1" t="s">
        <v>74</v>
      </c>
      <c r="AG56" s="1">
        <v>42</v>
      </c>
      <c r="AH56" s="1">
        <v>451</v>
      </c>
      <c r="AI56" s="1">
        <v>453</v>
      </c>
      <c r="AJ56" s="1">
        <v>12</v>
      </c>
      <c r="AK56" s="1">
        <v>301</v>
      </c>
      <c r="AL56" s="1" t="s">
        <v>232</v>
      </c>
      <c r="AM56" s="1" t="s">
        <v>233</v>
      </c>
      <c r="AN56" s="1" t="s">
        <v>234</v>
      </c>
      <c r="AO56" s="1" t="s">
        <v>147</v>
      </c>
      <c r="AP56" s="1" t="s">
        <v>74</v>
      </c>
      <c r="AQ56" s="1" t="s">
        <v>74</v>
      </c>
      <c r="AR56" s="1" t="s">
        <v>149</v>
      </c>
      <c r="AS56" s="1" t="s">
        <v>150</v>
      </c>
      <c r="AT56" s="1" t="s">
        <v>704</v>
      </c>
      <c r="AU56" s="1">
        <v>2004</v>
      </c>
      <c r="AV56" s="1">
        <v>41</v>
      </c>
      <c r="AW56" s="1">
        <v>2</v>
      </c>
      <c r="AX56" s="1" t="s">
        <v>74</v>
      </c>
      <c r="AY56" s="1" t="s">
        <v>74</v>
      </c>
      <c r="AZ56" s="1" t="s">
        <v>74</v>
      </c>
      <c r="BA56" s="1" t="s">
        <v>74</v>
      </c>
      <c r="BB56" s="1">
        <v>151</v>
      </c>
      <c r="BC56" s="1">
        <v>165</v>
      </c>
      <c r="BD56" s="1" t="s">
        <v>74</v>
      </c>
      <c r="BE56" s="1" t="s">
        <v>3307</v>
      </c>
      <c r="BF56" s="1" t="str">
        <f>HYPERLINK("http://dx.doi.org/10.1509/jmkr.41.2.151.28665","http://dx.doi.org/10.1509/jmkr.41.2.151.28665")</f>
        <v>http://dx.doi.org/10.1509/jmkr.41.2.151.28665</v>
      </c>
      <c r="BG56" s="1" t="s">
        <v>74</v>
      </c>
      <c r="BH56" s="1" t="s">
        <v>74</v>
      </c>
      <c r="BI56" s="1">
        <v>15</v>
      </c>
      <c r="BJ56" s="1" t="s">
        <v>153</v>
      </c>
      <c r="BK56" s="1" t="s">
        <v>101</v>
      </c>
      <c r="BL56" s="1" t="s">
        <v>154</v>
      </c>
      <c r="BM56" s="1" t="s">
        <v>3308</v>
      </c>
      <c r="BN56" s="1" t="s">
        <v>74</v>
      </c>
      <c r="BO56" s="1" t="s">
        <v>74</v>
      </c>
      <c r="BP56" s="1" t="s">
        <v>74</v>
      </c>
      <c r="BQ56" s="1" t="s">
        <v>74</v>
      </c>
      <c r="BR56" s="1" t="s">
        <v>104</v>
      </c>
      <c r="BS56" s="1" t="s">
        <v>3309</v>
      </c>
      <c r="BT56" s="1" t="str">
        <f>HYPERLINK("https%3A%2F%2Fwww.webofscience.com%2Fwos%2Fwoscc%2Ffull-record%2FWOS:000221184300002","View Full Record in Web of Science")</f>
        <v>View Full Record in Web of Science</v>
      </c>
      <c r="BU56" s="1" t="s">
        <v>3776</v>
      </c>
      <c r="BV56" s="1" t="s">
        <v>6080</v>
      </c>
      <c r="BW56" s="1" t="s">
        <v>10653</v>
      </c>
    </row>
    <row r="57" spans="1:75" ht="275.5" x14ac:dyDescent="0.35">
      <c r="A57" s="1" t="s">
        <v>72</v>
      </c>
      <c r="B57" s="1" t="s">
        <v>3310</v>
      </c>
      <c r="C57" s="1" t="s">
        <v>74</v>
      </c>
      <c r="D57" s="1" t="s">
        <v>74</v>
      </c>
      <c r="E57" s="1" t="s">
        <v>74</v>
      </c>
      <c r="F57" s="1" t="s">
        <v>3310</v>
      </c>
      <c r="G57" s="1" t="s">
        <v>74</v>
      </c>
      <c r="H57" s="1" t="s">
        <v>74</v>
      </c>
      <c r="I57" s="1" t="s">
        <v>3311</v>
      </c>
      <c r="J57" s="1" t="s">
        <v>77</v>
      </c>
      <c r="K57" s="1" t="s">
        <v>74</v>
      </c>
      <c r="L57" s="1" t="s">
        <v>74</v>
      </c>
      <c r="M57" s="1" t="s">
        <v>78</v>
      </c>
      <c r="N57" s="1" t="s">
        <v>79</v>
      </c>
      <c r="O57" s="1" t="s">
        <v>74</v>
      </c>
      <c r="P57" s="1" t="s">
        <v>74</v>
      </c>
      <c r="Q57" s="1" t="s">
        <v>74</v>
      </c>
      <c r="R57" s="1" t="s">
        <v>74</v>
      </c>
      <c r="S57" s="1" t="s">
        <v>74</v>
      </c>
      <c r="T57" s="1" t="s">
        <v>74</v>
      </c>
      <c r="U57" s="1" t="s">
        <v>3312</v>
      </c>
      <c r="V57" s="1" t="s">
        <v>3313</v>
      </c>
      <c r="W57" s="1" t="s">
        <v>3314</v>
      </c>
      <c r="X57" s="1" t="s">
        <v>3315</v>
      </c>
      <c r="Y57" s="1" t="s">
        <v>3316</v>
      </c>
      <c r="Z57" s="1" t="s">
        <v>3317</v>
      </c>
      <c r="AA57" s="1" t="s">
        <v>74</v>
      </c>
      <c r="AB57" s="1" t="s">
        <v>74</v>
      </c>
      <c r="AC57" s="1" t="s">
        <v>74</v>
      </c>
      <c r="AD57" s="1" t="s">
        <v>74</v>
      </c>
      <c r="AE57" s="1" t="s">
        <v>74</v>
      </c>
      <c r="AF57" s="1" t="s">
        <v>74</v>
      </c>
      <c r="AG57" s="1">
        <v>45</v>
      </c>
      <c r="AH57" s="1">
        <v>873</v>
      </c>
      <c r="AI57" s="1">
        <v>893</v>
      </c>
      <c r="AJ57" s="1">
        <v>26</v>
      </c>
      <c r="AK57" s="1">
        <v>289</v>
      </c>
      <c r="AL57" s="1" t="s">
        <v>91</v>
      </c>
      <c r="AM57" s="1" t="s">
        <v>92</v>
      </c>
      <c r="AN57" s="1" t="s">
        <v>93</v>
      </c>
      <c r="AO57" s="1" t="s">
        <v>94</v>
      </c>
      <c r="AP57" s="1" t="s">
        <v>95</v>
      </c>
      <c r="AQ57" s="1" t="s">
        <v>74</v>
      </c>
      <c r="AR57" s="1" t="s">
        <v>96</v>
      </c>
      <c r="AS57" s="1" t="s">
        <v>97</v>
      </c>
      <c r="AT57" s="1" t="s">
        <v>177</v>
      </c>
      <c r="AU57" s="1">
        <v>2004</v>
      </c>
      <c r="AV57" s="1">
        <v>86</v>
      </c>
      <c r="AW57" s="1">
        <v>2</v>
      </c>
      <c r="AX57" s="1" t="s">
        <v>74</v>
      </c>
      <c r="AY57" s="1" t="s">
        <v>74</v>
      </c>
      <c r="AZ57" s="1" t="s">
        <v>74</v>
      </c>
      <c r="BA57" s="1" t="s">
        <v>74</v>
      </c>
      <c r="BB57" s="1">
        <v>205</v>
      </c>
      <c r="BC57" s="1">
        <v>218</v>
      </c>
      <c r="BD57" s="1" t="s">
        <v>74</v>
      </c>
      <c r="BE57" s="1" t="s">
        <v>3318</v>
      </c>
      <c r="BF57" s="1" t="str">
        <f>HYPERLINK("http://dx.doi.org/10.1037/0022-3514.86.2.205","http://dx.doi.org/10.1037/0022-3514.86.2.205")</f>
        <v>http://dx.doi.org/10.1037/0022-3514.86.2.205</v>
      </c>
      <c r="BG57" s="1" t="s">
        <v>74</v>
      </c>
      <c r="BH57" s="1" t="s">
        <v>74</v>
      </c>
      <c r="BI57" s="1">
        <v>14</v>
      </c>
      <c r="BJ57" s="1" t="s">
        <v>100</v>
      </c>
      <c r="BK57" s="1" t="s">
        <v>101</v>
      </c>
      <c r="BL57" s="1" t="s">
        <v>102</v>
      </c>
      <c r="BM57" s="1" t="s">
        <v>3319</v>
      </c>
      <c r="BN57" s="1">
        <v>14769079</v>
      </c>
      <c r="BO57" s="1" t="s">
        <v>74</v>
      </c>
      <c r="BP57" s="1" t="s">
        <v>74</v>
      </c>
      <c r="BQ57" s="1" t="s">
        <v>74</v>
      </c>
      <c r="BR57" s="1" t="s">
        <v>104</v>
      </c>
      <c r="BS57" s="1" t="s">
        <v>3320</v>
      </c>
      <c r="BT57" s="1" t="str">
        <f>HYPERLINK("https%3A%2F%2Fwww.webofscience.com%2Fwos%2Fwoscc%2Ffull-record%2FWOS:000188926800001","View Full Record in Web of Science")</f>
        <v>View Full Record in Web of Science</v>
      </c>
      <c r="BU57" s="1" t="s">
        <v>3776</v>
      </c>
      <c r="BV57" s="1" t="s">
        <v>10653</v>
      </c>
    </row>
    <row r="58" spans="1:75" ht="217.5" x14ac:dyDescent="0.35">
      <c r="A58" s="1" t="s">
        <v>72</v>
      </c>
      <c r="B58" s="1" t="s">
        <v>3321</v>
      </c>
      <c r="C58" s="1" t="s">
        <v>74</v>
      </c>
      <c r="D58" s="1" t="s">
        <v>74</v>
      </c>
      <c r="E58" s="1" t="s">
        <v>74</v>
      </c>
      <c r="F58" s="1" t="s">
        <v>3321</v>
      </c>
      <c r="G58" s="1" t="s">
        <v>74</v>
      </c>
      <c r="H58" s="1" t="s">
        <v>74</v>
      </c>
      <c r="I58" s="1" t="s">
        <v>3322</v>
      </c>
      <c r="J58" s="1" t="s">
        <v>3323</v>
      </c>
      <c r="K58" s="1" t="s">
        <v>74</v>
      </c>
      <c r="L58" s="1" t="s">
        <v>74</v>
      </c>
      <c r="M58" s="1" t="s">
        <v>78</v>
      </c>
      <c r="N58" s="1" t="s">
        <v>79</v>
      </c>
      <c r="O58" s="1" t="s">
        <v>74</v>
      </c>
      <c r="P58" s="1" t="s">
        <v>74</v>
      </c>
      <c r="Q58" s="1" t="s">
        <v>74</v>
      </c>
      <c r="R58" s="1" t="s">
        <v>74</v>
      </c>
      <c r="S58" s="1" t="s">
        <v>74</v>
      </c>
      <c r="T58" s="1" t="s">
        <v>3324</v>
      </c>
      <c r="U58" s="1" t="s">
        <v>3325</v>
      </c>
      <c r="V58" s="1" t="s">
        <v>3326</v>
      </c>
      <c r="W58" s="1" t="s">
        <v>3327</v>
      </c>
      <c r="X58" s="1" t="s">
        <v>3328</v>
      </c>
      <c r="Y58" s="1" t="s">
        <v>3329</v>
      </c>
      <c r="Z58" s="1" t="s">
        <v>3330</v>
      </c>
      <c r="AA58" s="1" t="s">
        <v>3331</v>
      </c>
      <c r="AB58" s="1" t="s">
        <v>3332</v>
      </c>
      <c r="AC58" s="1" t="s">
        <v>74</v>
      </c>
      <c r="AD58" s="1" t="s">
        <v>74</v>
      </c>
      <c r="AE58" s="1" t="s">
        <v>74</v>
      </c>
      <c r="AF58" s="1" t="s">
        <v>74</v>
      </c>
      <c r="AG58" s="1">
        <v>91</v>
      </c>
      <c r="AH58" s="1">
        <v>548</v>
      </c>
      <c r="AI58" s="1">
        <v>554</v>
      </c>
      <c r="AJ58" s="1">
        <v>2</v>
      </c>
      <c r="AK58" s="1">
        <v>103</v>
      </c>
      <c r="AL58" s="1" t="s">
        <v>3333</v>
      </c>
      <c r="AM58" s="1" t="s">
        <v>3334</v>
      </c>
      <c r="AN58" s="1" t="s">
        <v>3335</v>
      </c>
      <c r="AO58" s="1" t="s">
        <v>3336</v>
      </c>
      <c r="AP58" s="1" t="s">
        <v>74</v>
      </c>
      <c r="AQ58" s="1" t="s">
        <v>74</v>
      </c>
      <c r="AR58" s="1" t="s">
        <v>3337</v>
      </c>
      <c r="AS58" s="1" t="s">
        <v>3338</v>
      </c>
      <c r="AT58" s="1" t="s">
        <v>74</v>
      </c>
      <c r="AU58" s="1">
        <v>2004</v>
      </c>
      <c r="AV58" s="1">
        <v>30</v>
      </c>
      <c r="AW58" s="1" t="s">
        <v>74</v>
      </c>
      <c r="AX58" s="1" t="s">
        <v>74</v>
      </c>
      <c r="AY58" s="1" t="s">
        <v>74</v>
      </c>
      <c r="AZ58" s="1" t="s">
        <v>74</v>
      </c>
      <c r="BA58" s="1" t="s">
        <v>74</v>
      </c>
      <c r="BB58" s="1">
        <v>65</v>
      </c>
      <c r="BC58" s="1">
        <v>80</v>
      </c>
      <c r="BD58" s="1" t="s">
        <v>74</v>
      </c>
      <c r="BE58" s="1" t="s">
        <v>3339</v>
      </c>
      <c r="BF58" s="1" t="str">
        <f>HYPERLINK("http://dx.doi.org/10.1146/annurev.soc.30.012703.110603","http://dx.doi.org/10.1146/annurev.soc.30.012703.110603")</f>
        <v>http://dx.doi.org/10.1146/annurev.soc.30.012703.110603</v>
      </c>
      <c r="BG58" s="1" t="s">
        <v>74</v>
      </c>
      <c r="BH58" s="1" t="s">
        <v>74</v>
      </c>
      <c r="BI58" s="1">
        <v>16</v>
      </c>
      <c r="BJ58" s="1" t="s">
        <v>365</v>
      </c>
      <c r="BK58" s="1" t="s">
        <v>101</v>
      </c>
      <c r="BL58" s="1" t="s">
        <v>365</v>
      </c>
      <c r="BM58" s="1" t="s">
        <v>3340</v>
      </c>
      <c r="BN58" s="1" t="s">
        <v>74</v>
      </c>
      <c r="BO58" s="1" t="s">
        <v>74</v>
      </c>
      <c r="BP58" s="1" t="s">
        <v>74</v>
      </c>
      <c r="BQ58" s="1" t="s">
        <v>74</v>
      </c>
      <c r="BR58" s="1" t="s">
        <v>104</v>
      </c>
      <c r="BS58" s="1" t="s">
        <v>3341</v>
      </c>
      <c r="BT58" s="1" t="str">
        <f>HYPERLINK("https%3A%2F%2Fwww.webofscience.com%2Fwos%2Fwoscc%2Ffull-record%2FWOS:000223503200004","View Full Record in Web of Science")</f>
        <v>View Full Record in Web of Science</v>
      </c>
      <c r="BU58" s="1" t="s">
        <v>3776</v>
      </c>
      <c r="BV58" s="1" t="s">
        <v>10653</v>
      </c>
    </row>
    <row r="59" spans="1:75" ht="275.5" x14ac:dyDescent="0.35">
      <c r="A59" s="1" t="s">
        <v>72</v>
      </c>
      <c r="B59" s="1" t="s">
        <v>314</v>
      </c>
      <c r="C59" s="1" t="s">
        <v>74</v>
      </c>
      <c r="D59" s="1" t="s">
        <v>74</v>
      </c>
      <c r="E59" s="1" t="s">
        <v>74</v>
      </c>
      <c r="F59" s="1" t="s">
        <v>314</v>
      </c>
      <c r="G59" s="1" t="s">
        <v>74</v>
      </c>
      <c r="H59" s="1" t="s">
        <v>74</v>
      </c>
      <c r="I59" s="1" t="s">
        <v>315</v>
      </c>
      <c r="J59" s="1" t="s">
        <v>316</v>
      </c>
      <c r="K59" s="1" t="s">
        <v>74</v>
      </c>
      <c r="L59" s="1" t="s">
        <v>74</v>
      </c>
      <c r="M59" s="1" t="s">
        <v>78</v>
      </c>
      <c r="N59" s="1" t="s">
        <v>79</v>
      </c>
      <c r="O59" s="1" t="s">
        <v>74</v>
      </c>
      <c r="P59" s="1" t="s">
        <v>74</v>
      </c>
      <c r="Q59" s="1" t="s">
        <v>74</v>
      </c>
      <c r="R59" s="1" t="s">
        <v>74</v>
      </c>
      <c r="S59" s="1" t="s">
        <v>74</v>
      </c>
      <c r="T59" s="1" t="s">
        <v>317</v>
      </c>
      <c r="U59" s="1" t="s">
        <v>318</v>
      </c>
      <c r="V59" s="1" t="s">
        <v>319</v>
      </c>
      <c r="W59" s="1" t="s">
        <v>320</v>
      </c>
      <c r="X59" s="1" t="s">
        <v>321</v>
      </c>
      <c r="Y59" s="1" t="s">
        <v>322</v>
      </c>
      <c r="Z59" s="1" t="s">
        <v>323</v>
      </c>
      <c r="AA59" s="1" t="s">
        <v>74</v>
      </c>
      <c r="AB59" s="1" t="s">
        <v>74</v>
      </c>
      <c r="AC59" s="1" t="s">
        <v>74</v>
      </c>
      <c r="AD59" s="1" t="s">
        <v>74</v>
      </c>
      <c r="AE59" s="1" t="s">
        <v>74</v>
      </c>
      <c r="AF59" s="1" t="s">
        <v>74</v>
      </c>
      <c r="AG59" s="1">
        <v>48</v>
      </c>
      <c r="AH59" s="1">
        <v>62</v>
      </c>
      <c r="AI59" s="1">
        <v>63</v>
      </c>
      <c r="AJ59" s="1">
        <v>0</v>
      </c>
      <c r="AK59" s="1">
        <v>12</v>
      </c>
      <c r="AL59" s="1" t="s">
        <v>324</v>
      </c>
      <c r="AM59" s="1" t="s">
        <v>325</v>
      </c>
      <c r="AN59" s="1" t="s">
        <v>326</v>
      </c>
      <c r="AO59" s="1" t="s">
        <v>327</v>
      </c>
      <c r="AP59" s="1" t="s">
        <v>74</v>
      </c>
      <c r="AQ59" s="1" t="s">
        <v>74</v>
      </c>
      <c r="AR59" s="1" t="s">
        <v>328</v>
      </c>
      <c r="AS59" s="1" t="s">
        <v>329</v>
      </c>
      <c r="AT59" s="1" t="s">
        <v>330</v>
      </c>
      <c r="AU59" s="1">
        <v>2005</v>
      </c>
      <c r="AV59" s="1">
        <v>29</v>
      </c>
      <c r="AW59" s="1">
        <v>2</v>
      </c>
      <c r="AX59" s="1" t="s">
        <v>74</v>
      </c>
      <c r="AY59" s="1" t="s">
        <v>74</v>
      </c>
      <c r="AZ59" s="1" t="s">
        <v>74</v>
      </c>
      <c r="BA59" s="1" t="s">
        <v>74</v>
      </c>
      <c r="BB59" s="1">
        <v>195</v>
      </c>
      <c r="BC59" s="1">
        <v>221</v>
      </c>
      <c r="BD59" s="1" t="s">
        <v>74</v>
      </c>
      <c r="BE59" s="1" t="s">
        <v>331</v>
      </c>
      <c r="BF59" s="1" t="str">
        <f>HYPERLINK("http://dx.doi.org/10.1207/s15516709cog0000_10","http://dx.doi.org/10.1207/s15516709cog0000_10")</f>
        <v>http://dx.doi.org/10.1207/s15516709cog0000_10</v>
      </c>
      <c r="BG59" s="1" t="s">
        <v>74</v>
      </c>
      <c r="BH59" s="1" t="s">
        <v>74</v>
      </c>
      <c r="BI59" s="1">
        <v>27</v>
      </c>
      <c r="BJ59" s="1" t="s">
        <v>332</v>
      </c>
      <c r="BK59" s="1" t="s">
        <v>101</v>
      </c>
      <c r="BL59" s="1" t="s">
        <v>102</v>
      </c>
      <c r="BM59" s="1" t="s">
        <v>333</v>
      </c>
      <c r="BN59" s="1">
        <v>21702772</v>
      </c>
      <c r="BO59" s="1" t="s">
        <v>334</v>
      </c>
      <c r="BP59" s="1" t="s">
        <v>74</v>
      </c>
      <c r="BQ59" s="1" t="s">
        <v>74</v>
      </c>
      <c r="BR59" s="1" t="s">
        <v>104</v>
      </c>
      <c r="BS59" s="1" t="s">
        <v>335</v>
      </c>
      <c r="BT59" s="1" t="str">
        <f>HYPERLINK("https%3A%2F%2Fwww.webofscience.com%2Fwos%2Fwoscc%2Ffull-record%2FWOS:000228054800002","View Full Record in Web of Science")</f>
        <v>View Full Record in Web of Science</v>
      </c>
      <c r="BU59" s="1" t="s">
        <v>2040</v>
      </c>
      <c r="BV59" s="1" t="s">
        <v>10653</v>
      </c>
    </row>
    <row r="60" spans="1:75" ht="377" x14ac:dyDescent="0.35">
      <c r="A60" s="1" t="s">
        <v>72</v>
      </c>
      <c r="B60" s="1" t="s">
        <v>607</v>
      </c>
      <c r="C60" s="1" t="s">
        <v>74</v>
      </c>
      <c r="D60" s="1" t="s">
        <v>74</v>
      </c>
      <c r="E60" s="1" t="s">
        <v>74</v>
      </c>
      <c r="F60" s="1" t="s">
        <v>607</v>
      </c>
      <c r="G60" s="1" t="s">
        <v>74</v>
      </c>
      <c r="H60" s="1" t="s">
        <v>74</v>
      </c>
      <c r="I60" s="1" t="s">
        <v>608</v>
      </c>
      <c r="J60" s="1" t="s">
        <v>609</v>
      </c>
      <c r="K60" s="1" t="s">
        <v>74</v>
      </c>
      <c r="L60" s="1" t="s">
        <v>74</v>
      </c>
      <c r="M60" s="1" t="s">
        <v>78</v>
      </c>
      <c r="N60" s="1" t="s">
        <v>110</v>
      </c>
      <c r="O60" s="1" t="s">
        <v>74</v>
      </c>
      <c r="P60" s="1" t="s">
        <v>74</v>
      </c>
      <c r="Q60" s="1" t="s">
        <v>74</v>
      </c>
      <c r="R60" s="1" t="s">
        <v>74</v>
      </c>
      <c r="S60" s="1" t="s">
        <v>74</v>
      </c>
      <c r="T60" s="1" t="s">
        <v>74</v>
      </c>
      <c r="U60" s="1" t="s">
        <v>610</v>
      </c>
      <c r="V60" s="1" t="s">
        <v>611</v>
      </c>
      <c r="W60" s="1" t="s">
        <v>612</v>
      </c>
      <c r="X60" s="1" t="s">
        <v>613</v>
      </c>
      <c r="Y60" s="1" t="s">
        <v>614</v>
      </c>
      <c r="Z60" s="1" t="s">
        <v>615</v>
      </c>
      <c r="AA60" s="1" t="s">
        <v>616</v>
      </c>
      <c r="AB60" s="1" t="s">
        <v>74</v>
      </c>
      <c r="AC60" s="1" t="s">
        <v>74</v>
      </c>
      <c r="AD60" s="1" t="s">
        <v>74</v>
      </c>
      <c r="AE60" s="1" t="s">
        <v>74</v>
      </c>
      <c r="AF60" s="1" t="s">
        <v>74</v>
      </c>
      <c r="AG60" s="1">
        <v>137</v>
      </c>
      <c r="AH60" s="1">
        <v>277</v>
      </c>
      <c r="AI60" s="1">
        <v>281</v>
      </c>
      <c r="AJ60" s="1">
        <v>3</v>
      </c>
      <c r="AK60" s="1">
        <v>138</v>
      </c>
      <c r="AL60" s="1" t="s">
        <v>144</v>
      </c>
      <c r="AM60" s="1" t="s">
        <v>145</v>
      </c>
      <c r="AN60" s="1" t="s">
        <v>146</v>
      </c>
      <c r="AO60" s="1" t="s">
        <v>617</v>
      </c>
      <c r="AP60" s="1" t="s">
        <v>618</v>
      </c>
      <c r="AQ60" s="1" t="s">
        <v>74</v>
      </c>
      <c r="AR60" s="1" t="s">
        <v>619</v>
      </c>
      <c r="AS60" s="1" t="s">
        <v>620</v>
      </c>
      <c r="AT60" s="1" t="s">
        <v>177</v>
      </c>
      <c r="AU60" s="1">
        <v>2005</v>
      </c>
      <c r="AV60" s="1">
        <v>70</v>
      </c>
      <c r="AW60" s="1">
        <v>1</v>
      </c>
      <c r="AX60" s="1" t="s">
        <v>74</v>
      </c>
      <c r="AY60" s="1" t="s">
        <v>74</v>
      </c>
      <c r="AZ60" s="1" t="s">
        <v>74</v>
      </c>
      <c r="BA60" s="1" t="s">
        <v>74</v>
      </c>
      <c r="BB60" s="1">
        <v>29</v>
      </c>
      <c r="BC60" s="1">
        <v>52</v>
      </c>
      <c r="BD60" s="1" t="s">
        <v>74</v>
      </c>
      <c r="BE60" s="1" t="s">
        <v>621</v>
      </c>
      <c r="BF60" s="1" t="str">
        <f>HYPERLINK("http://dx.doi.org/10.1177/000312240507000103","http://dx.doi.org/10.1177/000312240507000103")</f>
        <v>http://dx.doi.org/10.1177/000312240507000103</v>
      </c>
      <c r="BG60" s="1" t="s">
        <v>74</v>
      </c>
      <c r="BH60" s="1" t="s">
        <v>74</v>
      </c>
      <c r="BI60" s="1">
        <v>24</v>
      </c>
      <c r="BJ60" s="1" t="s">
        <v>365</v>
      </c>
      <c r="BK60" s="1" t="s">
        <v>101</v>
      </c>
      <c r="BL60" s="1" t="s">
        <v>365</v>
      </c>
      <c r="BM60" s="1" t="s">
        <v>622</v>
      </c>
      <c r="BN60" s="1" t="s">
        <v>74</v>
      </c>
      <c r="BO60" s="1" t="s">
        <v>74</v>
      </c>
      <c r="BP60" s="1" t="s">
        <v>74</v>
      </c>
      <c r="BQ60" s="1" t="s">
        <v>74</v>
      </c>
      <c r="BR60" s="1" t="s">
        <v>104</v>
      </c>
      <c r="BS60" s="1" t="s">
        <v>623</v>
      </c>
      <c r="BT60" s="1" t="str">
        <f>HYPERLINK("https%3A%2F%2Fwww.webofscience.com%2Fwos%2Fwoscc%2Ffull-record%2FWOS:000229328500003","View Full Record in Web of Science")</f>
        <v>View Full Record in Web of Science</v>
      </c>
      <c r="BU60" s="1" t="s">
        <v>2040</v>
      </c>
      <c r="BV60" s="1" t="s">
        <v>10653</v>
      </c>
    </row>
    <row r="61" spans="1:75" ht="304.5" x14ac:dyDescent="0.35">
      <c r="A61" s="1" t="s">
        <v>72</v>
      </c>
      <c r="B61" s="1" t="s">
        <v>1936</v>
      </c>
      <c r="C61" s="1" t="s">
        <v>74</v>
      </c>
      <c r="D61" s="1" t="s">
        <v>74</v>
      </c>
      <c r="E61" s="1" t="s">
        <v>74</v>
      </c>
      <c r="F61" s="1" t="s">
        <v>1936</v>
      </c>
      <c r="G61" s="1" t="s">
        <v>74</v>
      </c>
      <c r="H61" s="1" t="s">
        <v>74</v>
      </c>
      <c r="I61" s="1" t="s">
        <v>1937</v>
      </c>
      <c r="J61" s="1" t="s">
        <v>848</v>
      </c>
      <c r="K61" s="1" t="s">
        <v>74</v>
      </c>
      <c r="L61" s="1" t="s">
        <v>74</v>
      </c>
      <c r="M61" s="1" t="s">
        <v>78</v>
      </c>
      <c r="N61" s="1" t="s">
        <v>79</v>
      </c>
      <c r="O61" s="1" t="s">
        <v>74</v>
      </c>
      <c r="P61" s="1" t="s">
        <v>74</v>
      </c>
      <c r="Q61" s="1" t="s">
        <v>74</v>
      </c>
      <c r="R61" s="1" t="s">
        <v>74</v>
      </c>
      <c r="S61" s="1" t="s">
        <v>74</v>
      </c>
      <c r="T61" s="1" t="s">
        <v>74</v>
      </c>
      <c r="U61" s="1" t="s">
        <v>1938</v>
      </c>
      <c r="V61" s="1" t="s">
        <v>1939</v>
      </c>
      <c r="W61" s="1" t="s">
        <v>1940</v>
      </c>
      <c r="X61" s="1" t="s">
        <v>916</v>
      </c>
      <c r="Y61" s="1" t="s">
        <v>1941</v>
      </c>
      <c r="Z61" s="1" t="s">
        <v>1942</v>
      </c>
      <c r="AA61" s="1" t="s">
        <v>1943</v>
      </c>
      <c r="AB61" s="1" t="s">
        <v>1944</v>
      </c>
      <c r="AC61" s="1" t="s">
        <v>74</v>
      </c>
      <c r="AD61" s="1" t="s">
        <v>74</v>
      </c>
      <c r="AE61" s="1" t="s">
        <v>74</v>
      </c>
      <c r="AF61" s="1" t="s">
        <v>74</v>
      </c>
      <c r="AG61" s="1">
        <v>87</v>
      </c>
      <c r="AH61" s="1">
        <v>98</v>
      </c>
      <c r="AI61" s="1">
        <v>98</v>
      </c>
      <c r="AJ61" s="1">
        <v>0</v>
      </c>
      <c r="AK61" s="1">
        <v>31</v>
      </c>
      <c r="AL61" s="1" t="s">
        <v>409</v>
      </c>
      <c r="AM61" s="1" t="s">
        <v>410</v>
      </c>
      <c r="AN61" s="1" t="s">
        <v>411</v>
      </c>
      <c r="AO61" s="1" t="s">
        <v>856</v>
      </c>
      <c r="AP61" s="1" t="s">
        <v>1945</v>
      </c>
      <c r="AQ61" s="1" t="s">
        <v>74</v>
      </c>
      <c r="AR61" s="1" t="s">
        <v>848</v>
      </c>
      <c r="AS61" s="1" t="s">
        <v>857</v>
      </c>
      <c r="AT61" s="1" t="s">
        <v>1946</v>
      </c>
      <c r="AU61" s="1">
        <v>2005</v>
      </c>
      <c r="AV61" s="1">
        <v>33</v>
      </c>
      <c r="AW61" s="1" t="s">
        <v>1947</v>
      </c>
      <c r="AX61" s="1" t="s">
        <v>74</v>
      </c>
      <c r="AY61" s="1" t="s">
        <v>74</v>
      </c>
      <c r="AZ61" s="1" t="s">
        <v>74</v>
      </c>
      <c r="BA61" s="1" t="s">
        <v>74</v>
      </c>
      <c r="BB61" s="1">
        <v>227</v>
      </c>
      <c r="BC61" s="1">
        <v>252</v>
      </c>
      <c r="BD61" s="1" t="s">
        <v>74</v>
      </c>
      <c r="BE61" s="1" t="s">
        <v>1948</v>
      </c>
      <c r="BF61" s="1" t="str">
        <f>HYPERLINK("http://dx.doi.org/10.1016/j.poetic.2005.09.011","http://dx.doi.org/10.1016/j.poetic.2005.09.011")</f>
        <v>http://dx.doi.org/10.1016/j.poetic.2005.09.011</v>
      </c>
      <c r="BG61" s="1" t="s">
        <v>74</v>
      </c>
      <c r="BH61" s="1" t="s">
        <v>74</v>
      </c>
      <c r="BI61" s="1">
        <v>26</v>
      </c>
      <c r="BJ61" s="1" t="s">
        <v>859</v>
      </c>
      <c r="BK61" s="1" t="s">
        <v>860</v>
      </c>
      <c r="BL61" s="1" t="s">
        <v>859</v>
      </c>
      <c r="BM61" s="1" t="s">
        <v>1949</v>
      </c>
      <c r="BN61" s="1" t="s">
        <v>74</v>
      </c>
      <c r="BO61" s="1" t="s">
        <v>156</v>
      </c>
      <c r="BP61" s="1" t="s">
        <v>74</v>
      </c>
      <c r="BQ61" s="1" t="s">
        <v>74</v>
      </c>
      <c r="BR61" s="1" t="s">
        <v>104</v>
      </c>
      <c r="BS61" s="1" t="s">
        <v>1950</v>
      </c>
      <c r="BT61" s="1" t="str">
        <f>HYPERLINK("https%3A%2F%2Fwww.webofscience.com%2Fwos%2Fwoscc%2Ffull-record%2FWOS:000233789700005","View Full Record in Web of Science")</f>
        <v>View Full Record in Web of Science</v>
      </c>
      <c r="BU61" s="1" t="s">
        <v>2040</v>
      </c>
      <c r="BV61" s="1" t="s">
        <v>10653</v>
      </c>
    </row>
    <row r="62" spans="1:75" ht="304.5" x14ac:dyDescent="0.35">
      <c r="A62" s="1" t="s">
        <v>72</v>
      </c>
      <c r="B62" s="1" t="s">
        <v>1936</v>
      </c>
      <c r="C62" s="1" t="s">
        <v>74</v>
      </c>
      <c r="D62" s="1" t="s">
        <v>74</v>
      </c>
      <c r="E62" s="1" t="s">
        <v>74</v>
      </c>
      <c r="F62" s="1" t="s">
        <v>1936</v>
      </c>
      <c r="G62" s="1" t="s">
        <v>74</v>
      </c>
      <c r="H62" s="1" t="s">
        <v>74</v>
      </c>
      <c r="I62" s="1" t="s">
        <v>1937</v>
      </c>
      <c r="J62" s="1" t="s">
        <v>848</v>
      </c>
      <c r="K62" s="1" t="s">
        <v>74</v>
      </c>
      <c r="L62" s="1" t="s">
        <v>74</v>
      </c>
      <c r="M62" s="1" t="s">
        <v>78</v>
      </c>
      <c r="N62" s="1" t="s">
        <v>79</v>
      </c>
      <c r="O62" s="1" t="s">
        <v>74</v>
      </c>
      <c r="P62" s="1" t="s">
        <v>74</v>
      </c>
      <c r="Q62" s="1" t="s">
        <v>74</v>
      </c>
      <c r="R62" s="1" t="s">
        <v>74</v>
      </c>
      <c r="S62" s="1" t="s">
        <v>74</v>
      </c>
      <c r="T62" s="1" t="s">
        <v>74</v>
      </c>
      <c r="U62" s="1" t="s">
        <v>1938</v>
      </c>
      <c r="V62" s="1" t="s">
        <v>1939</v>
      </c>
      <c r="W62" s="1" t="s">
        <v>1940</v>
      </c>
      <c r="X62" s="1" t="s">
        <v>916</v>
      </c>
      <c r="Y62" s="1" t="s">
        <v>1941</v>
      </c>
      <c r="Z62" s="1" t="s">
        <v>1942</v>
      </c>
      <c r="AA62" s="1" t="s">
        <v>1943</v>
      </c>
      <c r="AB62" s="1" t="s">
        <v>1944</v>
      </c>
      <c r="AC62" s="1" t="s">
        <v>74</v>
      </c>
      <c r="AD62" s="1" t="s">
        <v>74</v>
      </c>
      <c r="AE62" s="1" t="s">
        <v>74</v>
      </c>
      <c r="AF62" s="1" t="s">
        <v>74</v>
      </c>
      <c r="AG62" s="1">
        <v>87</v>
      </c>
      <c r="AH62" s="1">
        <v>98</v>
      </c>
      <c r="AI62" s="1">
        <v>98</v>
      </c>
      <c r="AJ62" s="1">
        <v>0</v>
      </c>
      <c r="AK62" s="1">
        <v>31</v>
      </c>
      <c r="AL62" s="1" t="s">
        <v>409</v>
      </c>
      <c r="AM62" s="1" t="s">
        <v>410</v>
      </c>
      <c r="AN62" s="1" t="s">
        <v>411</v>
      </c>
      <c r="AO62" s="1" t="s">
        <v>856</v>
      </c>
      <c r="AP62" s="1" t="s">
        <v>1945</v>
      </c>
      <c r="AQ62" s="1" t="s">
        <v>74</v>
      </c>
      <c r="AR62" s="1" t="s">
        <v>848</v>
      </c>
      <c r="AS62" s="1" t="s">
        <v>857</v>
      </c>
      <c r="AT62" s="1" t="s">
        <v>1946</v>
      </c>
      <c r="AU62" s="1">
        <v>2005</v>
      </c>
      <c r="AV62" s="1">
        <v>33</v>
      </c>
      <c r="AW62" s="1" t="s">
        <v>1947</v>
      </c>
      <c r="AX62" s="1" t="s">
        <v>74</v>
      </c>
      <c r="AY62" s="1" t="s">
        <v>74</v>
      </c>
      <c r="AZ62" s="1" t="s">
        <v>74</v>
      </c>
      <c r="BA62" s="1" t="s">
        <v>74</v>
      </c>
      <c r="BB62" s="1">
        <v>227</v>
      </c>
      <c r="BC62" s="1">
        <v>252</v>
      </c>
      <c r="BD62" s="1" t="s">
        <v>74</v>
      </c>
      <c r="BE62" s="1" t="s">
        <v>1948</v>
      </c>
      <c r="BF62" s="1" t="str">
        <f>HYPERLINK("http://dx.doi.org/10.1016/j.poetic.2005.09.011","http://dx.doi.org/10.1016/j.poetic.2005.09.011")</f>
        <v>http://dx.doi.org/10.1016/j.poetic.2005.09.011</v>
      </c>
      <c r="BG62" s="1" t="s">
        <v>74</v>
      </c>
      <c r="BH62" s="1" t="s">
        <v>74</v>
      </c>
      <c r="BI62" s="1">
        <v>26</v>
      </c>
      <c r="BJ62" s="1" t="s">
        <v>859</v>
      </c>
      <c r="BK62" s="1" t="s">
        <v>860</v>
      </c>
      <c r="BL62" s="1" t="s">
        <v>859</v>
      </c>
      <c r="BM62" s="1" t="s">
        <v>1949</v>
      </c>
      <c r="BN62" s="1" t="s">
        <v>74</v>
      </c>
      <c r="BO62" s="1" t="s">
        <v>156</v>
      </c>
      <c r="BP62" s="1" t="s">
        <v>74</v>
      </c>
      <c r="BQ62" s="1" t="s">
        <v>74</v>
      </c>
      <c r="BR62" s="1" t="s">
        <v>104</v>
      </c>
      <c r="BS62" s="1" t="s">
        <v>1950</v>
      </c>
      <c r="BT62" s="1" t="str">
        <f>HYPERLINK("https%3A%2F%2Fwww.webofscience.com%2Fwos%2Fwoscc%2Ffull-record%2FWOS:000233789700005","View Full Record in Web of Science")</f>
        <v>View Full Record in Web of Science</v>
      </c>
      <c r="BU62" s="1" t="s">
        <v>3776</v>
      </c>
      <c r="BV62" s="1" t="s">
        <v>10653</v>
      </c>
    </row>
    <row r="63" spans="1:75" ht="174" x14ac:dyDescent="0.35">
      <c r="A63" s="1" t="s">
        <v>72</v>
      </c>
      <c r="B63" s="1" t="s">
        <v>473</v>
      </c>
      <c r="C63" s="1" t="s">
        <v>74</v>
      </c>
      <c r="D63" s="1" t="s">
        <v>74</v>
      </c>
      <c r="E63" s="1" t="s">
        <v>74</v>
      </c>
      <c r="F63" s="1" t="s">
        <v>474</v>
      </c>
      <c r="G63" s="1" t="s">
        <v>74</v>
      </c>
      <c r="H63" s="1" t="s">
        <v>74</v>
      </c>
      <c r="I63" s="1" t="s">
        <v>475</v>
      </c>
      <c r="J63" s="1" t="s">
        <v>136</v>
      </c>
      <c r="K63" s="1" t="s">
        <v>74</v>
      </c>
      <c r="L63" s="1" t="s">
        <v>74</v>
      </c>
      <c r="M63" s="1" t="s">
        <v>78</v>
      </c>
      <c r="N63" s="1" t="s">
        <v>79</v>
      </c>
      <c r="O63" s="1" t="s">
        <v>74</v>
      </c>
      <c r="P63" s="1" t="s">
        <v>74</v>
      </c>
      <c r="Q63" s="1" t="s">
        <v>74</v>
      </c>
      <c r="R63" s="1" t="s">
        <v>74</v>
      </c>
      <c r="S63" s="1" t="s">
        <v>74</v>
      </c>
      <c r="T63" s="1" t="s">
        <v>74</v>
      </c>
      <c r="U63" s="1" t="s">
        <v>74</v>
      </c>
      <c r="V63" s="1" t="s">
        <v>476</v>
      </c>
      <c r="W63" s="1" t="s">
        <v>477</v>
      </c>
      <c r="X63" s="1" t="s">
        <v>478</v>
      </c>
      <c r="Y63" s="1" t="s">
        <v>479</v>
      </c>
      <c r="Z63" s="1" t="s">
        <v>480</v>
      </c>
      <c r="AA63" s="1" t="s">
        <v>481</v>
      </c>
      <c r="AB63" s="1" t="s">
        <v>74</v>
      </c>
      <c r="AC63" s="1" t="s">
        <v>74</v>
      </c>
      <c r="AD63" s="1" t="s">
        <v>74</v>
      </c>
      <c r="AE63" s="1" t="s">
        <v>74</v>
      </c>
      <c r="AF63" s="1" t="s">
        <v>74</v>
      </c>
      <c r="AG63" s="1">
        <v>12</v>
      </c>
      <c r="AH63" s="1">
        <v>2934</v>
      </c>
      <c r="AI63" s="1">
        <v>3009</v>
      </c>
      <c r="AJ63" s="1">
        <v>52</v>
      </c>
      <c r="AK63" s="1">
        <v>1089</v>
      </c>
      <c r="AL63" s="1" t="s">
        <v>144</v>
      </c>
      <c r="AM63" s="1" t="s">
        <v>145</v>
      </c>
      <c r="AN63" s="1" t="s">
        <v>146</v>
      </c>
      <c r="AO63" s="1" t="s">
        <v>147</v>
      </c>
      <c r="AP63" s="1" t="s">
        <v>148</v>
      </c>
      <c r="AQ63" s="1" t="s">
        <v>74</v>
      </c>
      <c r="AR63" s="1" t="s">
        <v>149</v>
      </c>
      <c r="AS63" s="1" t="s">
        <v>150</v>
      </c>
      <c r="AT63" s="1" t="s">
        <v>469</v>
      </c>
      <c r="AU63" s="1">
        <v>2006</v>
      </c>
      <c r="AV63" s="1">
        <v>43</v>
      </c>
      <c r="AW63" s="1">
        <v>3</v>
      </c>
      <c r="AX63" s="1" t="s">
        <v>74</v>
      </c>
      <c r="AY63" s="1" t="s">
        <v>74</v>
      </c>
      <c r="AZ63" s="1" t="s">
        <v>74</v>
      </c>
      <c r="BA63" s="1" t="s">
        <v>74</v>
      </c>
      <c r="BB63" s="1">
        <v>345</v>
      </c>
      <c r="BC63" s="1">
        <v>354</v>
      </c>
      <c r="BD63" s="1" t="s">
        <v>74</v>
      </c>
      <c r="BE63" s="1" t="s">
        <v>482</v>
      </c>
      <c r="BF63" s="1" t="str">
        <f>HYPERLINK("http://dx.doi.org/10.1509/jmkr.43.3.345","http://dx.doi.org/10.1509/jmkr.43.3.345")</f>
        <v>http://dx.doi.org/10.1509/jmkr.43.3.345</v>
      </c>
      <c r="BG63" s="1" t="s">
        <v>74</v>
      </c>
      <c r="BH63" s="1" t="s">
        <v>74</v>
      </c>
      <c r="BI63" s="1">
        <v>10</v>
      </c>
      <c r="BJ63" s="1" t="s">
        <v>153</v>
      </c>
      <c r="BK63" s="1" t="s">
        <v>101</v>
      </c>
      <c r="BL63" s="1" t="s">
        <v>154</v>
      </c>
      <c r="BM63" s="1" t="s">
        <v>483</v>
      </c>
      <c r="BN63" s="1" t="s">
        <v>74</v>
      </c>
      <c r="BO63" s="1" t="s">
        <v>484</v>
      </c>
      <c r="BP63" s="1" t="s">
        <v>74</v>
      </c>
      <c r="BQ63" s="1" t="s">
        <v>74</v>
      </c>
      <c r="BR63" s="1" t="s">
        <v>104</v>
      </c>
      <c r="BS63" s="1" t="s">
        <v>485</v>
      </c>
      <c r="BT63" s="1" t="str">
        <f>HYPERLINK("https%3A%2F%2Fwww.webofscience.com%2Fwos%2Fwoscc%2Ffull-record%2FWOS:000239878300005","View Full Record in Web of Science")</f>
        <v>View Full Record in Web of Science</v>
      </c>
      <c r="BU63" s="1" t="s">
        <v>2040</v>
      </c>
      <c r="BV63" s="1" t="s">
        <v>6080</v>
      </c>
      <c r="BW63" s="1" t="s">
        <v>6080</v>
      </c>
    </row>
    <row r="64" spans="1:75" ht="203" x14ac:dyDescent="0.35">
      <c r="A64" s="1" t="s">
        <v>72</v>
      </c>
      <c r="B64" s="1" t="s">
        <v>1683</v>
      </c>
      <c r="C64" s="1" t="s">
        <v>74</v>
      </c>
      <c r="D64" s="1" t="s">
        <v>74</v>
      </c>
      <c r="E64" s="1" t="s">
        <v>74</v>
      </c>
      <c r="F64" s="1" t="s">
        <v>1683</v>
      </c>
      <c r="G64" s="1" t="s">
        <v>74</v>
      </c>
      <c r="H64" s="1" t="s">
        <v>74</v>
      </c>
      <c r="I64" s="1" t="s">
        <v>1684</v>
      </c>
      <c r="J64" s="1" t="s">
        <v>1685</v>
      </c>
      <c r="K64" s="1" t="s">
        <v>74</v>
      </c>
      <c r="L64" s="1" t="s">
        <v>74</v>
      </c>
      <c r="M64" s="1" t="s">
        <v>78</v>
      </c>
      <c r="N64" s="1" t="s">
        <v>79</v>
      </c>
      <c r="O64" s="1" t="s">
        <v>74</v>
      </c>
      <c r="P64" s="1" t="s">
        <v>74</v>
      </c>
      <c r="Q64" s="1" t="s">
        <v>74</v>
      </c>
      <c r="R64" s="1" t="s">
        <v>74</v>
      </c>
      <c r="S64" s="1" t="s">
        <v>74</v>
      </c>
      <c r="T64" s="1" t="s">
        <v>74</v>
      </c>
      <c r="U64" s="1" t="s">
        <v>1686</v>
      </c>
      <c r="V64" s="1" t="s">
        <v>1687</v>
      </c>
      <c r="W64" s="1" t="s">
        <v>1688</v>
      </c>
      <c r="X64" s="1" t="s">
        <v>1689</v>
      </c>
      <c r="Y64" s="1" t="s">
        <v>1690</v>
      </c>
      <c r="Z64" s="1" t="s">
        <v>1691</v>
      </c>
      <c r="AA64" s="1" t="s">
        <v>1692</v>
      </c>
      <c r="AB64" s="1" t="s">
        <v>1693</v>
      </c>
      <c r="AC64" s="1" t="s">
        <v>74</v>
      </c>
      <c r="AD64" s="1" t="s">
        <v>74</v>
      </c>
      <c r="AE64" s="1" t="s">
        <v>74</v>
      </c>
      <c r="AF64" s="1" t="s">
        <v>74</v>
      </c>
      <c r="AG64" s="1">
        <v>19</v>
      </c>
      <c r="AH64" s="1">
        <v>1053</v>
      </c>
      <c r="AI64" s="1">
        <v>1070</v>
      </c>
      <c r="AJ64" s="1">
        <v>13</v>
      </c>
      <c r="AK64" s="1">
        <v>228</v>
      </c>
      <c r="AL64" s="1" t="s">
        <v>1694</v>
      </c>
      <c r="AM64" s="1" t="s">
        <v>92</v>
      </c>
      <c r="AN64" s="1" t="s">
        <v>1695</v>
      </c>
      <c r="AO64" s="1" t="s">
        <v>1696</v>
      </c>
      <c r="AP64" s="1" t="s">
        <v>1697</v>
      </c>
      <c r="AQ64" s="1" t="s">
        <v>74</v>
      </c>
      <c r="AR64" s="1" t="s">
        <v>1685</v>
      </c>
      <c r="AS64" s="1" t="s">
        <v>1698</v>
      </c>
      <c r="AT64" s="1" t="s">
        <v>1699</v>
      </c>
      <c r="AU64" s="1">
        <v>2006</v>
      </c>
      <c r="AV64" s="1">
        <v>311</v>
      </c>
      <c r="AW64" s="1">
        <v>5762</v>
      </c>
      <c r="AX64" s="1" t="s">
        <v>74</v>
      </c>
      <c r="AY64" s="1" t="s">
        <v>74</v>
      </c>
      <c r="AZ64" s="1" t="s">
        <v>74</v>
      </c>
      <c r="BA64" s="1" t="s">
        <v>74</v>
      </c>
      <c r="BB64" s="1">
        <v>854</v>
      </c>
      <c r="BC64" s="1">
        <v>856</v>
      </c>
      <c r="BD64" s="1" t="s">
        <v>74</v>
      </c>
      <c r="BE64" s="1" t="s">
        <v>1700</v>
      </c>
      <c r="BF64" s="1" t="str">
        <f>HYPERLINK("http://dx.doi.org/10.1126/science.1121066","http://dx.doi.org/10.1126/science.1121066")</f>
        <v>http://dx.doi.org/10.1126/science.1121066</v>
      </c>
      <c r="BG64" s="1" t="s">
        <v>74</v>
      </c>
      <c r="BH64" s="1" t="s">
        <v>74</v>
      </c>
      <c r="BI64" s="1">
        <v>3</v>
      </c>
      <c r="BJ64" s="1" t="s">
        <v>561</v>
      </c>
      <c r="BK64" s="1" t="s">
        <v>520</v>
      </c>
      <c r="BL64" s="1" t="s">
        <v>562</v>
      </c>
      <c r="BM64" s="1" t="s">
        <v>1701</v>
      </c>
      <c r="BN64" s="1">
        <v>16469928</v>
      </c>
      <c r="BO64" s="1" t="s">
        <v>74</v>
      </c>
      <c r="BP64" s="1" t="s">
        <v>74</v>
      </c>
      <c r="BQ64" s="1" t="s">
        <v>74</v>
      </c>
      <c r="BR64" s="1" t="s">
        <v>104</v>
      </c>
      <c r="BS64" s="1" t="s">
        <v>1702</v>
      </c>
      <c r="BT64" s="1" t="str">
        <f>HYPERLINK("https%3A%2F%2Fwww.webofscience.com%2Fwos%2Fwoscc%2Ffull-record%2FWOS:000235374900050","View Full Record in Web of Science")</f>
        <v>View Full Record in Web of Science</v>
      </c>
      <c r="BU64" s="1" t="s">
        <v>2040</v>
      </c>
      <c r="BV64" s="1" t="s">
        <v>10653</v>
      </c>
      <c r="BW64" s="1" t="s">
        <v>10653</v>
      </c>
    </row>
    <row r="65" spans="1:75" ht="319" x14ac:dyDescent="0.35">
      <c r="A65" s="1" t="s">
        <v>72</v>
      </c>
      <c r="B65" s="1" t="s">
        <v>2026</v>
      </c>
      <c r="C65" s="1" t="s">
        <v>74</v>
      </c>
      <c r="D65" s="1" t="s">
        <v>74</v>
      </c>
      <c r="E65" s="1" t="s">
        <v>74</v>
      </c>
      <c r="F65" s="1" t="s">
        <v>2027</v>
      </c>
      <c r="G65" s="1" t="s">
        <v>74</v>
      </c>
      <c r="H65" s="1" t="s">
        <v>74</v>
      </c>
      <c r="I65" s="1" t="s">
        <v>2028</v>
      </c>
      <c r="J65" s="1" t="s">
        <v>136</v>
      </c>
      <c r="K65" s="1" t="s">
        <v>74</v>
      </c>
      <c r="L65" s="1" t="s">
        <v>74</v>
      </c>
      <c r="M65" s="1" t="s">
        <v>78</v>
      </c>
      <c r="N65" s="1" t="s">
        <v>79</v>
      </c>
      <c r="O65" s="1" t="s">
        <v>74</v>
      </c>
      <c r="P65" s="1" t="s">
        <v>74</v>
      </c>
      <c r="Q65" s="1" t="s">
        <v>74</v>
      </c>
      <c r="R65" s="1" t="s">
        <v>74</v>
      </c>
      <c r="S65" s="1" t="s">
        <v>74</v>
      </c>
      <c r="T65" s="1" t="s">
        <v>74</v>
      </c>
      <c r="U65" s="1" t="s">
        <v>2029</v>
      </c>
      <c r="V65" s="1" t="s">
        <v>2030</v>
      </c>
      <c r="W65" s="1" t="s">
        <v>2031</v>
      </c>
      <c r="X65" s="1" t="s">
        <v>2032</v>
      </c>
      <c r="Y65" s="1" t="s">
        <v>2033</v>
      </c>
      <c r="Z65" s="1" t="s">
        <v>2034</v>
      </c>
      <c r="AA65" s="1" t="s">
        <v>2035</v>
      </c>
      <c r="AB65" s="1" t="s">
        <v>2036</v>
      </c>
      <c r="AC65" s="1" t="s">
        <v>74</v>
      </c>
      <c r="AD65" s="1" t="s">
        <v>74</v>
      </c>
      <c r="AE65" s="1" t="s">
        <v>74</v>
      </c>
      <c r="AF65" s="1" t="s">
        <v>74</v>
      </c>
      <c r="AG65" s="1">
        <v>13</v>
      </c>
      <c r="AH65" s="1">
        <v>79</v>
      </c>
      <c r="AI65" s="1">
        <v>81</v>
      </c>
      <c r="AJ65" s="1">
        <v>0</v>
      </c>
      <c r="AK65" s="1">
        <v>22</v>
      </c>
      <c r="AL65" s="1" t="s">
        <v>144</v>
      </c>
      <c r="AM65" s="1" t="s">
        <v>145</v>
      </c>
      <c r="AN65" s="1" t="s">
        <v>146</v>
      </c>
      <c r="AO65" s="1" t="s">
        <v>147</v>
      </c>
      <c r="AP65" s="1" t="s">
        <v>148</v>
      </c>
      <c r="AQ65" s="1" t="s">
        <v>74</v>
      </c>
      <c r="AR65" s="1" t="s">
        <v>149</v>
      </c>
      <c r="AS65" s="1" t="s">
        <v>150</v>
      </c>
      <c r="AT65" s="1" t="s">
        <v>469</v>
      </c>
      <c r="AU65" s="1">
        <v>2006</v>
      </c>
      <c r="AV65" s="1">
        <v>43</v>
      </c>
      <c r="AW65" s="1">
        <v>3</v>
      </c>
      <c r="AX65" s="1" t="s">
        <v>74</v>
      </c>
      <c r="AY65" s="1" t="s">
        <v>74</v>
      </c>
      <c r="AZ65" s="1" t="s">
        <v>74</v>
      </c>
      <c r="BA65" s="1" t="s">
        <v>74</v>
      </c>
      <c r="BB65" s="1">
        <v>355</v>
      </c>
      <c r="BC65" s="1">
        <v>365</v>
      </c>
      <c r="BD65" s="1" t="s">
        <v>74</v>
      </c>
      <c r="BE65" s="1" t="s">
        <v>2037</v>
      </c>
      <c r="BF65" s="1" t="str">
        <f>HYPERLINK("http://dx.doi.org/10.1509/jmkr.43.3.355","http://dx.doi.org/10.1509/jmkr.43.3.355")</f>
        <v>http://dx.doi.org/10.1509/jmkr.43.3.355</v>
      </c>
      <c r="BG65" s="1" t="s">
        <v>74</v>
      </c>
      <c r="BH65" s="1" t="s">
        <v>74</v>
      </c>
      <c r="BI65" s="1">
        <v>11</v>
      </c>
      <c r="BJ65" s="1" t="s">
        <v>153</v>
      </c>
      <c r="BK65" s="1" t="s">
        <v>101</v>
      </c>
      <c r="BL65" s="1" t="s">
        <v>154</v>
      </c>
      <c r="BM65" s="1" t="s">
        <v>483</v>
      </c>
      <c r="BN65" s="1" t="s">
        <v>74</v>
      </c>
      <c r="BO65" s="1" t="s">
        <v>74</v>
      </c>
      <c r="BP65" s="1" t="s">
        <v>74</v>
      </c>
      <c r="BQ65" s="1" t="s">
        <v>74</v>
      </c>
      <c r="BR65" s="1" t="s">
        <v>104</v>
      </c>
      <c r="BS65" s="1" t="s">
        <v>2038</v>
      </c>
      <c r="BT65" s="1" t="str">
        <f>HYPERLINK("https%3A%2F%2Fwww.webofscience.com%2Fwos%2Fwoscc%2Ffull-record%2FWOS:000239878300006","View Full Record in Web of Science")</f>
        <v>View Full Record in Web of Science</v>
      </c>
      <c r="BU65" s="1" t="s">
        <v>2040</v>
      </c>
      <c r="BV65" s="1" t="s">
        <v>6080</v>
      </c>
      <c r="BW65" s="1" t="s">
        <v>10653</v>
      </c>
    </row>
    <row r="66" spans="1:75" ht="217.5" x14ac:dyDescent="0.35">
      <c r="A66" s="1" t="s">
        <v>72</v>
      </c>
      <c r="B66" s="1" t="s">
        <v>3217</v>
      </c>
      <c r="C66" s="1" t="s">
        <v>74</v>
      </c>
      <c r="D66" s="1" t="s">
        <v>74</v>
      </c>
      <c r="E66" s="1" t="s">
        <v>74</v>
      </c>
      <c r="F66" s="1" t="s">
        <v>3218</v>
      </c>
      <c r="G66" s="1" t="s">
        <v>74</v>
      </c>
      <c r="H66" s="1" t="s">
        <v>74</v>
      </c>
      <c r="I66" s="1" t="s">
        <v>3219</v>
      </c>
      <c r="J66" s="1" t="s">
        <v>161</v>
      </c>
      <c r="K66" s="1" t="s">
        <v>74</v>
      </c>
      <c r="L66" s="1" t="s">
        <v>74</v>
      </c>
      <c r="M66" s="1" t="s">
        <v>78</v>
      </c>
      <c r="N66" s="1" t="s">
        <v>79</v>
      </c>
      <c r="O66" s="1" t="s">
        <v>74</v>
      </c>
      <c r="P66" s="1" t="s">
        <v>74</v>
      </c>
      <c r="Q66" s="1" t="s">
        <v>74</v>
      </c>
      <c r="R66" s="1" t="s">
        <v>74</v>
      </c>
      <c r="S66" s="1" t="s">
        <v>74</v>
      </c>
      <c r="T66" s="1" t="s">
        <v>74</v>
      </c>
      <c r="U66" s="1" t="s">
        <v>3220</v>
      </c>
      <c r="V66" s="1" t="s">
        <v>3221</v>
      </c>
      <c r="W66" s="1" t="s">
        <v>3222</v>
      </c>
      <c r="X66" s="1" t="s">
        <v>3223</v>
      </c>
      <c r="Y66" s="1" t="s">
        <v>3224</v>
      </c>
      <c r="Z66" s="1" t="s">
        <v>3225</v>
      </c>
      <c r="AA66" s="1" t="s">
        <v>3226</v>
      </c>
      <c r="AB66" s="1" t="s">
        <v>74</v>
      </c>
      <c r="AC66" s="1" t="s">
        <v>74</v>
      </c>
      <c r="AD66" s="1" t="s">
        <v>74</v>
      </c>
      <c r="AE66" s="1" t="s">
        <v>74</v>
      </c>
      <c r="AF66" s="1" t="s">
        <v>74</v>
      </c>
      <c r="AG66" s="1">
        <v>38</v>
      </c>
      <c r="AH66" s="1">
        <v>114</v>
      </c>
      <c r="AI66" s="1">
        <v>115</v>
      </c>
      <c r="AJ66" s="1">
        <v>3</v>
      </c>
      <c r="AK66" s="1">
        <v>62</v>
      </c>
      <c r="AL66" s="1" t="s">
        <v>357</v>
      </c>
      <c r="AM66" s="1" t="s">
        <v>233</v>
      </c>
      <c r="AN66" s="1" t="s">
        <v>358</v>
      </c>
      <c r="AO66" s="1" t="s">
        <v>173</v>
      </c>
      <c r="AP66" s="1" t="s">
        <v>74</v>
      </c>
      <c r="AQ66" s="1" t="s">
        <v>74</v>
      </c>
      <c r="AR66" s="1" t="s">
        <v>175</v>
      </c>
      <c r="AS66" s="1" t="s">
        <v>176</v>
      </c>
      <c r="AT66" s="1" t="s">
        <v>517</v>
      </c>
      <c r="AU66" s="1">
        <v>2006</v>
      </c>
      <c r="AV66" s="1">
        <v>33</v>
      </c>
      <c r="AW66" s="1">
        <v>2</v>
      </c>
      <c r="AX66" s="1" t="s">
        <v>74</v>
      </c>
      <c r="AY66" s="1" t="s">
        <v>74</v>
      </c>
      <c r="AZ66" s="1" t="s">
        <v>74</v>
      </c>
      <c r="BA66" s="1" t="s">
        <v>74</v>
      </c>
      <c r="BB66" s="1">
        <v>151</v>
      </c>
      <c r="BC66" s="1">
        <v>162</v>
      </c>
      <c r="BD66" s="1" t="s">
        <v>74</v>
      </c>
      <c r="BE66" s="1" t="s">
        <v>3227</v>
      </c>
      <c r="BF66" s="1" t="str">
        <f>HYPERLINK("http://dx.doi.org/10.1086/506296","http://dx.doi.org/10.1086/506296")</f>
        <v>http://dx.doi.org/10.1086/506296</v>
      </c>
      <c r="BG66" s="1" t="s">
        <v>74</v>
      </c>
      <c r="BH66" s="1" t="s">
        <v>74</v>
      </c>
      <c r="BI66" s="1">
        <v>12</v>
      </c>
      <c r="BJ66" s="1" t="s">
        <v>153</v>
      </c>
      <c r="BK66" s="1" t="s">
        <v>101</v>
      </c>
      <c r="BL66" s="1" t="s">
        <v>154</v>
      </c>
      <c r="BM66" s="1" t="s">
        <v>3228</v>
      </c>
      <c r="BN66" s="1" t="s">
        <v>74</v>
      </c>
      <c r="BO66" s="1" t="s">
        <v>156</v>
      </c>
      <c r="BP66" s="1" t="s">
        <v>74</v>
      </c>
      <c r="BQ66" s="1" t="s">
        <v>74</v>
      </c>
      <c r="BR66" s="1" t="s">
        <v>104</v>
      </c>
      <c r="BS66" s="1" t="s">
        <v>3229</v>
      </c>
      <c r="BT66" s="1" t="str">
        <f>HYPERLINK("https%3A%2F%2Fwww.webofscience.com%2Fwos%2Fwoscc%2Ffull-record%2FWOS:000240732700001","View Full Record in Web of Science")</f>
        <v>View Full Record in Web of Science</v>
      </c>
      <c r="BU66" s="1" t="s">
        <v>3776</v>
      </c>
      <c r="BV66" s="1" t="s">
        <v>6080</v>
      </c>
      <c r="BW66" s="1" t="s">
        <v>10653</v>
      </c>
    </row>
    <row r="67" spans="1:75" ht="304.5" x14ac:dyDescent="0.35">
      <c r="A67" s="1" t="s">
        <v>72</v>
      </c>
      <c r="B67" s="1" t="s">
        <v>3230</v>
      </c>
      <c r="C67" s="1" t="s">
        <v>74</v>
      </c>
      <c r="D67" s="1" t="s">
        <v>74</v>
      </c>
      <c r="E67" s="1" t="s">
        <v>74</v>
      </c>
      <c r="F67" s="1" t="s">
        <v>3231</v>
      </c>
      <c r="G67" s="1" t="s">
        <v>74</v>
      </c>
      <c r="H67" s="1" t="s">
        <v>74</v>
      </c>
      <c r="I67" s="1" t="s">
        <v>3232</v>
      </c>
      <c r="J67" s="1" t="s">
        <v>136</v>
      </c>
      <c r="K67" s="1" t="s">
        <v>74</v>
      </c>
      <c r="L67" s="1" t="s">
        <v>74</v>
      </c>
      <c r="M67" s="1" t="s">
        <v>78</v>
      </c>
      <c r="N67" s="1" t="s">
        <v>79</v>
      </c>
      <c r="O67" s="1" t="s">
        <v>74</v>
      </c>
      <c r="P67" s="1" t="s">
        <v>74</v>
      </c>
      <c r="Q67" s="1" t="s">
        <v>74</v>
      </c>
      <c r="R67" s="1" t="s">
        <v>74</v>
      </c>
      <c r="S67" s="1" t="s">
        <v>74</v>
      </c>
      <c r="T67" s="1" t="s">
        <v>74</v>
      </c>
      <c r="U67" s="1" t="s">
        <v>3233</v>
      </c>
      <c r="V67" s="1" t="s">
        <v>3234</v>
      </c>
      <c r="W67" s="1" t="s">
        <v>3235</v>
      </c>
      <c r="X67" s="1" t="s">
        <v>3236</v>
      </c>
      <c r="Y67" s="1" t="s">
        <v>3237</v>
      </c>
      <c r="Z67" s="1" t="s">
        <v>3238</v>
      </c>
      <c r="AA67" s="1" t="s">
        <v>3239</v>
      </c>
      <c r="AB67" s="1" t="s">
        <v>74</v>
      </c>
      <c r="AC67" s="1" t="s">
        <v>74</v>
      </c>
      <c r="AD67" s="1" t="s">
        <v>74</v>
      </c>
      <c r="AE67" s="1" t="s">
        <v>74</v>
      </c>
      <c r="AF67" s="1" t="s">
        <v>74</v>
      </c>
      <c r="AG67" s="1">
        <v>38</v>
      </c>
      <c r="AH67" s="1">
        <v>166</v>
      </c>
      <c r="AI67" s="1">
        <v>167</v>
      </c>
      <c r="AJ67" s="1">
        <v>3</v>
      </c>
      <c r="AK67" s="1">
        <v>72</v>
      </c>
      <c r="AL67" s="1" t="s">
        <v>232</v>
      </c>
      <c r="AM67" s="1" t="s">
        <v>233</v>
      </c>
      <c r="AN67" s="1" t="s">
        <v>234</v>
      </c>
      <c r="AO67" s="1" t="s">
        <v>147</v>
      </c>
      <c r="AP67" s="1" t="s">
        <v>74</v>
      </c>
      <c r="AQ67" s="1" t="s">
        <v>74</v>
      </c>
      <c r="AR67" s="1" t="s">
        <v>149</v>
      </c>
      <c r="AS67" s="1" t="s">
        <v>150</v>
      </c>
      <c r="AT67" s="1" t="s">
        <v>469</v>
      </c>
      <c r="AU67" s="1">
        <v>2006</v>
      </c>
      <c r="AV67" s="1">
        <v>43</v>
      </c>
      <c r="AW67" s="1">
        <v>3</v>
      </c>
      <c r="AX67" s="1" t="s">
        <v>74</v>
      </c>
      <c r="AY67" s="1" t="s">
        <v>74</v>
      </c>
      <c r="AZ67" s="1" t="s">
        <v>74</v>
      </c>
      <c r="BA67" s="1" t="s">
        <v>74</v>
      </c>
      <c r="BB67" s="1">
        <v>374</v>
      </c>
      <c r="BC67" s="1">
        <v>385</v>
      </c>
      <c r="BD67" s="1" t="s">
        <v>74</v>
      </c>
      <c r="BE67" s="1" t="s">
        <v>3240</v>
      </c>
      <c r="BF67" s="1" t="str">
        <f>HYPERLINK("http://dx.doi.org/10.1509/jmkr.43.3.374","http://dx.doi.org/10.1509/jmkr.43.3.374")</f>
        <v>http://dx.doi.org/10.1509/jmkr.43.3.374</v>
      </c>
      <c r="BG67" s="1" t="s">
        <v>74</v>
      </c>
      <c r="BH67" s="1" t="s">
        <v>74</v>
      </c>
      <c r="BI67" s="1">
        <v>12</v>
      </c>
      <c r="BJ67" s="1" t="s">
        <v>153</v>
      </c>
      <c r="BK67" s="1" t="s">
        <v>101</v>
      </c>
      <c r="BL67" s="1" t="s">
        <v>154</v>
      </c>
      <c r="BM67" s="1" t="s">
        <v>483</v>
      </c>
      <c r="BN67" s="1" t="s">
        <v>74</v>
      </c>
      <c r="BO67" s="1" t="s">
        <v>74</v>
      </c>
      <c r="BP67" s="1" t="s">
        <v>74</v>
      </c>
      <c r="BQ67" s="1" t="s">
        <v>74</v>
      </c>
      <c r="BR67" s="1" t="s">
        <v>104</v>
      </c>
      <c r="BS67" s="1" t="s">
        <v>3241</v>
      </c>
      <c r="BT67" s="1" t="str">
        <f>HYPERLINK("https%3A%2F%2Fwww.webofscience.com%2Fwos%2Fwoscc%2Ffull-record%2FWOS:000239878300008","View Full Record in Web of Science")</f>
        <v>View Full Record in Web of Science</v>
      </c>
      <c r="BU67" s="1" t="s">
        <v>3776</v>
      </c>
      <c r="BV67" s="1" t="s">
        <v>6080</v>
      </c>
      <c r="BW67" s="1" t="s">
        <v>10653</v>
      </c>
    </row>
    <row r="68" spans="1:75" ht="174" x14ac:dyDescent="0.35">
      <c r="A68" s="1" t="s">
        <v>578</v>
      </c>
      <c r="B68" s="1" t="s">
        <v>3242</v>
      </c>
      <c r="C68" s="1" t="s">
        <v>74</v>
      </c>
      <c r="D68" s="1" t="s">
        <v>74</v>
      </c>
      <c r="E68" s="1" t="s">
        <v>3243</v>
      </c>
      <c r="F68" s="1" t="s">
        <v>3244</v>
      </c>
      <c r="G68" s="1" t="s">
        <v>74</v>
      </c>
      <c r="H68" s="1" t="s">
        <v>74</v>
      </c>
      <c r="I68" s="1" t="s">
        <v>3245</v>
      </c>
      <c r="J68" s="1" t="s">
        <v>3246</v>
      </c>
      <c r="K68" s="1" t="s">
        <v>74</v>
      </c>
      <c r="L68" s="1" t="s">
        <v>74</v>
      </c>
      <c r="M68" s="1" t="s">
        <v>78</v>
      </c>
      <c r="N68" s="1" t="s">
        <v>584</v>
      </c>
      <c r="O68" s="1" t="s">
        <v>3247</v>
      </c>
      <c r="P68" s="1" t="s">
        <v>3248</v>
      </c>
      <c r="Q68" s="1" t="s">
        <v>3249</v>
      </c>
      <c r="R68" s="1" t="s">
        <v>3250</v>
      </c>
      <c r="S68" s="1" t="s">
        <v>74</v>
      </c>
      <c r="T68" s="1" t="s">
        <v>3251</v>
      </c>
      <c r="U68" s="1" t="s">
        <v>74</v>
      </c>
      <c r="V68" s="1" t="s">
        <v>3252</v>
      </c>
      <c r="W68" s="1" t="s">
        <v>3253</v>
      </c>
      <c r="X68" s="1" t="s">
        <v>3254</v>
      </c>
      <c r="Y68" s="1" t="s">
        <v>3255</v>
      </c>
      <c r="Z68" s="1" t="s">
        <v>3256</v>
      </c>
      <c r="AA68" s="1" t="s">
        <v>74</v>
      </c>
      <c r="AB68" s="1" t="s">
        <v>3257</v>
      </c>
      <c r="AC68" s="1" t="s">
        <v>3258</v>
      </c>
      <c r="AD68" s="1" t="s">
        <v>3258</v>
      </c>
      <c r="AE68" s="1" t="s">
        <v>3259</v>
      </c>
      <c r="AF68" s="1" t="s">
        <v>74</v>
      </c>
      <c r="AG68" s="1">
        <v>38</v>
      </c>
      <c r="AH68" s="1">
        <v>16</v>
      </c>
      <c r="AI68" s="1">
        <v>16</v>
      </c>
      <c r="AJ68" s="1">
        <v>0</v>
      </c>
      <c r="AK68" s="1">
        <v>7</v>
      </c>
      <c r="AL68" s="1" t="s">
        <v>599</v>
      </c>
      <c r="AM68" s="1" t="s">
        <v>325</v>
      </c>
      <c r="AN68" s="1" t="s">
        <v>600</v>
      </c>
      <c r="AO68" s="1" t="s">
        <v>74</v>
      </c>
      <c r="AP68" s="1" t="s">
        <v>74</v>
      </c>
      <c r="AQ68" s="1" t="s">
        <v>3260</v>
      </c>
      <c r="AR68" s="1" t="s">
        <v>74</v>
      </c>
      <c r="AS68" s="1" t="s">
        <v>74</v>
      </c>
      <c r="AT68" s="1" t="s">
        <v>74</v>
      </c>
      <c r="AU68" s="1">
        <v>2006</v>
      </c>
      <c r="AV68" s="1" t="s">
        <v>74</v>
      </c>
      <c r="AW68" s="1" t="s">
        <v>74</v>
      </c>
      <c r="AX68" s="1" t="s">
        <v>74</v>
      </c>
      <c r="AY68" s="1" t="s">
        <v>74</v>
      </c>
      <c r="AZ68" s="1" t="s">
        <v>74</v>
      </c>
      <c r="BA68" s="1" t="s">
        <v>74</v>
      </c>
      <c r="BB68" s="1">
        <v>141</v>
      </c>
      <c r="BC68" s="1" t="s">
        <v>876</v>
      </c>
      <c r="BD68" s="1" t="s">
        <v>74</v>
      </c>
      <c r="BE68" s="1" t="s">
        <v>74</v>
      </c>
      <c r="BF68" s="1" t="s">
        <v>74</v>
      </c>
      <c r="BG68" s="1" t="s">
        <v>74</v>
      </c>
      <c r="BH68" s="1" t="s">
        <v>74</v>
      </c>
      <c r="BI68" s="1">
        <v>3</v>
      </c>
      <c r="BJ68" s="1" t="s">
        <v>3261</v>
      </c>
      <c r="BK68" s="1" t="s">
        <v>2118</v>
      </c>
      <c r="BL68" s="1" t="s">
        <v>2416</v>
      </c>
      <c r="BM68" s="1" t="s">
        <v>3262</v>
      </c>
      <c r="BN68" s="1" t="s">
        <v>74</v>
      </c>
      <c r="BO68" s="1" t="s">
        <v>74</v>
      </c>
      <c r="BP68" s="1" t="s">
        <v>74</v>
      </c>
      <c r="BQ68" s="1" t="s">
        <v>74</v>
      </c>
      <c r="BR68" s="1" t="s">
        <v>104</v>
      </c>
      <c r="BS68" s="1" t="s">
        <v>3263</v>
      </c>
      <c r="BT68" s="1" t="str">
        <f>HYPERLINK("https%3A%2F%2Fwww.webofscience.com%2Fwos%2Fwoscc%2Ffull-record%2FWOS:000238914700021","View Full Record in Web of Science")</f>
        <v>View Full Record in Web of Science</v>
      </c>
      <c r="BU68" s="1" t="s">
        <v>3776</v>
      </c>
      <c r="BV68" s="1" t="s">
        <v>10653</v>
      </c>
    </row>
    <row r="69" spans="1:75" ht="377" x14ac:dyDescent="0.35">
      <c r="A69" s="1" t="s">
        <v>578</v>
      </c>
      <c r="B69" s="1" t="s">
        <v>5821</v>
      </c>
      <c r="C69" s="1" t="s">
        <v>74</v>
      </c>
      <c r="D69" s="1" t="s">
        <v>5822</v>
      </c>
      <c r="E69" s="1" t="s">
        <v>74</v>
      </c>
      <c r="F69" s="1" t="s">
        <v>5823</v>
      </c>
      <c r="G69" s="1" t="s">
        <v>74</v>
      </c>
      <c r="H69" s="1" t="s">
        <v>74</v>
      </c>
      <c r="I69" s="1" t="s">
        <v>5824</v>
      </c>
      <c r="J69" s="1" t="s">
        <v>5825</v>
      </c>
      <c r="K69" s="1" t="s">
        <v>74</v>
      </c>
      <c r="L69" s="1" t="s">
        <v>74</v>
      </c>
      <c r="M69" s="1" t="s">
        <v>78</v>
      </c>
      <c r="N69" s="1" t="s">
        <v>584</v>
      </c>
      <c r="O69" s="1" t="s">
        <v>5826</v>
      </c>
      <c r="P69" s="1" t="s">
        <v>5827</v>
      </c>
      <c r="Q69" s="1" t="s">
        <v>5828</v>
      </c>
      <c r="R69" s="1" t="s">
        <v>5829</v>
      </c>
      <c r="S69" s="1" t="s">
        <v>74</v>
      </c>
      <c r="T69" s="1" t="s">
        <v>5830</v>
      </c>
      <c r="U69" s="1" t="s">
        <v>74</v>
      </c>
      <c r="V69" s="1" t="s">
        <v>5831</v>
      </c>
      <c r="W69" s="1" t="s">
        <v>5832</v>
      </c>
      <c r="X69" s="1" t="s">
        <v>5833</v>
      </c>
      <c r="Y69" s="1" t="s">
        <v>5834</v>
      </c>
      <c r="Z69" s="1" t="s">
        <v>5835</v>
      </c>
      <c r="AA69" s="1" t="s">
        <v>74</v>
      </c>
      <c r="AB69" s="1" t="s">
        <v>74</v>
      </c>
      <c r="AC69" s="1" t="s">
        <v>74</v>
      </c>
      <c r="AD69" s="1" t="s">
        <v>74</v>
      </c>
      <c r="AE69" s="1" t="s">
        <v>74</v>
      </c>
      <c r="AF69" s="1" t="s">
        <v>74</v>
      </c>
      <c r="AG69" s="1">
        <v>9</v>
      </c>
      <c r="AH69" s="1">
        <v>0</v>
      </c>
      <c r="AI69" s="1">
        <v>0</v>
      </c>
      <c r="AJ69" s="1">
        <v>0</v>
      </c>
      <c r="AK69" s="1">
        <v>0</v>
      </c>
      <c r="AL69" s="1" t="s">
        <v>5836</v>
      </c>
      <c r="AM69" s="1" t="s">
        <v>5837</v>
      </c>
      <c r="AN69" s="1" t="s">
        <v>5838</v>
      </c>
      <c r="AO69" s="1" t="s">
        <v>74</v>
      </c>
      <c r="AP69" s="1" t="s">
        <v>74</v>
      </c>
      <c r="AQ69" s="1" t="s">
        <v>5839</v>
      </c>
      <c r="AR69" s="1" t="s">
        <v>74</v>
      </c>
      <c r="AS69" s="1" t="s">
        <v>74</v>
      </c>
      <c r="AT69" s="1" t="s">
        <v>74</v>
      </c>
      <c r="AU69" s="1">
        <v>2006</v>
      </c>
      <c r="AV69" s="1" t="s">
        <v>74</v>
      </c>
      <c r="AW69" s="1" t="s">
        <v>74</v>
      </c>
      <c r="AX69" s="1" t="s">
        <v>74</v>
      </c>
      <c r="AY69" s="1" t="s">
        <v>74</v>
      </c>
      <c r="AZ69" s="1" t="s">
        <v>74</v>
      </c>
      <c r="BA69" s="1" t="s">
        <v>74</v>
      </c>
      <c r="BB69" s="1">
        <v>296</v>
      </c>
      <c r="BC69" s="1" t="s">
        <v>876</v>
      </c>
      <c r="BD69" s="1" t="s">
        <v>74</v>
      </c>
      <c r="BE69" s="1" t="s">
        <v>74</v>
      </c>
      <c r="BF69" s="1" t="s">
        <v>74</v>
      </c>
      <c r="BG69" s="1" t="s">
        <v>74</v>
      </c>
      <c r="BH69" s="1" t="s">
        <v>74</v>
      </c>
      <c r="BI69" s="1">
        <v>2</v>
      </c>
      <c r="BJ69" s="1" t="s">
        <v>5840</v>
      </c>
      <c r="BK69" s="1" t="s">
        <v>604</v>
      </c>
      <c r="BL69" s="1" t="s">
        <v>5841</v>
      </c>
      <c r="BM69" s="1" t="s">
        <v>5842</v>
      </c>
      <c r="BN69" s="1" t="s">
        <v>74</v>
      </c>
      <c r="BO69" s="1" t="s">
        <v>74</v>
      </c>
      <c r="BP69" s="1" t="s">
        <v>74</v>
      </c>
      <c r="BQ69" s="1" t="s">
        <v>74</v>
      </c>
      <c r="BR69" s="1" t="s">
        <v>4296</v>
      </c>
      <c r="BS69" s="1" t="s">
        <v>5843</v>
      </c>
      <c r="BT69" s="1" t="str">
        <f>HYPERLINK("https%3A%2F%2Fwww.webofscience.com%2Fwos%2Fwoscc%2Ffull-record%2FWOS:000243859500067","View Full Record in Web of Science")</f>
        <v>View Full Record in Web of Science</v>
      </c>
      <c r="BU69" s="1" t="s">
        <v>5876</v>
      </c>
      <c r="BV69" s="1" t="s">
        <v>10653</v>
      </c>
    </row>
    <row r="70" spans="1:75" ht="261" x14ac:dyDescent="0.35">
      <c r="A70" s="1" t="s">
        <v>72</v>
      </c>
      <c r="B70" s="1" t="s">
        <v>501</v>
      </c>
      <c r="C70" s="1" t="s">
        <v>74</v>
      </c>
      <c r="D70" s="1" t="s">
        <v>74</v>
      </c>
      <c r="E70" s="1" t="s">
        <v>74</v>
      </c>
      <c r="F70" s="1" t="s">
        <v>502</v>
      </c>
      <c r="G70" s="1" t="s">
        <v>74</v>
      </c>
      <c r="H70" s="1" t="s">
        <v>74</v>
      </c>
      <c r="I70" s="1" t="s">
        <v>503</v>
      </c>
      <c r="J70" s="1" t="s">
        <v>504</v>
      </c>
      <c r="K70" s="1" t="s">
        <v>74</v>
      </c>
      <c r="L70" s="1" t="s">
        <v>74</v>
      </c>
      <c r="M70" s="1" t="s">
        <v>78</v>
      </c>
      <c r="N70" s="1" t="s">
        <v>79</v>
      </c>
      <c r="O70" s="1" t="s">
        <v>74</v>
      </c>
      <c r="P70" s="1" t="s">
        <v>74</v>
      </c>
      <c r="Q70" s="1" t="s">
        <v>74</v>
      </c>
      <c r="R70" s="1" t="s">
        <v>74</v>
      </c>
      <c r="S70" s="1" t="s">
        <v>74</v>
      </c>
      <c r="T70" s="1" t="s">
        <v>505</v>
      </c>
      <c r="U70" s="1" t="s">
        <v>506</v>
      </c>
      <c r="V70" s="1" t="s">
        <v>507</v>
      </c>
      <c r="W70" s="1" t="s">
        <v>508</v>
      </c>
      <c r="X70" s="1" t="s">
        <v>509</v>
      </c>
      <c r="Y70" s="1" t="s">
        <v>510</v>
      </c>
      <c r="Z70" s="1" t="s">
        <v>511</v>
      </c>
      <c r="AA70" s="1" t="s">
        <v>74</v>
      </c>
      <c r="AB70" s="1" t="s">
        <v>74</v>
      </c>
      <c r="AC70" s="1" t="s">
        <v>74</v>
      </c>
      <c r="AD70" s="1" t="s">
        <v>74</v>
      </c>
      <c r="AE70" s="1" t="s">
        <v>74</v>
      </c>
      <c r="AF70" s="1" t="s">
        <v>74</v>
      </c>
      <c r="AG70" s="1">
        <v>32</v>
      </c>
      <c r="AH70" s="1">
        <v>561</v>
      </c>
      <c r="AI70" s="1">
        <v>585</v>
      </c>
      <c r="AJ70" s="1">
        <v>15</v>
      </c>
      <c r="AK70" s="1">
        <v>227</v>
      </c>
      <c r="AL70" s="1" t="s">
        <v>446</v>
      </c>
      <c r="AM70" s="1" t="s">
        <v>512</v>
      </c>
      <c r="AN70" s="1" t="s">
        <v>513</v>
      </c>
      <c r="AO70" s="1" t="s">
        <v>514</v>
      </c>
      <c r="AP70" s="1" t="s">
        <v>74</v>
      </c>
      <c r="AQ70" s="1" t="s">
        <v>74</v>
      </c>
      <c r="AR70" s="1" t="s">
        <v>515</v>
      </c>
      <c r="AS70" s="1" t="s">
        <v>516</v>
      </c>
      <c r="AT70" s="1" t="s">
        <v>517</v>
      </c>
      <c r="AU70" s="1">
        <v>2007</v>
      </c>
      <c r="AV70" s="1">
        <v>53</v>
      </c>
      <c r="AW70" s="1">
        <v>9</v>
      </c>
      <c r="AX70" s="1" t="s">
        <v>74</v>
      </c>
      <c r="AY70" s="1" t="s">
        <v>74</v>
      </c>
      <c r="AZ70" s="1" t="s">
        <v>74</v>
      </c>
      <c r="BA70" s="1" t="s">
        <v>74</v>
      </c>
      <c r="BB70" s="1">
        <v>1375</v>
      </c>
      <c r="BC70" s="1">
        <v>1388</v>
      </c>
      <c r="BD70" s="1" t="s">
        <v>74</v>
      </c>
      <c r="BE70" s="1" t="s">
        <v>518</v>
      </c>
      <c r="BF70" s="1" t="str">
        <f>HYPERLINK("http://dx.doi.org/10.1287/mnsc.1070.0704","http://dx.doi.org/10.1287/mnsc.1070.0704")</f>
        <v>http://dx.doi.org/10.1287/mnsc.1070.0704</v>
      </c>
      <c r="BG70" s="1" t="s">
        <v>74</v>
      </c>
      <c r="BH70" s="1" t="s">
        <v>74</v>
      </c>
      <c r="BI70" s="1">
        <v>14</v>
      </c>
      <c r="BJ70" s="1" t="s">
        <v>519</v>
      </c>
      <c r="BK70" s="1" t="s">
        <v>520</v>
      </c>
      <c r="BL70" s="1" t="s">
        <v>521</v>
      </c>
      <c r="BM70" s="1" t="s">
        <v>522</v>
      </c>
      <c r="BN70" s="1" t="s">
        <v>74</v>
      </c>
      <c r="BO70" s="1" t="s">
        <v>74</v>
      </c>
      <c r="BP70" s="1" t="s">
        <v>74</v>
      </c>
      <c r="BQ70" s="1" t="s">
        <v>74</v>
      </c>
      <c r="BR70" s="1" t="s">
        <v>104</v>
      </c>
      <c r="BS70" s="1" t="s">
        <v>523</v>
      </c>
      <c r="BT70" s="1" t="str">
        <f>HYPERLINK("https%3A%2F%2Fwww.webofscience.com%2Fwos%2Fwoscc%2Ffull-record%2FWOS:000249886200002","View Full Record in Web of Science")</f>
        <v>View Full Record in Web of Science</v>
      </c>
      <c r="BU70" s="1" t="s">
        <v>2040</v>
      </c>
      <c r="BV70" s="1" t="s">
        <v>10653</v>
      </c>
    </row>
    <row r="71" spans="1:75" ht="232" x14ac:dyDescent="0.35">
      <c r="A71" s="1" t="s">
        <v>72</v>
      </c>
      <c r="B71" s="1" t="s">
        <v>566</v>
      </c>
      <c r="C71" s="1" t="s">
        <v>74</v>
      </c>
      <c r="D71" s="1" t="s">
        <v>74</v>
      </c>
      <c r="E71" s="1" t="s">
        <v>74</v>
      </c>
      <c r="F71" s="1" t="s">
        <v>567</v>
      </c>
      <c r="G71" s="1" t="s">
        <v>74</v>
      </c>
      <c r="H71" s="1" t="s">
        <v>74</v>
      </c>
      <c r="I71" s="1" t="s">
        <v>568</v>
      </c>
      <c r="J71" s="1" t="s">
        <v>504</v>
      </c>
      <c r="K71" s="1" t="s">
        <v>74</v>
      </c>
      <c r="L71" s="1" t="s">
        <v>74</v>
      </c>
      <c r="M71" s="1" t="s">
        <v>78</v>
      </c>
      <c r="N71" s="1" t="s">
        <v>79</v>
      </c>
      <c r="O71" s="1" t="s">
        <v>74</v>
      </c>
      <c r="P71" s="1" t="s">
        <v>74</v>
      </c>
      <c r="Q71" s="1" t="s">
        <v>74</v>
      </c>
      <c r="R71" s="1" t="s">
        <v>74</v>
      </c>
      <c r="S71" s="1" t="s">
        <v>74</v>
      </c>
      <c r="T71" s="1" t="s">
        <v>569</v>
      </c>
      <c r="U71" s="1" t="s">
        <v>570</v>
      </c>
      <c r="V71" s="1" t="s">
        <v>571</v>
      </c>
      <c r="W71" s="1" t="s">
        <v>271</v>
      </c>
      <c r="X71" s="1" t="s">
        <v>228</v>
      </c>
      <c r="Y71" s="1" t="s">
        <v>572</v>
      </c>
      <c r="Z71" s="1" t="s">
        <v>573</v>
      </c>
      <c r="AA71" s="1" t="s">
        <v>74</v>
      </c>
      <c r="AB71" s="1" t="s">
        <v>74</v>
      </c>
      <c r="AC71" s="1" t="s">
        <v>74</v>
      </c>
      <c r="AD71" s="1" t="s">
        <v>74</v>
      </c>
      <c r="AE71" s="1" t="s">
        <v>74</v>
      </c>
      <c r="AF71" s="1" t="s">
        <v>74</v>
      </c>
      <c r="AG71" s="1">
        <v>37</v>
      </c>
      <c r="AH71" s="1">
        <v>112</v>
      </c>
      <c r="AI71" s="1">
        <v>115</v>
      </c>
      <c r="AJ71" s="1">
        <v>2</v>
      </c>
      <c r="AK71" s="1">
        <v>47</v>
      </c>
      <c r="AL71" s="1" t="s">
        <v>446</v>
      </c>
      <c r="AM71" s="1" t="s">
        <v>447</v>
      </c>
      <c r="AN71" s="1" t="s">
        <v>448</v>
      </c>
      <c r="AO71" s="1" t="s">
        <v>514</v>
      </c>
      <c r="AP71" s="1" t="s">
        <v>574</v>
      </c>
      <c r="AQ71" s="1" t="s">
        <v>74</v>
      </c>
      <c r="AR71" s="1" t="s">
        <v>515</v>
      </c>
      <c r="AS71" s="1" t="s">
        <v>516</v>
      </c>
      <c r="AT71" s="1" t="s">
        <v>151</v>
      </c>
      <c r="AU71" s="1">
        <v>2007</v>
      </c>
      <c r="AV71" s="1">
        <v>53</v>
      </c>
      <c r="AW71" s="1">
        <v>6</v>
      </c>
      <c r="AX71" s="1" t="s">
        <v>74</v>
      </c>
      <c r="AY71" s="1" t="s">
        <v>74</v>
      </c>
      <c r="AZ71" s="1" t="s">
        <v>74</v>
      </c>
      <c r="BA71" s="1" t="s">
        <v>74</v>
      </c>
      <c r="BB71" s="1">
        <v>881</v>
      </c>
      <c r="BC71" s="1">
        <v>893</v>
      </c>
      <c r="BD71" s="1" t="s">
        <v>74</v>
      </c>
      <c r="BE71" s="1" t="s">
        <v>575</v>
      </c>
      <c r="BF71" s="1" t="str">
        <f>HYPERLINK("http://dx.doi.org/10.1287/mnsc.1060.0668","http://dx.doi.org/10.1287/mnsc.1060.0668")</f>
        <v>http://dx.doi.org/10.1287/mnsc.1060.0668</v>
      </c>
      <c r="BG71" s="1" t="s">
        <v>74</v>
      </c>
      <c r="BH71" s="1" t="s">
        <v>74</v>
      </c>
      <c r="BI71" s="1">
        <v>13</v>
      </c>
      <c r="BJ71" s="1" t="s">
        <v>519</v>
      </c>
      <c r="BK71" s="1" t="s">
        <v>520</v>
      </c>
      <c r="BL71" s="1" t="s">
        <v>521</v>
      </c>
      <c r="BM71" s="1" t="s">
        <v>576</v>
      </c>
      <c r="BN71" s="1" t="s">
        <v>74</v>
      </c>
      <c r="BO71" s="1" t="s">
        <v>156</v>
      </c>
      <c r="BP71" s="1" t="s">
        <v>74</v>
      </c>
      <c r="BQ71" s="1" t="s">
        <v>74</v>
      </c>
      <c r="BR71" s="1" t="s">
        <v>104</v>
      </c>
      <c r="BS71" s="1" t="s">
        <v>577</v>
      </c>
      <c r="BT71" s="1" t="str">
        <f>HYPERLINK("https%3A%2F%2Fwww.webofscience.com%2Fwos%2Fwoscc%2Ffull-record%2FWOS:000248745200002","View Full Record in Web of Science")</f>
        <v>View Full Record in Web of Science</v>
      </c>
      <c r="BU71" s="1" t="s">
        <v>2040</v>
      </c>
      <c r="BV71" s="1" t="s">
        <v>10653</v>
      </c>
      <c r="BW71" s="1" t="s">
        <v>10653</v>
      </c>
    </row>
    <row r="72" spans="1:75" ht="409.5" x14ac:dyDescent="0.35">
      <c r="A72" s="1" t="s">
        <v>72</v>
      </c>
      <c r="B72" s="1" t="s">
        <v>1471</v>
      </c>
      <c r="C72" s="1" t="s">
        <v>74</v>
      </c>
      <c r="D72" s="1" t="s">
        <v>74</v>
      </c>
      <c r="E72" s="1" t="s">
        <v>74</v>
      </c>
      <c r="F72" s="1" t="s">
        <v>1472</v>
      </c>
      <c r="G72" s="1" t="s">
        <v>74</v>
      </c>
      <c r="H72" s="1" t="s">
        <v>74</v>
      </c>
      <c r="I72" s="1" t="s">
        <v>1473</v>
      </c>
      <c r="J72" s="1" t="s">
        <v>240</v>
      </c>
      <c r="K72" s="1" t="s">
        <v>74</v>
      </c>
      <c r="L72" s="1" t="s">
        <v>74</v>
      </c>
      <c r="M72" s="1" t="s">
        <v>78</v>
      </c>
      <c r="N72" s="1" t="s">
        <v>79</v>
      </c>
      <c r="O72" s="1" t="s">
        <v>74</v>
      </c>
      <c r="P72" s="1" t="s">
        <v>74</v>
      </c>
      <c r="Q72" s="1" t="s">
        <v>74</v>
      </c>
      <c r="R72" s="1" t="s">
        <v>74</v>
      </c>
      <c r="S72" s="1" t="s">
        <v>74</v>
      </c>
      <c r="T72" s="1" t="s">
        <v>74</v>
      </c>
      <c r="U72" s="1" t="s">
        <v>1474</v>
      </c>
      <c r="V72" s="1" t="s">
        <v>1475</v>
      </c>
      <c r="W72" s="1" t="s">
        <v>1476</v>
      </c>
      <c r="X72" s="1" t="s">
        <v>1477</v>
      </c>
      <c r="Y72" s="1" t="s">
        <v>1478</v>
      </c>
      <c r="Z72" s="1" t="s">
        <v>1479</v>
      </c>
      <c r="AA72" s="1" t="s">
        <v>1480</v>
      </c>
      <c r="AB72" s="1" t="s">
        <v>1481</v>
      </c>
      <c r="AC72" s="1" t="s">
        <v>74</v>
      </c>
      <c r="AD72" s="1" t="s">
        <v>74</v>
      </c>
      <c r="AE72" s="1" t="s">
        <v>74</v>
      </c>
      <c r="AF72" s="1" t="s">
        <v>74</v>
      </c>
      <c r="AG72" s="1">
        <v>64</v>
      </c>
      <c r="AH72" s="1">
        <v>526</v>
      </c>
      <c r="AI72" s="1">
        <v>536</v>
      </c>
      <c r="AJ72" s="1">
        <v>6</v>
      </c>
      <c r="AK72" s="1">
        <v>137</v>
      </c>
      <c r="AL72" s="1" t="s">
        <v>144</v>
      </c>
      <c r="AM72" s="1" t="s">
        <v>145</v>
      </c>
      <c r="AN72" s="1" t="s">
        <v>146</v>
      </c>
      <c r="AO72" s="1" t="s">
        <v>254</v>
      </c>
      <c r="AP72" s="1" t="s">
        <v>255</v>
      </c>
      <c r="AQ72" s="1" t="s">
        <v>74</v>
      </c>
      <c r="AR72" s="1" t="s">
        <v>256</v>
      </c>
      <c r="AS72" s="1" t="s">
        <v>257</v>
      </c>
      <c r="AT72" s="1" t="s">
        <v>281</v>
      </c>
      <c r="AU72" s="1">
        <v>2007</v>
      </c>
      <c r="AV72" s="1">
        <v>71</v>
      </c>
      <c r="AW72" s="1">
        <v>4</v>
      </c>
      <c r="AX72" s="1" t="s">
        <v>74</v>
      </c>
      <c r="AY72" s="1" t="s">
        <v>74</v>
      </c>
      <c r="AZ72" s="1" t="s">
        <v>74</v>
      </c>
      <c r="BA72" s="1" t="s">
        <v>74</v>
      </c>
      <c r="BB72" s="1">
        <v>172</v>
      </c>
      <c r="BC72" s="1">
        <v>194</v>
      </c>
      <c r="BD72" s="1" t="s">
        <v>74</v>
      </c>
      <c r="BE72" s="1" t="s">
        <v>1482</v>
      </c>
      <c r="BF72" s="1" t="str">
        <f>HYPERLINK("http://dx.doi.org/10.1509/jmkg.71.4.172","http://dx.doi.org/10.1509/jmkg.71.4.172")</f>
        <v>http://dx.doi.org/10.1509/jmkg.71.4.172</v>
      </c>
      <c r="BG72" s="1" t="s">
        <v>74</v>
      </c>
      <c r="BH72" s="1" t="s">
        <v>74</v>
      </c>
      <c r="BI72" s="1">
        <v>23</v>
      </c>
      <c r="BJ72" s="1" t="s">
        <v>153</v>
      </c>
      <c r="BK72" s="1" t="s">
        <v>101</v>
      </c>
      <c r="BL72" s="1" t="s">
        <v>154</v>
      </c>
      <c r="BM72" s="1" t="s">
        <v>1483</v>
      </c>
      <c r="BN72" s="1" t="s">
        <v>74</v>
      </c>
      <c r="BO72" s="1" t="s">
        <v>74</v>
      </c>
      <c r="BP72" s="1" t="s">
        <v>74</v>
      </c>
      <c r="BQ72" s="1" t="s">
        <v>74</v>
      </c>
      <c r="BR72" s="1" t="s">
        <v>104</v>
      </c>
      <c r="BS72" s="1" t="s">
        <v>1484</v>
      </c>
      <c r="BT72" s="1" t="str">
        <f>HYPERLINK("https%3A%2F%2Fwww.webofscience.com%2Fwos%2Fwoscc%2Ffull-record%2FWOS:000250316600011","View Full Record in Web of Science")</f>
        <v>View Full Record in Web of Science</v>
      </c>
      <c r="BU72" s="1" t="s">
        <v>2040</v>
      </c>
      <c r="BV72" s="1" t="s">
        <v>6080</v>
      </c>
      <c r="BW72" s="1" t="s">
        <v>10653</v>
      </c>
    </row>
    <row r="73" spans="1:75" ht="246.5" x14ac:dyDescent="0.35">
      <c r="A73" s="1" t="s">
        <v>72</v>
      </c>
      <c r="B73" s="1" t="s">
        <v>1799</v>
      </c>
      <c r="C73" s="1" t="s">
        <v>74</v>
      </c>
      <c r="D73" s="1" t="s">
        <v>74</v>
      </c>
      <c r="E73" s="1" t="s">
        <v>74</v>
      </c>
      <c r="F73" s="1" t="s">
        <v>1800</v>
      </c>
      <c r="G73" s="1" t="s">
        <v>74</v>
      </c>
      <c r="H73" s="1" t="s">
        <v>74</v>
      </c>
      <c r="I73" s="1" t="s">
        <v>1801</v>
      </c>
      <c r="J73" s="1" t="s">
        <v>161</v>
      </c>
      <c r="K73" s="1" t="s">
        <v>74</v>
      </c>
      <c r="L73" s="1" t="s">
        <v>74</v>
      </c>
      <c r="M73" s="1" t="s">
        <v>78</v>
      </c>
      <c r="N73" s="1" t="s">
        <v>79</v>
      </c>
      <c r="O73" s="1" t="s">
        <v>74</v>
      </c>
      <c r="P73" s="1" t="s">
        <v>74</v>
      </c>
      <c r="Q73" s="1" t="s">
        <v>74</v>
      </c>
      <c r="R73" s="1" t="s">
        <v>74</v>
      </c>
      <c r="S73" s="1" t="s">
        <v>74</v>
      </c>
      <c r="T73" s="1" t="s">
        <v>74</v>
      </c>
      <c r="U73" s="1" t="s">
        <v>1802</v>
      </c>
      <c r="V73" s="1" t="s">
        <v>1803</v>
      </c>
      <c r="W73" s="1" t="s">
        <v>1804</v>
      </c>
      <c r="X73" s="1" t="s">
        <v>1805</v>
      </c>
      <c r="Y73" s="1" t="s">
        <v>1806</v>
      </c>
      <c r="Z73" s="1" t="s">
        <v>1807</v>
      </c>
      <c r="AA73" s="1" t="s">
        <v>74</v>
      </c>
      <c r="AB73" s="1" t="s">
        <v>74</v>
      </c>
      <c r="AC73" s="1" t="s">
        <v>74</v>
      </c>
      <c r="AD73" s="1" t="s">
        <v>74</v>
      </c>
      <c r="AE73" s="1" t="s">
        <v>74</v>
      </c>
      <c r="AF73" s="1" t="s">
        <v>74</v>
      </c>
      <c r="AG73" s="1">
        <v>91</v>
      </c>
      <c r="AH73" s="1">
        <v>261</v>
      </c>
      <c r="AI73" s="1">
        <v>263</v>
      </c>
      <c r="AJ73" s="1">
        <v>1</v>
      </c>
      <c r="AK73" s="1">
        <v>51</v>
      </c>
      <c r="AL73" s="1" t="s">
        <v>170</v>
      </c>
      <c r="AM73" s="1" t="s">
        <v>171</v>
      </c>
      <c r="AN73" s="1" t="s">
        <v>172</v>
      </c>
      <c r="AO73" s="1" t="s">
        <v>173</v>
      </c>
      <c r="AP73" s="1" t="s">
        <v>174</v>
      </c>
      <c r="AQ73" s="1" t="s">
        <v>74</v>
      </c>
      <c r="AR73" s="1" t="s">
        <v>175</v>
      </c>
      <c r="AS73" s="1" t="s">
        <v>176</v>
      </c>
      <c r="AT73" s="1" t="s">
        <v>469</v>
      </c>
      <c r="AU73" s="1">
        <v>2007</v>
      </c>
      <c r="AV73" s="1">
        <v>34</v>
      </c>
      <c r="AW73" s="1">
        <v>2</v>
      </c>
      <c r="AX73" s="1" t="s">
        <v>74</v>
      </c>
      <c r="AY73" s="1" t="s">
        <v>74</v>
      </c>
      <c r="AZ73" s="1" t="s">
        <v>74</v>
      </c>
      <c r="BA73" s="1" t="s">
        <v>74</v>
      </c>
      <c r="BB73" s="1">
        <v>135</v>
      </c>
      <c r="BC73" s="1">
        <v>152</v>
      </c>
      <c r="BD73" s="1" t="s">
        <v>74</v>
      </c>
      <c r="BE73" s="1" t="s">
        <v>1808</v>
      </c>
      <c r="BF73" s="1" t="str">
        <f>HYPERLINK("http://dx.doi.org/10.1086/519143","http://dx.doi.org/10.1086/519143")</f>
        <v>http://dx.doi.org/10.1086/519143</v>
      </c>
      <c r="BG73" s="1" t="s">
        <v>74</v>
      </c>
      <c r="BH73" s="1" t="s">
        <v>74</v>
      </c>
      <c r="BI73" s="1">
        <v>18</v>
      </c>
      <c r="BJ73" s="1" t="s">
        <v>153</v>
      </c>
      <c r="BK73" s="1" t="s">
        <v>101</v>
      </c>
      <c r="BL73" s="1" t="s">
        <v>154</v>
      </c>
      <c r="BM73" s="1" t="s">
        <v>1809</v>
      </c>
      <c r="BN73" s="1" t="s">
        <v>74</v>
      </c>
      <c r="BO73" s="1" t="s">
        <v>74</v>
      </c>
      <c r="BP73" s="1" t="s">
        <v>74</v>
      </c>
      <c r="BQ73" s="1" t="s">
        <v>74</v>
      </c>
      <c r="BR73" s="1" t="s">
        <v>104</v>
      </c>
      <c r="BS73" s="1" t="s">
        <v>1810</v>
      </c>
      <c r="BT73" s="1" t="str">
        <f>HYPERLINK("https%3A%2F%2Fwww.webofscience.com%2Fwos%2Fwoscc%2Ffull-record%2FWOS:000248037600002","View Full Record in Web of Science")</f>
        <v>View Full Record in Web of Science</v>
      </c>
      <c r="BU73" s="1" t="s">
        <v>2040</v>
      </c>
      <c r="BV73" s="1" t="s">
        <v>6080</v>
      </c>
      <c r="BW73" s="1" t="s">
        <v>10653</v>
      </c>
    </row>
    <row r="74" spans="1:75" ht="246.5" x14ac:dyDescent="0.35">
      <c r="A74" s="1" t="s">
        <v>72</v>
      </c>
      <c r="B74" s="1" t="s">
        <v>1877</v>
      </c>
      <c r="C74" s="1" t="s">
        <v>74</v>
      </c>
      <c r="D74" s="1" t="s">
        <v>74</v>
      </c>
      <c r="E74" s="1" t="s">
        <v>74</v>
      </c>
      <c r="F74" s="1" t="s">
        <v>1878</v>
      </c>
      <c r="G74" s="1" t="s">
        <v>74</v>
      </c>
      <c r="H74" s="1" t="s">
        <v>74</v>
      </c>
      <c r="I74" s="1" t="s">
        <v>1879</v>
      </c>
      <c r="J74" s="1" t="s">
        <v>1880</v>
      </c>
      <c r="K74" s="1" t="s">
        <v>74</v>
      </c>
      <c r="L74" s="1" t="s">
        <v>74</v>
      </c>
      <c r="M74" s="1" t="s">
        <v>78</v>
      </c>
      <c r="N74" s="1" t="s">
        <v>110</v>
      </c>
      <c r="O74" s="1" t="s">
        <v>74</v>
      </c>
      <c r="P74" s="1" t="s">
        <v>74</v>
      </c>
      <c r="Q74" s="1" t="s">
        <v>74</v>
      </c>
      <c r="R74" s="1" t="s">
        <v>74</v>
      </c>
      <c r="S74" s="1" t="s">
        <v>74</v>
      </c>
      <c r="T74" s="1" t="s">
        <v>74</v>
      </c>
      <c r="U74" s="1" t="s">
        <v>1881</v>
      </c>
      <c r="V74" s="1" t="s">
        <v>1882</v>
      </c>
      <c r="W74" s="1" t="s">
        <v>1883</v>
      </c>
      <c r="X74" s="1" t="s">
        <v>321</v>
      </c>
      <c r="Y74" s="1" t="s">
        <v>1884</v>
      </c>
      <c r="Z74" s="1" t="s">
        <v>1885</v>
      </c>
      <c r="AA74" s="1" t="s">
        <v>74</v>
      </c>
      <c r="AB74" s="1" t="s">
        <v>74</v>
      </c>
      <c r="AC74" s="1" t="s">
        <v>74</v>
      </c>
      <c r="AD74" s="1" t="s">
        <v>74</v>
      </c>
      <c r="AE74" s="1" t="s">
        <v>74</v>
      </c>
      <c r="AF74" s="1" t="s">
        <v>74</v>
      </c>
      <c r="AG74" s="1">
        <v>194</v>
      </c>
      <c r="AH74" s="1">
        <v>380</v>
      </c>
      <c r="AI74" s="1">
        <v>383</v>
      </c>
      <c r="AJ74" s="1">
        <v>5</v>
      </c>
      <c r="AK74" s="1">
        <v>45</v>
      </c>
      <c r="AL74" s="1" t="s">
        <v>1886</v>
      </c>
      <c r="AM74" s="1" t="s">
        <v>121</v>
      </c>
      <c r="AN74" s="1" t="s">
        <v>1887</v>
      </c>
      <c r="AO74" s="1" t="s">
        <v>1888</v>
      </c>
      <c r="AP74" s="1" t="s">
        <v>1889</v>
      </c>
      <c r="AQ74" s="1" t="s">
        <v>74</v>
      </c>
      <c r="AR74" s="1" t="s">
        <v>1890</v>
      </c>
      <c r="AS74" s="1" t="s">
        <v>1891</v>
      </c>
      <c r="AT74" s="1" t="s">
        <v>517</v>
      </c>
      <c r="AU74" s="1">
        <v>2007</v>
      </c>
      <c r="AV74" s="1">
        <v>2</v>
      </c>
      <c r="AW74" s="1">
        <v>3</v>
      </c>
      <c r="AX74" s="1" t="s">
        <v>74</v>
      </c>
      <c r="AY74" s="1" t="s">
        <v>74</v>
      </c>
      <c r="AZ74" s="1" t="s">
        <v>74</v>
      </c>
      <c r="BA74" s="1" t="s">
        <v>74</v>
      </c>
      <c r="BB74" s="1">
        <v>242</v>
      </c>
      <c r="BC74" s="1">
        <v>259</v>
      </c>
      <c r="BD74" s="1" t="s">
        <v>74</v>
      </c>
      <c r="BE74" s="1" t="s">
        <v>1892</v>
      </c>
      <c r="BF74" s="1" t="str">
        <f>HYPERLINK("http://dx.doi.org/10.1111/j.1745-6916.2007.00043.x","http://dx.doi.org/10.1111/j.1745-6916.2007.00043.x")</f>
        <v>http://dx.doi.org/10.1111/j.1745-6916.2007.00043.x</v>
      </c>
      <c r="BG74" s="1" t="s">
        <v>74</v>
      </c>
      <c r="BH74" s="1" t="s">
        <v>74</v>
      </c>
      <c r="BI74" s="1">
        <v>18</v>
      </c>
      <c r="BJ74" s="1" t="s">
        <v>311</v>
      </c>
      <c r="BK74" s="1" t="s">
        <v>101</v>
      </c>
      <c r="BL74" s="1" t="s">
        <v>102</v>
      </c>
      <c r="BM74" s="1" t="s">
        <v>1893</v>
      </c>
      <c r="BN74" s="1">
        <v>26151968</v>
      </c>
      <c r="BO74" s="1" t="s">
        <v>74</v>
      </c>
      <c r="BP74" s="1" t="s">
        <v>74</v>
      </c>
      <c r="BQ74" s="1" t="s">
        <v>74</v>
      </c>
      <c r="BR74" s="1" t="s">
        <v>104</v>
      </c>
      <c r="BS74" s="1" t="s">
        <v>1894</v>
      </c>
      <c r="BT74" s="1" t="str">
        <f>HYPERLINK("https%3A%2F%2Fwww.webofscience.com%2Fwos%2Fwoscc%2Ffull-record%2FWOS:000207450500002","View Full Record in Web of Science")</f>
        <v>View Full Record in Web of Science</v>
      </c>
      <c r="BU74" s="1" t="s">
        <v>2040</v>
      </c>
      <c r="BV74" s="1" t="s">
        <v>10653</v>
      </c>
    </row>
    <row r="75" spans="1:75" ht="304.5" x14ac:dyDescent="0.35">
      <c r="A75" s="1" t="s">
        <v>72</v>
      </c>
      <c r="B75" s="1" t="s">
        <v>2014</v>
      </c>
      <c r="C75" s="1" t="s">
        <v>74</v>
      </c>
      <c r="D75" s="1" t="s">
        <v>74</v>
      </c>
      <c r="E75" s="1" t="s">
        <v>74</v>
      </c>
      <c r="F75" s="1" t="s">
        <v>2015</v>
      </c>
      <c r="G75" s="1" t="s">
        <v>74</v>
      </c>
      <c r="H75" s="1" t="s">
        <v>74</v>
      </c>
      <c r="I75" s="1" t="s">
        <v>2016</v>
      </c>
      <c r="J75" s="1" t="s">
        <v>240</v>
      </c>
      <c r="K75" s="1" t="s">
        <v>74</v>
      </c>
      <c r="L75" s="1" t="s">
        <v>74</v>
      </c>
      <c r="M75" s="1" t="s">
        <v>78</v>
      </c>
      <c r="N75" s="1" t="s">
        <v>79</v>
      </c>
      <c r="O75" s="1" t="s">
        <v>74</v>
      </c>
      <c r="P75" s="1" t="s">
        <v>74</v>
      </c>
      <c r="Q75" s="1" t="s">
        <v>74</v>
      </c>
      <c r="R75" s="1" t="s">
        <v>74</v>
      </c>
      <c r="S75" s="1" t="s">
        <v>74</v>
      </c>
      <c r="T75" s="1" t="s">
        <v>74</v>
      </c>
      <c r="U75" s="1" t="s">
        <v>2017</v>
      </c>
      <c r="V75" s="1" t="s">
        <v>2018</v>
      </c>
      <c r="W75" s="1" t="s">
        <v>2019</v>
      </c>
      <c r="X75" s="1" t="s">
        <v>2020</v>
      </c>
      <c r="Y75" s="1" t="s">
        <v>2021</v>
      </c>
      <c r="Z75" s="1" t="s">
        <v>2022</v>
      </c>
      <c r="AA75" s="1" t="s">
        <v>2023</v>
      </c>
      <c r="AB75" s="1" t="s">
        <v>74</v>
      </c>
      <c r="AC75" s="1" t="s">
        <v>74</v>
      </c>
      <c r="AD75" s="1" t="s">
        <v>74</v>
      </c>
      <c r="AE75" s="1" t="s">
        <v>74</v>
      </c>
      <c r="AF75" s="1" t="s">
        <v>74</v>
      </c>
      <c r="AG75" s="1">
        <v>99</v>
      </c>
      <c r="AH75" s="1">
        <v>251</v>
      </c>
      <c r="AI75" s="1">
        <v>258</v>
      </c>
      <c r="AJ75" s="1">
        <v>14</v>
      </c>
      <c r="AK75" s="1">
        <v>148</v>
      </c>
      <c r="AL75" s="1" t="s">
        <v>144</v>
      </c>
      <c r="AM75" s="1" t="s">
        <v>145</v>
      </c>
      <c r="AN75" s="1" t="s">
        <v>146</v>
      </c>
      <c r="AO75" s="1" t="s">
        <v>254</v>
      </c>
      <c r="AP75" s="1" t="s">
        <v>255</v>
      </c>
      <c r="AQ75" s="1" t="s">
        <v>74</v>
      </c>
      <c r="AR75" s="1" t="s">
        <v>256</v>
      </c>
      <c r="AS75" s="1" t="s">
        <v>257</v>
      </c>
      <c r="AT75" s="1" t="s">
        <v>281</v>
      </c>
      <c r="AU75" s="1">
        <v>2007</v>
      </c>
      <c r="AV75" s="1">
        <v>71</v>
      </c>
      <c r="AW75" s="1">
        <v>4</v>
      </c>
      <c r="AX75" s="1" t="s">
        <v>74</v>
      </c>
      <c r="AY75" s="1" t="s">
        <v>74</v>
      </c>
      <c r="AZ75" s="1" t="s">
        <v>74</v>
      </c>
      <c r="BA75" s="1" t="s">
        <v>74</v>
      </c>
      <c r="BB75" s="1">
        <v>84</v>
      </c>
      <c r="BC75" s="1">
        <v>101</v>
      </c>
      <c r="BD75" s="1" t="s">
        <v>74</v>
      </c>
      <c r="BE75" s="1" t="s">
        <v>2024</v>
      </c>
      <c r="BF75" s="1" t="str">
        <f>HYPERLINK("http://dx.doi.org/10.1509/jmkg.71.4.84","http://dx.doi.org/10.1509/jmkg.71.4.84")</f>
        <v>http://dx.doi.org/10.1509/jmkg.71.4.84</v>
      </c>
      <c r="BG75" s="1" t="s">
        <v>74</v>
      </c>
      <c r="BH75" s="1" t="s">
        <v>74</v>
      </c>
      <c r="BI75" s="1">
        <v>18</v>
      </c>
      <c r="BJ75" s="1" t="s">
        <v>153</v>
      </c>
      <c r="BK75" s="1" t="s">
        <v>101</v>
      </c>
      <c r="BL75" s="1" t="s">
        <v>154</v>
      </c>
      <c r="BM75" s="1" t="s">
        <v>1483</v>
      </c>
      <c r="BN75" s="1" t="s">
        <v>74</v>
      </c>
      <c r="BO75" s="1" t="s">
        <v>74</v>
      </c>
      <c r="BP75" s="1" t="s">
        <v>74</v>
      </c>
      <c r="BQ75" s="1" t="s">
        <v>74</v>
      </c>
      <c r="BR75" s="1" t="s">
        <v>104</v>
      </c>
      <c r="BS75" s="1" t="s">
        <v>2025</v>
      </c>
      <c r="BT75" s="1" t="str">
        <f>HYPERLINK("https%3A%2F%2Fwww.webofscience.com%2Fwos%2Fwoscc%2Ffull-record%2FWOS:000250316600006","View Full Record in Web of Science")</f>
        <v>View Full Record in Web of Science</v>
      </c>
      <c r="BU75" s="1" t="s">
        <v>2040</v>
      </c>
      <c r="BV75" s="1" t="s">
        <v>6080</v>
      </c>
      <c r="BW75" s="1" t="s">
        <v>10653</v>
      </c>
    </row>
    <row r="76" spans="1:75" ht="29" x14ac:dyDescent="0.35">
      <c r="A76" s="1" t="s">
        <v>72</v>
      </c>
      <c r="B76" s="1" t="s">
        <v>3210</v>
      </c>
      <c r="C76" s="1" t="s">
        <v>74</v>
      </c>
      <c r="D76" s="1" t="s">
        <v>74</v>
      </c>
      <c r="E76" s="1" t="s">
        <v>74</v>
      </c>
      <c r="F76" s="1" t="s">
        <v>3211</v>
      </c>
      <c r="G76" s="1" t="s">
        <v>74</v>
      </c>
      <c r="H76" s="1" t="s">
        <v>74</v>
      </c>
      <c r="I76" s="1" t="s">
        <v>3212</v>
      </c>
      <c r="J76" s="1" t="s">
        <v>161</v>
      </c>
      <c r="K76" s="1" t="s">
        <v>74</v>
      </c>
      <c r="L76" s="1" t="s">
        <v>74</v>
      </c>
      <c r="M76" s="1" t="s">
        <v>78</v>
      </c>
      <c r="N76" s="1" t="s">
        <v>1352</v>
      </c>
      <c r="O76" s="1" t="s">
        <v>74</v>
      </c>
      <c r="P76" s="1" t="s">
        <v>74</v>
      </c>
      <c r="Q76" s="1" t="s">
        <v>74</v>
      </c>
      <c r="R76" s="1" t="s">
        <v>74</v>
      </c>
      <c r="S76" s="1" t="s">
        <v>74</v>
      </c>
      <c r="T76" s="1" t="s">
        <v>74</v>
      </c>
      <c r="U76" s="1" t="s">
        <v>74</v>
      </c>
      <c r="V76" s="1" t="s">
        <v>74</v>
      </c>
      <c r="W76" s="1" t="s">
        <v>74</v>
      </c>
      <c r="X76" s="1" t="s">
        <v>74</v>
      </c>
      <c r="Y76" s="1" t="s">
        <v>74</v>
      </c>
      <c r="Z76" s="1" t="s">
        <v>3213</v>
      </c>
      <c r="AA76" s="1" t="s">
        <v>74</v>
      </c>
      <c r="AB76" s="1" t="s">
        <v>74</v>
      </c>
      <c r="AC76" s="1" t="s">
        <v>74</v>
      </c>
      <c r="AD76" s="1" t="s">
        <v>74</v>
      </c>
      <c r="AE76" s="1" t="s">
        <v>74</v>
      </c>
      <c r="AF76" s="1" t="s">
        <v>74</v>
      </c>
      <c r="AG76" s="1">
        <v>5</v>
      </c>
      <c r="AH76" s="1">
        <v>20</v>
      </c>
      <c r="AI76" s="1">
        <v>20</v>
      </c>
      <c r="AJ76" s="1">
        <v>0</v>
      </c>
      <c r="AK76" s="1">
        <v>14</v>
      </c>
      <c r="AL76" s="1" t="s">
        <v>170</v>
      </c>
      <c r="AM76" s="1" t="s">
        <v>171</v>
      </c>
      <c r="AN76" s="1" t="s">
        <v>172</v>
      </c>
      <c r="AO76" s="1" t="s">
        <v>173</v>
      </c>
      <c r="AP76" s="1" t="s">
        <v>174</v>
      </c>
      <c r="AQ76" s="1" t="s">
        <v>74</v>
      </c>
      <c r="AR76" s="1" t="s">
        <v>175</v>
      </c>
      <c r="AS76" s="1" t="s">
        <v>176</v>
      </c>
      <c r="AT76" s="1" t="s">
        <v>281</v>
      </c>
      <c r="AU76" s="1">
        <v>2007</v>
      </c>
      <c r="AV76" s="1">
        <v>34</v>
      </c>
      <c r="AW76" s="1">
        <v>3</v>
      </c>
      <c r="AX76" s="1" t="s">
        <v>74</v>
      </c>
      <c r="AY76" s="1" t="s">
        <v>74</v>
      </c>
      <c r="AZ76" s="1" t="s">
        <v>74</v>
      </c>
      <c r="BA76" s="1" t="s">
        <v>74</v>
      </c>
      <c r="BB76" s="1">
        <v>279</v>
      </c>
      <c r="BC76" s="1">
        <v>282</v>
      </c>
      <c r="BD76" s="1" t="s">
        <v>74</v>
      </c>
      <c r="BE76" s="1" t="s">
        <v>3214</v>
      </c>
      <c r="BF76" s="1" t="str">
        <f>HYPERLINK("http://dx.doi.org/10.1086/522653","http://dx.doi.org/10.1086/522653")</f>
        <v>http://dx.doi.org/10.1086/522653</v>
      </c>
      <c r="BG76" s="1" t="s">
        <v>74</v>
      </c>
      <c r="BH76" s="1" t="s">
        <v>74</v>
      </c>
      <c r="BI76" s="1">
        <v>4</v>
      </c>
      <c r="BJ76" s="1" t="s">
        <v>153</v>
      </c>
      <c r="BK76" s="1" t="s">
        <v>101</v>
      </c>
      <c r="BL76" s="1" t="s">
        <v>154</v>
      </c>
      <c r="BM76" s="1" t="s">
        <v>3215</v>
      </c>
      <c r="BN76" s="1" t="s">
        <v>74</v>
      </c>
      <c r="BO76" s="1" t="s">
        <v>156</v>
      </c>
      <c r="BP76" s="1" t="s">
        <v>74</v>
      </c>
      <c r="BQ76" s="1" t="s">
        <v>74</v>
      </c>
      <c r="BR76" s="1" t="s">
        <v>104</v>
      </c>
      <c r="BS76" s="1" t="s">
        <v>3216</v>
      </c>
      <c r="BT76" s="1" t="str">
        <f>HYPERLINK("https%3A%2F%2Fwww.webofscience.com%2Fwos%2Fwoscc%2Ffull-record%2FWOS:000249319800001","View Full Record in Web of Science")</f>
        <v>View Full Record in Web of Science</v>
      </c>
      <c r="BU76" s="1" t="s">
        <v>3776</v>
      </c>
      <c r="BV76" s="1" t="s">
        <v>6080</v>
      </c>
      <c r="BW76" s="1" t="s">
        <v>10653</v>
      </c>
    </row>
    <row r="77" spans="1:75" ht="304.5" x14ac:dyDescent="0.35">
      <c r="A77" s="1" t="s">
        <v>72</v>
      </c>
      <c r="B77" s="1" t="s">
        <v>2014</v>
      </c>
      <c r="C77" s="1" t="s">
        <v>74</v>
      </c>
      <c r="D77" s="1" t="s">
        <v>74</v>
      </c>
      <c r="E77" s="1" t="s">
        <v>74</v>
      </c>
      <c r="F77" s="1" t="s">
        <v>2015</v>
      </c>
      <c r="G77" s="1" t="s">
        <v>74</v>
      </c>
      <c r="H77" s="1" t="s">
        <v>74</v>
      </c>
      <c r="I77" s="1" t="s">
        <v>2016</v>
      </c>
      <c r="J77" s="1" t="s">
        <v>240</v>
      </c>
      <c r="K77" s="1" t="s">
        <v>74</v>
      </c>
      <c r="L77" s="1" t="s">
        <v>74</v>
      </c>
      <c r="M77" s="1" t="s">
        <v>78</v>
      </c>
      <c r="N77" s="1" t="s">
        <v>79</v>
      </c>
      <c r="O77" s="1" t="s">
        <v>74</v>
      </c>
      <c r="P77" s="1" t="s">
        <v>74</v>
      </c>
      <c r="Q77" s="1" t="s">
        <v>74</v>
      </c>
      <c r="R77" s="1" t="s">
        <v>74</v>
      </c>
      <c r="S77" s="1" t="s">
        <v>74</v>
      </c>
      <c r="T77" s="1" t="s">
        <v>74</v>
      </c>
      <c r="U77" s="1" t="s">
        <v>2017</v>
      </c>
      <c r="V77" s="1" t="s">
        <v>2018</v>
      </c>
      <c r="W77" s="1" t="s">
        <v>2019</v>
      </c>
      <c r="X77" s="1" t="s">
        <v>2020</v>
      </c>
      <c r="Y77" s="1" t="s">
        <v>2021</v>
      </c>
      <c r="Z77" s="1" t="s">
        <v>2022</v>
      </c>
      <c r="AA77" s="1" t="s">
        <v>2023</v>
      </c>
      <c r="AB77" s="1" t="s">
        <v>74</v>
      </c>
      <c r="AC77" s="1" t="s">
        <v>74</v>
      </c>
      <c r="AD77" s="1" t="s">
        <v>74</v>
      </c>
      <c r="AE77" s="1" t="s">
        <v>74</v>
      </c>
      <c r="AF77" s="1" t="s">
        <v>74</v>
      </c>
      <c r="AG77" s="1">
        <v>99</v>
      </c>
      <c r="AH77" s="1">
        <v>251</v>
      </c>
      <c r="AI77" s="1">
        <v>258</v>
      </c>
      <c r="AJ77" s="1">
        <v>14</v>
      </c>
      <c r="AK77" s="1">
        <v>148</v>
      </c>
      <c r="AL77" s="1" t="s">
        <v>144</v>
      </c>
      <c r="AM77" s="1" t="s">
        <v>145</v>
      </c>
      <c r="AN77" s="1" t="s">
        <v>146</v>
      </c>
      <c r="AO77" s="1" t="s">
        <v>254</v>
      </c>
      <c r="AP77" s="1" t="s">
        <v>255</v>
      </c>
      <c r="AQ77" s="1" t="s">
        <v>74</v>
      </c>
      <c r="AR77" s="1" t="s">
        <v>256</v>
      </c>
      <c r="AS77" s="1" t="s">
        <v>257</v>
      </c>
      <c r="AT77" s="1" t="s">
        <v>281</v>
      </c>
      <c r="AU77" s="1">
        <v>2007</v>
      </c>
      <c r="AV77" s="1">
        <v>71</v>
      </c>
      <c r="AW77" s="1">
        <v>4</v>
      </c>
      <c r="AX77" s="1" t="s">
        <v>74</v>
      </c>
      <c r="AY77" s="1" t="s">
        <v>74</v>
      </c>
      <c r="AZ77" s="1" t="s">
        <v>74</v>
      </c>
      <c r="BA77" s="1" t="s">
        <v>74</v>
      </c>
      <c r="BB77" s="1">
        <v>84</v>
      </c>
      <c r="BC77" s="1">
        <v>101</v>
      </c>
      <c r="BD77" s="1" t="s">
        <v>74</v>
      </c>
      <c r="BE77" s="1" t="s">
        <v>2024</v>
      </c>
      <c r="BF77" s="1" t="str">
        <f>HYPERLINK("http://dx.doi.org/10.1509/jmkg.71.4.84","http://dx.doi.org/10.1509/jmkg.71.4.84")</f>
        <v>http://dx.doi.org/10.1509/jmkg.71.4.84</v>
      </c>
      <c r="BG77" s="1" t="s">
        <v>74</v>
      </c>
      <c r="BH77" s="1" t="s">
        <v>74</v>
      </c>
      <c r="BI77" s="1">
        <v>18</v>
      </c>
      <c r="BJ77" s="1" t="s">
        <v>153</v>
      </c>
      <c r="BK77" s="1" t="s">
        <v>101</v>
      </c>
      <c r="BL77" s="1" t="s">
        <v>154</v>
      </c>
      <c r="BM77" s="1" t="s">
        <v>1483</v>
      </c>
      <c r="BN77" s="1" t="s">
        <v>74</v>
      </c>
      <c r="BO77" s="1" t="s">
        <v>74</v>
      </c>
      <c r="BP77" s="1" t="s">
        <v>74</v>
      </c>
      <c r="BQ77" s="1" t="s">
        <v>74</v>
      </c>
      <c r="BR77" s="1" t="s">
        <v>104</v>
      </c>
      <c r="BS77" s="1" t="s">
        <v>2025</v>
      </c>
      <c r="BT77" s="1" t="str">
        <f>HYPERLINK("https%3A%2F%2Fwww.webofscience.com%2Fwos%2Fwoscc%2Ffull-record%2FWOS:000250316600006","View Full Record in Web of Science")</f>
        <v>View Full Record in Web of Science</v>
      </c>
      <c r="BU77" s="1" t="s">
        <v>3776</v>
      </c>
      <c r="BV77" s="1" t="s">
        <v>6080</v>
      </c>
      <c r="BW77" s="1" t="s">
        <v>10653</v>
      </c>
    </row>
    <row r="78" spans="1:75" ht="232" x14ac:dyDescent="0.35">
      <c r="A78" s="1" t="s">
        <v>72</v>
      </c>
      <c r="B78" s="1" t="s">
        <v>566</v>
      </c>
      <c r="C78" s="1" t="s">
        <v>74</v>
      </c>
      <c r="D78" s="1" t="s">
        <v>74</v>
      </c>
      <c r="E78" s="1" t="s">
        <v>74</v>
      </c>
      <c r="F78" s="1" t="s">
        <v>567</v>
      </c>
      <c r="G78" s="1" t="s">
        <v>74</v>
      </c>
      <c r="H78" s="1" t="s">
        <v>74</v>
      </c>
      <c r="I78" s="1" t="s">
        <v>568</v>
      </c>
      <c r="J78" s="1" t="s">
        <v>504</v>
      </c>
      <c r="K78" s="1" t="s">
        <v>74</v>
      </c>
      <c r="L78" s="1" t="s">
        <v>74</v>
      </c>
      <c r="M78" s="1" t="s">
        <v>78</v>
      </c>
      <c r="N78" s="1" t="s">
        <v>79</v>
      </c>
      <c r="O78" s="1" t="s">
        <v>74</v>
      </c>
      <c r="P78" s="1" t="s">
        <v>74</v>
      </c>
      <c r="Q78" s="1" t="s">
        <v>74</v>
      </c>
      <c r="R78" s="1" t="s">
        <v>74</v>
      </c>
      <c r="S78" s="1" t="s">
        <v>74</v>
      </c>
      <c r="T78" s="1" t="s">
        <v>569</v>
      </c>
      <c r="U78" s="1" t="s">
        <v>570</v>
      </c>
      <c r="V78" s="1" t="s">
        <v>571</v>
      </c>
      <c r="W78" s="1" t="s">
        <v>271</v>
      </c>
      <c r="X78" s="1" t="s">
        <v>228</v>
      </c>
      <c r="Y78" s="1" t="s">
        <v>572</v>
      </c>
      <c r="Z78" s="1" t="s">
        <v>573</v>
      </c>
      <c r="AA78" s="1" t="s">
        <v>74</v>
      </c>
      <c r="AB78" s="1" t="s">
        <v>74</v>
      </c>
      <c r="AC78" s="1" t="s">
        <v>74</v>
      </c>
      <c r="AD78" s="1" t="s">
        <v>74</v>
      </c>
      <c r="AE78" s="1" t="s">
        <v>74</v>
      </c>
      <c r="AF78" s="1" t="s">
        <v>74</v>
      </c>
      <c r="AG78" s="1">
        <v>37</v>
      </c>
      <c r="AH78" s="1">
        <v>112</v>
      </c>
      <c r="AI78" s="1">
        <v>115</v>
      </c>
      <c r="AJ78" s="1">
        <v>2</v>
      </c>
      <c r="AK78" s="1">
        <v>47</v>
      </c>
      <c r="AL78" s="1" t="s">
        <v>446</v>
      </c>
      <c r="AM78" s="1" t="s">
        <v>447</v>
      </c>
      <c r="AN78" s="1" t="s">
        <v>448</v>
      </c>
      <c r="AO78" s="1" t="s">
        <v>514</v>
      </c>
      <c r="AP78" s="1" t="s">
        <v>574</v>
      </c>
      <c r="AQ78" s="1" t="s">
        <v>74</v>
      </c>
      <c r="AR78" s="1" t="s">
        <v>515</v>
      </c>
      <c r="AS78" s="1" t="s">
        <v>516</v>
      </c>
      <c r="AT78" s="1" t="s">
        <v>151</v>
      </c>
      <c r="AU78" s="1">
        <v>2007</v>
      </c>
      <c r="AV78" s="1">
        <v>53</v>
      </c>
      <c r="AW78" s="1">
        <v>6</v>
      </c>
      <c r="AX78" s="1" t="s">
        <v>74</v>
      </c>
      <c r="AY78" s="1" t="s">
        <v>74</v>
      </c>
      <c r="AZ78" s="1" t="s">
        <v>74</v>
      </c>
      <c r="BA78" s="1" t="s">
        <v>74</v>
      </c>
      <c r="BB78" s="1">
        <v>881</v>
      </c>
      <c r="BC78" s="1">
        <v>893</v>
      </c>
      <c r="BD78" s="1" t="s">
        <v>74</v>
      </c>
      <c r="BE78" s="1" t="s">
        <v>575</v>
      </c>
      <c r="BF78" s="1" t="str">
        <f>HYPERLINK("http://dx.doi.org/10.1287/mnsc.1060.0668","http://dx.doi.org/10.1287/mnsc.1060.0668")</f>
        <v>http://dx.doi.org/10.1287/mnsc.1060.0668</v>
      </c>
      <c r="BG78" s="1" t="s">
        <v>74</v>
      </c>
      <c r="BH78" s="1" t="s">
        <v>74</v>
      </c>
      <c r="BI78" s="1">
        <v>13</v>
      </c>
      <c r="BJ78" s="1" t="s">
        <v>519</v>
      </c>
      <c r="BK78" s="1" t="s">
        <v>520</v>
      </c>
      <c r="BL78" s="1" t="s">
        <v>521</v>
      </c>
      <c r="BM78" s="1" t="s">
        <v>576</v>
      </c>
      <c r="BN78" s="1" t="s">
        <v>74</v>
      </c>
      <c r="BO78" s="1" t="s">
        <v>156</v>
      </c>
      <c r="BP78" s="1" t="s">
        <v>74</v>
      </c>
      <c r="BQ78" s="1" t="s">
        <v>74</v>
      </c>
      <c r="BR78" s="1" t="s">
        <v>104</v>
      </c>
      <c r="BS78" s="1" t="s">
        <v>577</v>
      </c>
      <c r="BT78" s="1" t="str">
        <f>HYPERLINK("https%3A%2F%2Fwww.webofscience.com%2Fwos%2Fwoscc%2Ffull-record%2FWOS:000248745200002","View Full Record in Web of Science")</f>
        <v>View Full Record in Web of Science</v>
      </c>
      <c r="BU78" s="1" t="s">
        <v>3776</v>
      </c>
      <c r="BV78" s="1" t="s">
        <v>10653</v>
      </c>
      <c r="BW78" s="1" t="s">
        <v>10653</v>
      </c>
    </row>
    <row r="79" spans="1:75" ht="232" x14ac:dyDescent="0.35">
      <c r="A79" s="1" t="s">
        <v>72</v>
      </c>
      <c r="B79" s="1" t="s">
        <v>566</v>
      </c>
      <c r="C79" s="1" t="s">
        <v>74</v>
      </c>
      <c r="D79" s="1" t="s">
        <v>74</v>
      </c>
      <c r="E79" s="1" t="s">
        <v>74</v>
      </c>
      <c r="F79" s="1" t="s">
        <v>567</v>
      </c>
      <c r="G79" s="1" t="s">
        <v>74</v>
      </c>
      <c r="H79" s="1" t="s">
        <v>74</v>
      </c>
      <c r="I79" s="1" t="s">
        <v>568</v>
      </c>
      <c r="J79" s="1" t="s">
        <v>504</v>
      </c>
      <c r="K79" s="1" t="s">
        <v>74</v>
      </c>
      <c r="L79" s="1" t="s">
        <v>74</v>
      </c>
      <c r="M79" s="1" t="s">
        <v>78</v>
      </c>
      <c r="N79" s="1" t="s">
        <v>79</v>
      </c>
      <c r="O79" s="1" t="s">
        <v>74</v>
      </c>
      <c r="P79" s="1" t="s">
        <v>74</v>
      </c>
      <c r="Q79" s="1" t="s">
        <v>74</v>
      </c>
      <c r="R79" s="1" t="s">
        <v>74</v>
      </c>
      <c r="S79" s="1" t="s">
        <v>74</v>
      </c>
      <c r="T79" s="1" t="s">
        <v>569</v>
      </c>
      <c r="U79" s="1" t="s">
        <v>570</v>
      </c>
      <c r="V79" s="1" t="s">
        <v>571</v>
      </c>
      <c r="W79" s="1" t="s">
        <v>271</v>
      </c>
      <c r="X79" s="1" t="s">
        <v>228</v>
      </c>
      <c r="Y79" s="1" t="s">
        <v>572</v>
      </c>
      <c r="Z79" s="1" t="s">
        <v>573</v>
      </c>
      <c r="AA79" s="1" t="s">
        <v>74</v>
      </c>
      <c r="AB79" s="1" t="s">
        <v>74</v>
      </c>
      <c r="AC79" s="1" t="s">
        <v>74</v>
      </c>
      <c r="AD79" s="1" t="s">
        <v>74</v>
      </c>
      <c r="AE79" s="1" t="s">
        <v>74</v>
      </c>
      <c r="AF79" s="1" t="s">
        <v>74</v>
      </c>
      <c r="AG79" s="1">
        <v>37</v>
      </c>
      <c r="AH79" s="1">
        <v>112</v>
      </c>
      <c r="AI79" s="1">
        <v>115</v>
      </c>
      <c r="AJ79" s="1">
        <v>5</v>
      </c>
      <c r="AK79" s="1">
        <v>50</v>
      </c>
      <c r="AL79" s="1" t="s">
        <v>446</v>
      </c>
      <c r="AM79" s="1" t="s">
        <v>447</v>
      </c>
      <c r="AN79" s="1" t="s">
        <v>448</v>
      </c>
      <c r="AO79" s="1" t="s">
        <v>514</v>
      </c>
      <c r="AP79" s="1" t="s">
        <v>574</v>
      </c>
      <c r="AQ79" s="1" t="s">
        <v>74</v>
      </c>
      <c r="AR79" s="1" t="s">
        <v>515</v>
      </c>
      <c r="AS79" s="1" t="s">
        <v>516</v>
      </c>
      <c r="AT79" s="1" t="s">
        <v>151</v>
      </c>
      <c r="AU79" s="1">
        <v>2007</v>
      </c>
      <c r="AV79" s="1">
        <v>53</v>
      </c>
      <c r="AW79" s="1">
        <v>6</v>
      </c>
      <c r="AX79" s="1" t="s">
        <v>74</v>
      </c>
      <c r="AY79" s="1" t="s">
        <v>74</v>
      </c>
      <c r="AZ79" s="1" t="s">
        <v>74</v>
      </c>
      <c r="BA79" s="1" t="s">
        <v>74</v>
      </c>
      <c r="BB79" s="1">
        <v>881</v>
      </c>
      <c r="BC79" s="1">
        <v>893</v>
      </c>
      <c r="BD79" s="1" t="s">
        <v>74</v>
      </c>
      <c r="BE79" s="1" t="s">
        <v>575</v>
      </c>
      <c r="BF79" s="1" t="str">
        <f>HYPERLINK("http://dx.doi.org/10.1287/mnsc.1060.0668","http://dx.doi.org/10.1287/mnsc.1060.0668")</f>
        <v>http://dx.doi.org/10.1287/mnsc.1060.0668</v>
      </c>
      <c r="BG79" s="1" t="s">
        <v>74</v>
      </c>
      <c r="BH79" s="1" t="s">
        <v>74</v>
      </c>
      <c r="BI79" s="1">
        <v>13</v>
      </c>
      <c r="BJ79" s="1" t="s">
        <v>519</v>
      </c>
      <c r="BK79" s="1" t="s">
        <v>520</v>
      </c>
      <c r="BL79" s="1" t="s">
        <v>521</v>
      </c>
      <c r="BM79" s="1" t="s">
        <v>576</v>
      </c>
      <c r="BN79" s="1" t="s">
        <v>74</v>
      </c>
      <c r="BO79" s="1" t="s">
        <v>156</v>
      </c>
      <c r="BP79" s="1" t="s">
        <v>74</v>
      </c>
      <c r="BQ79" s="1" t="s">
        <v>74</v>
      </c>
      <c r="BR79" s="1" t="s">
        <v>4296</v>
      </c>
      <c r="BS79" s="1" t="s">
        <v>577</v>
      </c>
      <c r="BT79" s="1" t="str">
        <f>HYPERLINK("https%3A%2F%2Fwww.webofscience.com%2Fwos%2Fwoscc%2Ffull-record%2FWOS:000248745200002","View Full Record in Web of Science")</f>
        <v>View Full Record in Web of Science</v>
      </c>
      <c r="BU79" s="1" t="s">
        <v>5876</v>
      </c>
      <c r="BV79" s="1" t="s">
        <v>10653</v>
      </c>
      <c r="BW79" s="1" t="s">
        <v>10653</v>
      </c>
    </row>
    <row r="80" spans="1:75" x14ac:dyDescent="0.35">
      <c r="A80" t="s">
        <v>72</v>
      </c>
      <c r="B80" t="s">
        <v>7626</v>
      </c>
      <c r="C80" t="s">
        <v>74</v>
      </c>
      <c r="D80" t="s">
        <v>74</v>
      </c>
      <c r="E80" t="s">
        <v>74</v>
      </c>
      <c r="F80" t="s">
        <v>7627</v>
      </c>
      <c r="G80" t="s">
        <v>74</v>
      </c>
      <c r="H80" t="s">
        <v>74</v>
      </c>
      <c r="I80" t="s">
        <v>7628</v>
      </c>
      <c r="J80" t="s">
        <v>7629</v>
      </c>
      <c r="K80" t="s">
        <v>74</v>
      </c>
      <c r="L80" t="s">
        <v>74</v>
      </c>
      <c r="M80" t="s">
        <v>78</v>
      </c>
      <c r="N80" t="s">
        <v>79</v>
      </c>
      <c r="O80" t="s">
        <v>74</v>
      </c>
      <c r="P80" t="s">
        <v>74</v>
      </c>
      <c r="Q80" t="s">
        <v>74</v>
      </c>
      <c r="R80" t="s">
        <v>74</v>
      </c>
      <c r="S80" t="s">
        <v>74</v>
      </c>
      <c r="T80" t="s">
        <v>74</v>
      </c>
      <c r="U80" t="s">
        <v>7630</v>
      </c>
      <c r="V80" t="s">
        <v>7631</v>
      </c>
      <c r="W80" t="s">
        <v>7632</v>
      </c>
      <c r="X80" t="s">
        <v>7633</v>
      </c>
      <c r="Y80" t="s">
        <v>7634</v>
      </c>
      <c r="Z80" t="s">
        <v>7635</v>
      </c>
      <c r="AA80" t="s">
        <v>7636</v>
      </c>
      <c r="AB80" t="s">
        <v>74</v>
      </c>
      <c r="AC80" t="s">
        <v>74</v>
      </c>
      <c r="AD80" t="s">
        <v>74</v>
      </c>
      <c r="AE80" t="s">
        <v>74</v>
      </c>
      <c r="AF80" t="s">
        <v>74</v>
      </c>
      <c r="AG80">
        <v>60</v>
      </c>
      <c r="AH80">
        <v>7</v>
      </c>
      <c r="AI80">
        <v>7</v>
      </c>
      <c r="AJ80">
        <v>0</v>
      </c>
      <c r="AK80">
        <v>12</v>
      </c>
      <c r="AL80" t="s">
        <v>7637</v>
      </c>
      <c r="AM80" t="s">
        <v>7638</v>
      </c>
      <c r="AN80" t="s">
        <v>7639</v>
      </c>
      <c r="AO80" t="s">
        <v>7640</v>
      </c>
      <c r="AP80" t="s">
        <v>74</v>
      </c>
      <c r="AQ80" t="s">
        <v>74</v>
      </c>
      <c r="AR80" t="s">
        <v>7641</v>
      </c>
      <c r="AS80" t="s">
        <v>7642</v>
      </c>
      <c r="AT80" t="s">
        <v>348</v>
      </c>
      <c r="AU80">
        <v>2007</v>
      </c>
      <c r="AV80">
        <v>38</v>
      </c>
      <c r="AW80">
        <v>4</v>
      </c>
      <c r="AX80" t="s">
        <v>74</v>
      </c>
      <c r="AY80" t="s">
        <v>74</v>
      </c>
      <c r="AZ80" t="s">
        <v>74</v>
      </c>
      <c r="BA80" t="s">
        <v>74</v>
      </c>
      <c r="BB80">
        <v>21</v>
      </c>
      <c r="BC80">
        <v>32</v>
      </c>
      <c r="BD80" t="s">
        <v>74</v>
      </c>
      <c r="BE80" t="s">
        <v>7643</v>
      </c>
      <c r="BF80" t="str">
        <f>HYPERLINK("http://dx.doi.org/10.4102/sajbm.v38i4.591","http://dx.doi.org/10.4102/sajbm.v38i4.591")</f>
        <v>http://dx.doi.org/10.4102/sajbm.v38i4.591</v>
      </c>
      <c r="BG80" t="s">
        <v>74</v>
      </c>
      <c r="BH80" t="s">
        <v>74</v>
      </c>
      <c r="BI80">
        <v>12</v>
      </c>
      <c r="BJ80" t="s">
        <v>877</v>
      </c>
      <c r="BK80" t="s">
        <v>101</v>
      </c>
      <c r="BL80" t="s">
        <v>154</v>
      </c>
      <c r="BM80" t="s">
        <v>7644</v>
      </c>
      <c r="BN80" t="s">
        <v>74</v>
      </c>
      <c r="BO80" t="s">
        <v>5118</v>
      </c>
      <c r="BP80" t="s">
        <v>74</v>
      </c>
      <c r="BQ80" t="s">
        <v>74</v>
      </c>
      <c r="BR80" t="s">
        <v>6098</v>
      </c>
      <c r="BS80" t="s">
        <v>7645</v>
      </c>
      <c r="BT80" t="str">
        <f>HYPERLINK("https%3A%2F%2Fwww.webofscience.com%2Fwos%2Fwoscc%2Ffull-record%2FWOS:000255419200003","View Full Record in Web of Science")</f>
        <v>View Full Record in Web of Science</v>
      </c>
      <c r="BU80" t="s">
        <v>6100</v>
      </c>
      <c r="BV80" s="1" t="s">
        <v>10653</v>
      </c>
    </row>
    <row r="81" spans="1:75" ht="319" x14ac:dyDescent="0.35">
      <c r="A81" s="1" t="s">
        <v>72</v>
      </c>
      <c r="B81" s="1" t="s">
        <v>764</v>
      </c>
      <c r="C81" s="1" t="s">
        <v>74</v>
      </c>
      <c r="D81" s="1" t="s">
        <v>74</v>
      </c>
      <c r="E81" s="1" t="s">
        <v>74</v>
      </c>
      <c r="F81" s="1" t="s">
        <v>765</v>
      </c>
      <c r="G81" s="1" t="s">
        <v>74</v>
      </c>
      <c r="H81" s="1" t="s">
        <v>74</v>
      </c>
      <c r="I81" s="1" t="s">
        <v>766</v>
      </c>
      <c r="J81" s="1" t="s">
        <v>767</v>
      </c>
      <c r="K81" s="1" t="s">
        <v>74</v>
      </c>
      <c r="L81" s="1" t="s">
        <v>74</v>
      </c>
      <c r="M81" s="1" t="s">
        <v>78</v>
      </c>
      <c r="N81" s="1" t="s">
        <v>79</v>
      </c>
      <c r="O81" s="1" t="s">
        <v>74</v>
      </c>
      <c r="P81" s="1" t="s">
        <v>74</v>
      </c>
      <c r="Q81" s="1" t="s">
        <v>74</v>
      </c>
      <c r="R81" s="1" t="s">
        <v>74</v>
      </c>
      <c r="S81" s="1" t="s">
        <v>74</v>
      </c>
      <c r="T81" s="1" t="s">
        <v>74</v>
      </c>
      <c r="U81" s="1" t="s">
        <v>768</v>
      </c>
      <c r="V81" s="1" t="s">
        <v>769</v>
      </c>
      <c r="W81" s="1" t="s">
        <v>770</v>
      </c>
      <c r="X81" s="1" t="s">
        <v>771</v>
      </c>
      <c r="Y81" s="1" t="s">
        <v>772</v>
      </c>
      <c r="Z81" s="1" t="s">
        <v>773</v>
      </c>
      <c r="AA81" s="1" t="s">
        <v>74</v>
      </c>
      <c r="AB81" s="1" t="s">
        <v>74</v>
      </c>
      <c r="AC81" s="1" t="s">
        <v>74</v>
      </c>
      <c r="AD81" s="1" t="s">
        <v>74</v>
      </c>
      <c r="AE81" s="1" t="s">
        <v>74</v>
      </c>
      <c r="AF81" s="1" t="s">
        <v>74</v>
      </c>
      <c r="AG81" s="1">
        <v>43</v>
      </c>
      <c r="AH81" s="1">
        <v>212</v>
      </c>
      <c r="AI81" s="1">
        <v>216</v>
      </c>
      <c r="AJ81" s="1">
        <v>2</v>
      </c>
      <c r="AK81" s="1">
        <v>45</v>
      </c>
      <c r="AL81" s="1" t="s">
        <v>774</v>
      </c>
      <c r="AM81" s="1" t="s">
        <v>775</v>
      </c>
      <c r="AN81" s="1" t="s">
        <v>776</v>
      </c>
      <c r="AO81" s="1" t="s">
        <v>777</v>
      </c>
      <c r="AP81" s="1" t="s">
        <v>74</v>
      </c>
      <c r="AQ81" s="1" t="s">
        <v>74</v>
      </c>
      <c r="AR81" s="1" t="s">
        <v>778</v>
      </c>
      <c r="AS81" s="1" t="s">
        <v>779</v>
      </c>
      <c r="AT81" s="1" t="s">
        <v>780</v>
      </c>
      <c r="AU81" s="1">
        <v>2008</v>
      </c>
      <c r="AV81" s="1">
        <v>45</v>
      </c>
      <c r="AW81" s="1">
        <v>1</v>
      </c>
      <c r="AX81" s="1" t="s">
        <v>74</v>
      </c>
      <c r="AY81" s="1" t="s">
        <v>74</v>
      </c>
      <c r="AZ81" s="1" t="s">
        <v>74</v>
      </c>
      <c r="BA81" s="1" t="s">
        <v>74</v>
      </c>
      <c r="BB81" s="1">
        <v>1</v>
      </c>
      <c r="BC81" s="1">
        <v>23</v>
      </c>
      <c r="BD81" s="1" t="s">
        <v>74</v>
      </c>
      <c r="BE81" s="1" t="s">
        <v>781</v>
      </c>
      <c r="BF81" s="1" t="str">
        <f>HYPERLINK("http://dx.doi.org/10.1080/01638530701739181","http://dx.doi.org/10.1080/01638530701739181")</f>
        <v>http://dx.doi.org/10.1080/01638530701739181</v>
      </c>
      <c r="BG81" s="1" t="s">
        <v>74</v>
      </c>
      <c r="BH81" s="1" t="s">
        <v>74</v>
      </c>
      <c r="BI81" s="1">
        <v>23</v>
      </c>
      <c r="BJ81" s="1" t="s">
        <v>782</v>
      </c>
      <c r="BK81" s="1" t="s">
        <v>101</v>
      </c>
      <c r="BL81" s="1" t="s">
        <v>102</v>
      </c>
      <c r="BM81" s="1" t="s">
        <v>783</v>
      </c>
      <c r="BN81" s="1" t="s">
        <v>74</v>
      </c>
      <c r="BO81" s="1" t="s">
        <v>74</v>
      </c>
      <c r="BP81" s="1" t="s">
        <v>74</v>
      </c>
      <c r="BQ81" s="1" t="s">
        <v>74</v>
      </c>
      <c r="BR81" s="1" t="s">
        <v>104</v>
      </c>
      <c r="BS81" s="1" t="s">
        <v>784</v>
      </c>
      <c r="BT81" s="1" t="str">
        <f>HYPERLINK("https%3A%2F%2Fwww.webofscience.com%2Fwos%2Fwoscc%2Ffull-record%2FWOS:000252848800001","View Full Record in Web of Science")</f>
        <v>View Full Record in Web of Science</v>
      </c>
      <c r="BU81" s="1" t="s">
        <v>2040</v>
      </c>
      <c r="BV81" s="1" t="s">
        <v>10653</v>
      </c>
    </row>
    <row r="82" spans="1:75" ht="232" x14ac:dyDescent="0.35">
      <c r="A82" s="1" t="s">
        <v>72</v>
      </c>
      <c r="B82" s="1" t="s">
        <v>1221</v>
      </c>
      <c r="C82" s="1" t="s">
        <v>74</v>
      </c>
      <c r="D82" s="1" t="s">
        <v>74</v>
      </c>
      <c r="E82" s="1" t="s">
        <v>74</v>
      </c>
      <c r="F82" s="1" t="s">
        <v>1222</v>
      </c>
      <c r="G82" s="1" t="s">
        <v>74</v>
      </c>
      <c r="H82" s="1" t="s">
        <v>74</v>
      </c>
      <c r="I82" s="1" t="s">
        <v>1223</v>
      </c>
      <c r="J82" s="1" t="s">
        <v>161</v>
      </c>
      <c r="K82" s="1" t="s">
        <v>74</v>
      </c>
      <c r="L82" s="1" t="s">
        <v>74</v>
      </c>
      <c r="M82" s="1" t="s">
        <v>78</v>
      </c>
      <c r="N82" s="1" t="s">
        <v>79</v>
      </c>
      <c r="O82" s="1" t="s">
        <v>74</v>
      </c>
      <c r="P82" s="1" t="s">
        <v>74</v>
      </c>
      <c r="Q82" s="1" t="s">
        <v>74</v>
      </c>
      <c r="R82" s="1" t="s">
        <v>74</v>
      </c>
      <c r="S82" s="1" t="s">
        <v>74</v>
      </c>
      <c r="T82" s="1" t="s">
        <v>74</v>
      </c>
      <c r="U82" s="1" t="s">
        <v>1224</v>
      </c>
      <c r="V82" s="1" t="s">
        <v>1225</v>
      </c>
      <c r="W82" s="1" t="s">
        <v>1226</v>
      </c>
      <c r="X82" s="1" t="s">
        <v>1227</v>
      </c>
      <c r="Y82" s="1" t="s">
        <v>1228</v>
      </c>
      <c r="Z82" s="1" t="s">
        <v>1229</v>
      </c>
      <c r="AA82" s="1" t="s">
        <v>1230</v>
      </c>
      <c r="AB82" s="1" t="s">
        <v>74</v>
      </c>
      <c r="AC82" s="1" t="s">
        <v>74</v>
      </c>
      <c r="AD82" s="1" t="s">
        <v>74</v>
      </c>
      <c r="AE82" s="1" t="s">
        <v>74</v>
      </c>
      <c r="AF82" s="1" t="s">
        <v>74</v>
      </c>
      <c r="AG82" s="1">
        <v>90</v>
      </c>
      <c r="AH82" s="1">
        <v>360</v>
      </c>
      <c r="AI82" s="1">
        <v>367</v>
      </c>
      <c r="AJ82" s="1">
        <v>9</v>
      </c>
      <c r="AK82" s="1">
        <v>164</v>
      </c>
      <c r="AL82" s="1" t="s">
        <v>170</v>
      </c>
      <c r="AM82" s="1" t="s">
        <v>171</v>
      </c>
      <c r="AN82" s="1" t="s">
        <v>172</v>
      </c>
      <c r="AO82" s="1" t="s">
        <v>173</v>
      </c>
      <c r="AP82" s="1" t="s">
        <v>174</v>
      </c>
      <c r="AQ82" s="1" t="s">
        <v>74</v>
      </c>
      <c r="AR82" s="1" t="s">
        <v>175</v>
      </c>
      <c r="AS82" s="1" t="s">
        <v>176</v>
      </c>
      <c r="AT82" s="1" t="s">
        <v>294</v>
      </c>
      <c r="AU82" s="1">
        <v>2008</v>
      </c>
      <c r="AV82" s="1">
        <v>34</v>
      </c>
      <c r="AW82" s="1">
        <v>6</v>
      </c>
      <c r="AX82" s="1" t="s">
        <v>74</v>
      </c>
      <c r="AY82" s="1" t="s">
        <v>74</v>
      </c>
      <c r="AZ82" s="1" t="s">
        <v>74</v>
      </c>
      <c r="BA82" s="1" t="s">
        <v>74</v>
      </c>
      <c r="BB82" s="1">
        <v>832</v>
      </c>
      <c r="BC82" s="1">
        <v>849</v>
      </c>
      <c r="BD82" s="1" t="s">
        <v>74</v>
      </c>
      <c r="BE82" s="1" t="s">
        <v>1231</v>
      </c>
      <c r="BF82" s="1" t="str">
        <f>HYPERLINK("http://dx.doi.org/10.1086/523291","http://dx.doi.org/10.1086/523291")</f>
        <v>http://dx.doi.org/10.1086/523291</v>
      </c>
      <c r="BG82" s="1" t="s">
        <v>74</v>
      </c>
      <c r="BH82" s="1" t="s">
        <v>74</v>
      </c>
      <c r="BI82" s="1">
        <v>18</v>
      </c>
      <c r="BJ82" s="1" t="s">
        <v>153</v>
      </c>
      <c r="BK82" s="1" t="s">
        <v>101</v>
      </c>
      <c r="BL82" s="1" t="s">
        <v>154</v>
      </c>
      <c r="BM82" s="1" t="s">
        <v>1232</v>
      </c>
      <c r="BN82" s="1" t="s">
        <v>74</v>
      </c>
      <c r="BO82" s="1" t="s">
        <v>828</v>
      </c>
      <c r="BP82" s="1" t="s">
        <v>74</v>
      </c>
      <c r="BQ82" s="1" t="s">
        <v>74</v>
      </c>
      <c r="BR82" s="1" t="s">
        <v>104</v>
      </c>
      <c r="BS82" s="1" t="s">
        <v>1233</v>
      </c>
      <c r="BT82" s="1" t="str">
        <f>HYPERLINK("https%3A%2F%2Fwww.webofscience.com%2Fwos%2Fwoscc%2Ffull-record%2FWOS:000260310800008","View Full Record in Web of Science")</f>
        <v>View Full Record in Web of Science</v>
      </c>
      <c r="BU82" s="1" t="s">
        <v>2040</v>
      </c>
      <c r="BV82" s="1" t="s">
        <v>6080</v>
      </c>
      <c r="BW82" s="1" t="s">
        <v>10653</v>
      </c>
    </row>
    <row r="83" spans="1:75" ht="246.5" x14ac:dyDescent="0.35">
      <c r="A83" s="1" t="s">
        <v>72</v>
      </c>
      <c r="B83" s="1" t="s">
        <v>3138</v>
      </c>
      <c r="C83" s="1" t="s">
        <v>74</v>
      </c>
      <c r="D83" s="1" t="s">
        <v>74</v>
      </c>
      <c r="E83" s="1" t="s">
        <v>74</v>
      </c>
      <c r="F83" s="1" t="s">
        <v>3139</v>
      </c>
      <c r="G83" s="1" t="s">
        <v>74</v>
      </c>
      <c r="H83" s="1" t="s">
        <v>74</v>
      </c>
      <c r="I83" s="1" t="s">
        <v>3140</v>
      </c>
      <c r="J83" s="1" t="s">
        <v>2604</v>
      </c>
      <c r="K83" s="1" t="s">
        <v>74</v>
      </c>
      <c r="L83" s="1" t="s">
        <v>74</v>
      </c>
      <c r="M83" s="1" t="s">
        <v>78</v>
      </c>
      <c r="N83" s="1" t="s">
        <v>79</v>
      </c>
      <c r="O83" s="1" t="s">
        <v>74</v>
      </c>
      <c r="P83" s="1" t="s">
        <v>74</v>
      </c>
      <c r="Q83" s="1" t="s">
        <v>74</v>
      </c>
      <c r="R83" s="1" t="s">
        <v>74</v>
      </c>
      <c r="S83" s="1" t="s">
        <v>74</v>
      </c>
      <c r="T83" s="1" t="s">
        <v>74</v>
      </c>
      <c r="U83" s="1" t="s">
        <v>3141</v>
      </c>
      <c r="V83" s="1" t="s">
        <v>3142</v>
      </c>
      <c r="W83" s="1" t="s">
        <v>3143</v>
      </c>
      <c r="X83" s="1" t="s">
        <v>3144</v>
      </c>
      <c r="Y83" s="1" t="s">
        <v>3145</v>
      </c>
      <c r="Z83" s="1" t="s">
        <v>3146</v>
      </c>
      <c r="AA83" s="1" t="s">
        <v>74</v>
      </c>
      <c r="AB83" s="1" t="s">
        <v>3147</v>
      </c>
      <c r="AC83" s="1" t="s">
        <v>74</v>
      </c>
      <c r="AD83" s="1" t="s">
        <v>74</v>
      </c>
      <c r="AE83" s="1" t="s">
        <v>74</v>
      </c>
      <c r="AF83" s="1" t="s">
        <v>74</v>
      </c>
      <c r="AG83" s="1">
        <v>55</v>
      </c>
      <c r="AH83" s="1">
        <v>186</v>
      </c>
      <c r="AI83" s="1">
        <v>190</v>
      </c>
      <c r="AJ83" s="1">
        <v>1</v>
      </c>
      <c r="AK83" s="1">
        <v>25</v>
      </c>
      <c r="AL83" s="1" t="s">
        <v>2066</v>
      </c>
      <c r="AM83" s="1" t="s">
        <v>2067</v>
      </c>
      <c r="AN83" s="1" t="s">
        <v>2612</v>
      </c>
      <c r="AO83" s="1" t="s">
        <v>2613</v>
      </c>
      <c r="AP83" s="1" t="s">
        <v>2614</v>
      </c>
      <c r="AQ83" s="1" t="s">
        <v>74</v>
      </c>
      <c r="AR83" s="1" t="s">
        <v>2615</v>
      </c>
      <c r="AS83" s="1" t="s">
        <v>2616</v>
      </c>
      <c r="AT83" s="1" t="s">
        <v>746</v>
      </c>
      <c r="AU83" s="1">
        <v>2008</v>
      </c>
      <c r="AV83" s="1">
        <v>16</v>
      </c>
      <c r="AW83" s="1">
        <v>4</v>
      </c>
      <c r="AX83" s="1" t="s">
        <v>74</v>
      </c>
      <c r="AY83" s="1" t="s">
        <v>74</v>
      </c>
      <c r="AZ83" s="1" t="s">
        <v>74</v>
      </c>
      <c r="BA83" s="1" t="s">
        <v>74</v>
      </c>
      <c r="BB83" s="1">
        <v>372</v>
      </c>
      <c r="BC83" s="1">
        <v>403</v>
      </c>
      <c r="BD83" s="1" t="s">
        <v>74</v>
      </c>
      <c r="BE83" s="1" t="s">
        <v>3148</v>
      </c>
      <c r="BF83" s="1" t="str">
        <f>HYPERLINK("http://dx.doi.org/10.1093/pan/mpn018","http://dx.doi.org/10.1093/pan/mpn018")</f>
        <v>http://dx.doi.org/10.1093/pan/mpn018</v>
      </c>
      <c r="BG83" s="1" t="s">
        <v>74</v>
      </c>
      <c r="BH83" s="1" t="s">
        <v>74</v>
      </c>
      <c r="BI83" s="1">
        <v>32</v>
      </c>
      <c r="BJ83" s="1" t="s">
        <v>2619</v>
      </c>
      <c r="BK83" s="1" t="s">
        <v>101</v>
      </c>
      <c r="BL83" s="1" t="s">
        <v>2620</v>
      </c>
      <c r="BM83" s="1" t="s">
        <v>3149</v>
      </c>
      <c r="BN83" s="1" t="s">
        <v>74</v>
      </c>
      <c r="BO83" s="1" t="s">
        <v>334</v>
      </c>
      <c r="BP83" s="1" t="s">
        <v>74</v>
      </c>
      <c r="BQ83" s="1" t="s">
        <v>74</v>
      </c>
      <c r="BR83" s="1" t="s">
        <v>104</v>
      </c>
      <c r="BS83" s="1" t="s">
        <v>3150</v>
      </c>
      <c r="BT83" s="1" t="str">
        <f>HYPERLINK("https%3A%2F%2Fwww.webofscience.com%2Fwos%2Fwoscc%2Ffull-record%2FWOS:000263835100003","View Full Record in Web of Science")</f>
        <v>View Full Record in Web of Science</v>
      </c>
      <c r="BU83" s="1" t="s">
        <v>3776</v>
      </c>
      <c r="BV83" s="1" t="s">
        <v>10653</v>
      </c>
    </row>
    <row r="84" spans="1:75" ht="159.5" x14ac:dyDescent="0.35">
      <c r="A84" s="1" t="s">
        <v>72</v>
      </c>
      <c r="B84" s="1" t="s">
        <v>3151</v>
      </c>
      <c r="C84" s="1" t="s">
        <v>74</v>
      </c>
      <c r="D84" s="1" t="s">
        <v>74</v>
      </c>
      <c r="E84" s="1" t="s">
        <v>74</v>
      </c>
      <c r="F84" s="1" t="s">
        <v>3152</v>
      </c>
      <c r="G84" s="1" t="s">
        <v>74</v>
      </c>
      <c r="H84" s="1" t="s">
        <v>74</v>
      </c>
      <c r="I84" s="1" t="s">
        <v>3153</v>
      </c>
      <c r="J84" s="1" t="s">
        <v>3154</v>
      </c>
      <c r="K84" s="1" t="s">
        <v>74</v>
      </c>
      <c r="L84" s="1" t="s">
        <v>74</v>
      </c>
      <c r="M84" s="1" t="s">
        <v>78</v>
      </c>
      <c r="N84" s="1" t="s">
        <v>79</v>
      </c>
      <c r="O84" s="1" t="s">
        <v>74</v>
      </c>
      <c r="P84" s="1" t="s">
        <v>74</v>
      </c>
      <c r="Q84" s="1" t="s">
        <v>74</v>
      </c>
      <c r="R84" s="1" t="s">
        <v>74</v>
      </c>
      <c r="S84" s="1" t="s">
        <v>74</v>
      </c>
      <c r="T84" s="1" t="s">
        <v>3155</v>
      </c>
      <c r="U84" s="1" t="s">
        <v>3156</v>
      </c>
      <c r="V84" s="1" t="s">
        <v>3157</v>
      </c>
      <c r="W84" s="1" t="s">
        <v>3158</v>
      </c>
      <c r="X84" s="1" t="s">
        <v>2741</v>
      </c>
      <c r="Y84" s="1" t="s">
        <v>3159</v>
      </c>
      <c r="Z84" s="1" t="s">
        <v>3160</v>
      </c>
      <c r="AA84" s="1" t="s">
        <v>74</v>
      </c>
      <c r="AB84" s="1" t="s">
        <v>74</v>
      </c>
      <c r="AC84" s="1" t="s">
        <v>74</v>
      </c>
      <c r="AD84" s="1" t="s">
        <v>74</v>
      </c>
      <c r="AE84" s="1" t="s">
        <v>74</v>
      </c>
      <c r="AF84" s="1" t="s">
        <v>74</v>
      </c>
      <c r="AG84" s="1">
        <v>47</v>
      </c>
      <c r="AH84" s="1">
        <v>839</v>
      </c>
      <c r="AI84" s="1">
        <v>872</v>
      </c>
      <c r="AJ84" s="1">
        <v>29</v>
      </c>
      <c r="AK84" s="1">
        <v>266</v>
      </c>
      <c r="AL84" s="1" t="s">
        <v>854</v>
      </c>
      <c r="AM84" s="1" t="s">
        <v>410</v>
      </c>
      <c r="AN84" s="1" t="s">
        <v>855</v>
      </c>
      <c r="AO84" s="1" t="s">
        <v>3161</v>
      </c>
      <c r="AP84" s="1" t="s">
        <v>74</v>
      </c>
      <c r="AQ84" s="1" t="s">
        <v>74</v>
      </c>
      <c r="AR84" s="1" t="s">
        <v>3162</v>
      </c>
      <c r="AS84" s="1" t="s">
        <v>3163</v>
      </c>
      <c r="AT84" s="1" t="s">
        <v>469</v>
      </c>
      <c r="AU84" s="1">
        <v>2008</v>
      </c>
      <c r="AV84" s="1">
        <v>45</v>
      </c>
      <c r="AW84" s="1" t="s">
        <v>2123</v>
      </c>
      <c r="AX84" s="1" t="s">
        <v>74</v>
      </c>
      <c r="AY84" s="1" t="s">
        <v>74</v>
      </c>
      <c r="AZ84" s="1" t="s">
        <v>74</v>
      </c>
      <c r="BA84" s="1" t="s">
        <v>74</v>
      </c>
      <c r="BB84" s="1">
        <v>221</v>
      </c>
      <c r="BC84" s="1">
        <v>247</v>
      </c>
      <c r="BD84" s="1" t="s">
        <v>74</v>
      </c>
      <c r="BE84" s="1" t="s">
        <v>3164</v>
      </c>
      <c r="BF84" s="1" t="str">
        <f>HYPERLINK("http://dx.doi.org/10.1016/j.jacceco.2008.02.003","http://dx.doi.org/10.1016/j.jacceco.2008.02.003")</f>
        <v>http://dx.doi.org/10.1016/j.jacceco.2008.02.003</v>
      </c>
      <c r="BG84" s="1" t="s">
        <v>74</v>
      </c>
      <c r="BH84" s="1" t="s">
        <v>74</v>
      </c>
      <c r="BI84" s="1">
        <v>27</v>
      </c>
      <c r="BJ84" s="1" t="s">
        <v>2455</v>
      </c>
      <c r="BK84" s="1" t="s">
        <v>101</v>
      </c>
      <c r="BL84" s="1" t="s">
        <v>154</v>
      </c>
      <c r="BM84" s="1" t="s">
        <v>3165</v>
      </c>
      <c r="BN84" s="1" t="s">
        <v>74</v>
      </c>
      <c r="BO84" s="1" t="s">
        <v>74</v>
      </c>
      <c r="BP84" s="1" t="s">
        <v>74</v>
      </c>
      <c r="BQ84" s="1" t="s">
        <v>74</v>
      </c>
      <c r="BR84" s="1" t="s">
        <v>104</v>
      </c>
      <c r="BS84" s="1" t="s">
        <v>3166</v>
      </c>
      <c r="BT84" s="1" t="str">
        <f>HYPERLINK("https%3A%2F%2Fwww.webofscience.com%2Fwos%2Fwoscc%2Ffull-record%2FWOS:000258089600005","View Full Record in Web of Science")</f>
        <v>View Full Record in Web of Science</v>
      </c>
      <c r="BU84" s="1" t="s">
        <v>3776</v>
      </c>
      <c r="BV84" s="1" t="s">
        <v>10653</v>
      </c>
    </row>
    <row r="85" spans="1:75" ht="232" x14ac:dyDescent="0.35">
      <c r="A85" s="1" t="s">
        <v>72</v>
      </c>
      <c r="B85" s="1" t="s">
        <v>3167</v>
      </c>
      <c r="C85" s="1" t="s">
        <v>74</v>
      </c>
      <c r="D85" s="1" t="s">
        <v>74</v>
      </c>
      <c r="E85" s="1" t="s">
        <v>74</v>
      </c>
      <c r="F85" s="1" t="s">
        <v>3168</v>
      </c>
      <c r="G85" s="1" t="s">
        <v>74</v>
      </c>
      <c r="H85" s="1" t="s">
        <v>74</v>
      </c>
      <c r="I85" s="1" t="s">
        <v>3169</v>
      </c>
      <c r="J85" s="1" t="s">
        <v>161</v>
      </c>
      <c r="K85" s="1" t="s">
        <v>74</v>
      </c>
      <c r="L85" s="1" t="s">
        <v>74</v>
      </c>
      <c r="M85" s="1" t="s">
        <v>78</v>
      </c>
      <c r="N85" s="1" t="s">
        <v>79</v>
      </c>
      <c r="O85" s="1" t="s">
        <v>74</v>
      </c>
      <c r="P85" s="1" t="s">
        <v>74</v>
      </c>
      <c r="Q85" s="1" t="s">
        <v>74</v>
      </c>
      <c r="R85" s="1" t="s">
        <v>74</v>
      </c>
      <c r="S85" s="1" t="s">
        <v>74</v>
      </c>
      <c r="T85" s="1" t="s">
        <v>74</v>
      </c>
      <c r="U85" s="1" t="s">
        <v>3170</v>
      </c>
      <c r="V85" s="1" t="s">
        <v>3171</v>
      </c>
      <c r="W85" s="1" t="s">
        <v>3172</v>
      </c>
      <c r="X85" s="1" t="s">
        <v>3173</v>
      </c>
      <c r="Y85" s="1" t="s">
        <v>3174</v>
      </c>
      <c r="Z85" s="1" t="s">
        <v>3175</v>
      </c>
      <c r="AA85" s="1" t="s">
        <v>74</v>
      </c>
      <c r="AB85" s="1" t="s">
        <v>74</v>
      </c>
      <c r="AC85" s="1" t="s">
        <v>74</v>
      </c>
      <c r="AD85" s="1" t="s">
        <v>74</v>
      </c>
      <c r="AE85" s="1" t="s">
        <v>74</v>
      </c>
      <c r="AF85" s="1" t="s">
        <v>74</v>
      </c>
      <c r="AG85" s="1">
        <v>51</v>
      </c>
      <c r="AH85" s="1">
        <v>196</v>
      </c>
      <c r="AI85" s="1">
        <v>204</v>
      </c>
      <c r="AJ85" s="1">
        <v>5</v>
      </c>
      <c r="AK85" s="1">
        <v>81</v>
      </c>
      <c r="AL85" s="1" t="s">
        <v>170</v>
      </c>
      <c r="AM85" s="1" t="s">
        <v>171</v>
      </c>
      <c r="AN85" s="1" t="s">
        <v>172</v>
      </c>
      <c r="AO85" s="1" t="s">
        <v>173</v>
      </c>
      <c r="AP85" s="1" t="s">
        <v>174</v>
      </c>
      <c r="AQ85" s="1" t="s">
        <v>74</v>
      </c>
      <c r="AR85" s="1" t="s">
        <v>175</v>
      </c>
      <c r="AS85" s="1" t="s">
        <v>176</v>
      </c>
      <c r="AT85" s="1" t="s">
        <v>469</v>
      </c>
      <c r="AU85" s="1">
        <v>2008</v>
      </c>
      <c r="AV85" s="1">
        <v>35</v>
      </c>
      <c r="AW85" s="1">
        <v>2</v>
      </c>
      <c r="AX85" s="1" t="s">
        <v>74</v>
      </c>
      <c r="AY85" s="1" t="s">
        <v>74</v>
      </c>
      <c r="AZ85" s="1" t="s">
        <v>74</v>
      </c>
      <c r="BA85" s="1" t="s">
        <v>74</v>
      </c>
      <c r="BB85" s="1">
        <v>189</v>
      </c>
      <c r="BC85" s="1">
        <v>201</v>
      </c>
      <c r="BD85" s="1" t="s">
        <v>74</v>
      </c>
      <c r="BE85" s="1" t="s">
        <v>3176</v>
      </c>
      <c r="BF85" s="1" t="str">
        <f>HYPERLINK("http://dx.doi.org/10.1086/588685","http://dx.doi.org/10.1086/588685")</f>
        <v>http://dx.doi.org/10.1086/588685</v>
      </c>
      <c r="BG85" s="1" t="s">
        <v>74</v>
      </c>
      <c r="BH85" s="1" t="s">
        <v>74</v>
      </c>
      <c r="BI85" s="1">
        <v>13</v>
      </c>
      <c r="BJ85" s="1" t="s">
        <v>153</v>
      </c>
      <c r="BK85" s="1" t="s">
        <v>101</v>
      </c>
      <c r="BL85" s="1" t="s">
        <v>154</v>
      </c>
      <c r="BM85" s="1" t="s">
        <v>3177</v>
      </c>
      <c r="BN85" s="1" t="s">
        <v>74</v>
      </c>
      <c r="BO85" s="1" t="s">
        <v>74</v>
      </c>
      <c r="BP85" s="1" t="s">
        <v>74</v>
      </c>
      <c r="BQ85" s="1" t="s">
        <v>74</v>
      </c>
      <c r="BR85" s="1" t="s">
        <v>104</v>
      </c>
      <c r="BS85" s="1" t="s">
        <v>3178</v>
      </c>
      <c r="BT85" s="1" t="str">
        <f>HYPERLINK("https%3A%2F%2Fwww.webofscience.com%2Fwos%2Fwoscc%2Ffull-record%2FWOS:000257524900001","View Full Record in Web of Science")</f>
        <v>View Full Record in Web of Science</v>
      </c>
      <c r="BU85" s="1" t="s">
        <v>3776</v>
      </c>
      <c r="BV85" s="1" t="s">
        <v>6080</v>
      </c>
      <c r="BW85" s="1" t="s">
        <v>10653</v>
      </c>
    </row>
    <row r="86" spans="1:75" ht="232" x14ac:dyDescent="0.35">
      <c r="A86" s="1" t="s">
        <v>72</v>
      </c>
      <c r="B86" s="1" t="s">
        <v>1221</v>
      </c>
      <c r="C86" s="1" t="s">
        <v>74</v>
      </c>
      <c r="D86" s="1" t="s">
        <v>74</v>
      </c>
      <c r="E86" s="1" t="s">
        <v>74</v>
      </c>
      <c r="F86" s="1" t="s">
        <v>1222</v>
      </c>
      <c r="G86" s="1" t="s">
        <v>74</v>
      </c>
      <c r="H86" s="1" t="s">
        <v>74</v>
      </c>
      <c r="I86" s="1" t="s">
        <v>1223</v>
      </c>
      <c r="J86" s="1" t="s">
        <v>161</v>
      </c>
      <c r="K86" s="1" t="s">
        <v>74</v>
      </c>
      <c r="L86" s="1" t="s">
        <v>74</v>
      </c>
      <c r="M86" s="1" t="s">
        <v>78</v>
      </c>
      <c r="N86" s="1" t="s">
        <v>79</v>
      </c>
      <c r="O86" s="1" t="s">
        <v>74</v>
      </c>
      <c r="P86" s="1" t="s">
        <v>74</v>
      </c>
      <c r="Q86" s="1" t="s">
        <v>74</v>
      </c>
      <c r="R86" s="1" t="s">
        <v>74</v>
      </c>
      <c r="S86" s="1" t="s">
        <v>74</v>
      </c>
      <c r="T86" s="1" t="s">
        <v>74</v>
      </c>
      <c r="U86" s="1" t="s">
        <v>1224</v>
      </c>
      <c r="V86" s="1" t="s">
        <v>1225</v>
      </c>
      <c r="W86" s="1" t="s">
        <v>1226</v>
      </c>
      <c r="X86" s="1" t="s">
        <v>1227</v>
      </c>
      <c r="Y86" s="1" t="s">
        <v>1228</v>
      </c>
      <c r="Z86" s="1" t="s">
        <v>1229</v>
      </c>
      <c r="AA86" s="1" t="s">
        <v>1230</v>
      </c>
      <c r="AB86" s="1" t="s">
        <v>74</v>
      </c>
      <c r="AC86" s="1" t="s">
        <v>74</v>
      </c>
      <c r="AD86" s="1" t="s">
        <v>74</v>
      </c>
      <c r="AE86" s="1" t="s">
        <v>74</v>
      </c>
      <c r="AF86" s="1" t="s">
        <v>74</v>
      </c>
      <c r="AG86" s="1">
        <v>90</v>
      </c>
      <c r="AH86" s="1">
        <v>360</v>
      </c>
      <c r="AI86" s="1">
        <v>367</v>
      </c>
      <c r="AJ86" s="1">
        <v>9</v>
      </c>
      <c r="AK86" s="1">
        <v>164</v>
      </c>
      <c r="AL86" s="1" t="s">
        <v>170</v>
      </c>
      <c r="AM86" s="1" t="s">
        <v>171</v>
      </c>
      <c r="AN86" s="1" t="s">
        <v>172</v>
      </c>
      <c r="AO86" s="1" t="s">
        <v>173</v>
      </c>
      <c r="AP86" s="1" t="s">
        <v>174</v>
      </c>
      <c r="AQ86" s="1" t="s">
        <v>74</v>
      </c>
      <c r="AR86" s="1" t="s">
        <v>175</v>
      </c>
      <c r="AS86" s="1" t="s">
        <v>176</v>
      </c>
      <c r="AT86" s="1" t="s">
        <v>294</v>
      </c>
      <c r="AU86" s="1">
        <v>2008</v>
      </c>
      <c r="AV86" s="1">
        <v>34</v>
      </c>
      <c r="AW86" s="1">
        <v>6</v>
      </c>
      <c r="AX86" s="1" t="s">
        <v>74</v>
      </c>
      <c r="AY86" s="1" t="s">
        <v>74</v>
      </c>
      <c r="AZ86" s="1" t="s">
        <v>74</v>
      </c>
      <c r="BA86" s="1" t="s">
        <v>74</v>
      </c>
      <c r="BB86" s="1">
        <v>832</v>
      </c>
      <c r="BC86" s="1">
        <v>849</v>
      </c>
      <c r="BD86" s="1" t="s">
        <v>74</v>
      </c>
      <c r="BE86" s="1" t="s">
        <v>1231</v>
      </c>
      <c r="BF86" s="1" t="str">
        <f>HYPERLINK("http://dx.doi.org/10.1086/523291","http://dx.doi.org/10.1086/523291")</f>
        <v>http://dx.doi.org/10.1086/523291</v>
      </c>
      <c r="BG86" s="1" t="s">
        <v>74</v>
      </c>
      <c r="BH86" s="1" t="s">
        <v>74</v>
      </c>
      <c r="BI86" s="1">
        <v>18</v>
      </c>
      <c r="BJ86" s="1" t="s">
        <v>153</v>
      </c>
      <c r="BK86" s="1" t="s">
        <v>101</v>
      </c>
      <c r="BL86" s="1" t="s">
        <v>154</v>
      </c>
      <c r="BM86" s="1" t="s">
        <v>1232</v>
      </c>
      <c r="BN86" s="1" t="s">
        <v>74</v>
      </c>
      <c r="BO86" s="1" t="s">
        <v>828</v>
      </c>
      <c r="BP86" s="1" t="s">
        <v>74</v>
      </c>
      <c r="BQ86" s="1" t="s">
        <v>74</v>
      </c>
      <c r="BR86" s="1" t="s">
        <v>104</v>
      </c>
      <c r="BS86" s="1" t="s">
        <v>1233</v>
      </c>
      <c r="BT86" s="1" t="str">
        <f>HYPERLINK("https%3A%2F%2Fwww.webofscience.com%2Fwos%2Fwoscc%2Ffull-record%2FWOS:000260310800008","View Full Record in Web of Science")</f>
        <v>View Full Record in Web of Science</v>
      </c>
      <c r="BU86" s="1" t="s">
        <v>3776</v>
      </c>
      <c r="BV86" s="1" t="s">
        <v>6080</v>
      </c>
      <c r="BW86" s="1" t="s">
        <v>10653</v>
      </c>
    </row>
    <row r="87" spans="1:75" ht="246.5" x14ac:dyDescent="0.35">
      <c r="A87" s="1" t="s">
        <v>72</v>
      </c>
      <c r="B87" s="1" t="s">
        <v>3179</v>
      </c>
      <c r="C87" s="1" t="s">
        <v>74</v>
      </c>
      <c r="D87" s="1" t="s">
        <v>74</v>
      </c>
      <c r="E87" s="1" t="s">
        <v>74</v>
      </c>
      <c r="F87" s="1" t="s">
        <v>3180</v>
      </c>
      <c r="G87" s="1" t="s">
        <v>74</v>
      </c>
      <c r="H87" s="1" t="s">
        <v>74</v>
      </c>
      <c r="I87" s="1" t="s">
        <v>3181</v>
      </c>
      <c r="J87" s="1" t="s">
        <v>1059</v>
      </c>
      <c r="K87" s="1" t="s">
        <v>74</v>
      </c>
      <c r="L87" s="1" t="s">
        <v>74</v>
      </c>
      <c r="M87" s="1" t="s">
        <v>78</v>
      </c>
      <c r="N87" s="1" t="s">
        <v>79</v>
      </c>
      <c r="O87" s="1" t="s">
        <v>74</v>
      </c>
      <c r="P87" s="1" t="s">
        <v>74</v>
      </c>
      <c r="Q87" s="1" t="s">
        <v>74</v>
      </c>
      <c r="R87" s="1" t="s">
        <v>74</v>
      </c>
      <c r="S87" s="1" t="s">
        <v>74</v>
      </c>
      <c r="T87" s="1" t="s">
        <v>3182</v>
      </c>
      <c r="U87" s="1" t="s">
        <v>74</v>
      </c>
      <c r="V87" s="1" t="s">
        <v>3183</v>
      </c>
      <c r="W87" s="1" t="s">
        <v>3184</v>
      </c>
      <c r="X87" s="1" t="s">
        <v>3185</v>
      </c>
      <c r="Y87" s="1" t="s">
        <v>3186</v>
      </c>
      <c r="Z87" s="1" t="s">
        <v>3187</v>
      </c>
      <c r="AA87" s="1" t="s">
        <v>3188</v>
      </c>
      <c r="AB87" s="1" t="s">
        <v>3189</v>
      </c>
      <c r="AC87" s="1" t="s">
        <v>74</v>
      </c>
      <c r="AD87" s="1" t="s">
        <v>74</v>
      </c>
      <c r="AE87" s="1" t="s">
        <v>74</v>
      </c>
      <c r="AF87" s="1" t="s">
        <v>74</v>
      </c>
      <c r="AG87" s="1">
        <v>30</v>
      </c>
      <c r="AH87" s="1">
        <v>88</v>
      </c>
      <c r="AI87" s="1">
        <v>90</v>
      </c>
      <c r="AJ87" s="1">
        <v>4</v>
      </c>
      <c r="AK87" s="1">
        <v>44</v>
      </c>
      <c r="AL87" s="1" t="s">
        <v>854</v>
      </c>
      <c r="AM87" s="1" t="s">
        <v>410</v>
      </c>
      <c r="AN87" s="1" t="s">
        <v>855</v>
      </c>
      <c r="AO87" s="1" t="s">
        <v>1069</v>
      </c>
      <c r="AP87" s="1" t="s">
        <v>74</v>
      </c>
      <c r="AQ87" s="1" t="s">
        <v>74</v>
      </c>
      <c r="AR87" s="1" t="s">
        <v>1071</v>
      </c>
      <c r="AS87" s="1" t="s">
        <v>1072</v>
      </c>
      <c r="AT87" s="1" t="s">
        <v>363</v>
      </c>
      <c r="AU87" s="1">
        <v>2008</v>
      </c>
      <c r="AV87" s="1">
        <v>44</v>
      </c>
      <c r="AW87" s="1">
        <v>4</v>
      </c>
      <c r="AX87" s="1" t="s">
        <v>74</v>
      </c>
      <c r="AY87" s="1" t="s">
        <v>74</v>
      </c>
      <c r="AZ87" s="1" t="s">
        <v>74</v>
      </c>
      <c r="BA87" s="1" t="s">
        <v>74</v>
      </c>
      <c r="BB87" s="1">
        <v>870</v>
      </c>
      <c r="BC87" s="1">
        <v>882</v>
      </c>
      <c r="BD87" s="1" t="s">
        <v>74</v>
      </c>
      <c r="BE87" s="1" t="s">
        <v>3190</v>
      </c>
      <c r="BF87" s="1" t="str">
        <f>HYPERLINK("http://dx.doi.org/10.1016/j.dss.2007.10.010","http://dx.doi.org/10.1016/j.dss.2007.10.010")</f>
        <v>http://dx.doi.org/10.1016/j.dss.2007.10.010</v>
      </c>
      <c r="BG87" s="1" t="s">
        <v>74</v>
      </c>
      <c r="BH87" s="1" t="s">
        <v>74</v>
      </c>
      <c r="BI87" s="1">
        <v>13</v>
      </c>
      <c r="BJ87" s="1" t="s">
        <v>1074</v>
      </c>
      <c r="BK87" s="1" t="s">
        <v>520</v>
      </c>
      <c r="BL87" s="1" t="s">
        <v>1075</v>
      </c>
      <c r="BM87" s="1" t="s">
        <v>3191</v>
      </c>
      <c r="BN87" s="1" t="s">
        <v>74</v>
      </c>
      <c r="BO87" s="1" t="s">
        <v>74</v>
      </c>
      <c r="BP87" s="1" t="s">
        <v>74</v>
      </c>
      <c r="BQ87" s="1" t="s">
        <v>74</v>
      </c>
      <c r="BR87" s="1" t="s">
        <v>104</v>
      </c>
      <c r="BS87" s="1" t="s">
        <v>3192</v>
      </c>
      <c r="BT87" s="1" t="str">
        <f>HYPERLINK("https%3A%2F%2Fwww.webofscience.com%2Fwos%2Fwoscc%2Ffull-record%2FWOS:000253750200008","View Full Record in Web of Science")</f>
        <v>View Full Record in Web of Science</v>
      </c>
      <c r="BU87" s="1" t="s">
        <v>3776</v>
      </c>
      <c r="BV87" s="1" t="s">
        <v>10653</v>
      </c>
    </row>
    <row r="88" spans="1:75" ht="275.5" x14ac:dyDescent="0.35">
      <c r="A88" s="1" t="s">
        <v>578</v>
      </c>
      <c r="B88" s="1" t="s">
        <v>3023</v>
      </c>
      <c r="C88" s="1" t="s">
        <v>74</v>
      </c>
      <c r="D88" s="1" t="s">
        <v>74</v>
      </c>
      <c r="E88" s="1" t="s">
        <v>3193</v>
      </c>
      <c r="F88" s="1" t="s">
        <v>3024</v>
      </c>
      <c r="G88" s="1" t="s">
        <v>74</v>
      </c>
      <c r="H88" s="1" t="s">
        <v>74</v>
      </c>
      <c r="I88" s="1" t="s">
        <v>3194</v>
      </c>
      <c r="J88" s="1" t="s">
        <v>3195</v>
      </c>
      <c r="K88" s="1" t="s">
        <v>3196</v>
      </c>
      <c r="L88" s="1" t="s">
        <v>74</v>
      </c>
      <c r="M88" s="1" t="s">
        <v>78</v>
      </c>
      <c r="N88" s="1" t="s">
        <v>584</v>
      </c>
      <c r="O88" s="1" t="s">
        <v>3197</v>
      </c>
      <c r="P88" s="1" t="s">
        <v>3198</v>
      </c>
      <c r="Q88" s="1" t="s">
        <v>3199</v>
      </c>
      <c r="R88" s="1" t="s">
        <v>3200</v>
      </c>
      <c r="S88" s="1" t="s">
        <v>74</v>
      </c>
      <c r="T88" s="1" t="s">
        <v>74</v>
      </c>
      <c r="U88" s="1" t="s">
        <v>74</v>
      </c>
      <c r="V88" s="1" t="s">
        <v>3201</v>
      </c>
      <c r="W88" s="1" t="s">
        <v>3202</v>
      </c>
      <c r="X88" s="1" t="s">
        <v>1490</v>
      </c>
      <c r="Y88" s="1" t="s">
        <v>3203</v>
      </c>
      <c r="Z88" s="1" t="s">
        <v>74</v>
      </c>
      <c r="AA88" s="1" t="s">
        <v>74</v>
      </c>
      <c r="AB88" s="1" t="s">
        <v>74</v>
      </c>
      <c r="AC88" s="1" t="s">
        <v>74</v>
      </c>
      <c r="AD88" s="1" t="s">
        <v>74</v>
      </c>
      <c r="AE88" s="1" t="s">
        <v>74</v>
      </c>
      <c r="AF88" s="1" t="s">
        <v>74</v>
      </c>
      <c r="AG88" s="1">
        <v>27</v>
      </c>
      <c r="AH88" s="1">
        <v>928</v>
      </c>
      <c r="AI88" s="1">
        <v>963</v>
      </c>
      <c r="AJ88" s="1">
        <v>3</v>
      </c>
      <c r="AK88" s="1">
        <v>39</v>
      </c>
      <c r="AL88" s="1" t="s">
        <v>724</v>
      </c>
      <c r="AM88" s="1" t="s">
        <v>725</v>
      </c>
      <c r="AN88" s="1" t="s">
        <v>2111</v>
      </c>
      <c r="AO88" s="1" t="s">
        <v>3204</v>
      </c>
      <c r="AP88" s="1" t="s">
        <v>74</v>
      </c>
      <c r="AQ88" s="1" t="s">
        <v>3205</v>
      </c>
      <c r="AR88" s="1" t="s">
        <v>3206</v>
      </c>
      <c r="AS88" s="1" t="s">
        <v>74</v>
      </c>
      <c r="AT88" s="1" t="s">
        <v>74</v>
      </c>
      <c r="AU88" s="1">
        <v>2008</v>
      </c>
      <c r="AV88" s="1" t="s">
        <v>74</v>
      </c>
      <c r="AW88" s="1" t="s">
        <v>74</v>
      </c>
      <c r="AX88" s="1" t="s">
        <v>74</v>
      </c>
      <c r="AY88" s="1" t="s">
        <v>74</v>
      </c>
      <c r="AZ88" s="1" t="s">
        <v>74</v>
      </c>
      <c r="BA88" s="1" t="s">
        <v>74</v>
      </c>
      <c r="BB88" s="1">
        <v>111</v>
      </c>
      <c r="BC88" s="1">
        <v>125</v>
      </c>
      <c r="BD88" s="1" t="s">
        <v>74</v>
      </c>
      <c r="BE88" s="1" t="s">
        <v>3207</v>
      </c>
      <c r="BF88" s="1" t="str">
        <f>HYPERLINK("http://dx.doi.org/10.1109/SP.2008.33","http://dx.doi.org/10.1109/SP.2008.33")</f>
        <v>http://dx.doi.org/10.1109/SP.2008.33</v>
      </c>
      <c r="BG88" s="1" t="s">
        <v>74</v>
      </c>
      <c r="BH88" s="1" t="s">
        <v>74</v>
      </c>
      <c r="BI88" s="1">
        <v>15</v>
      </c>
      <c r="BJ88" s="1" t="s">
        <v>2071</v>
      </c>
      <c r="BK88" s="1" t="s">
        <v>604</v>
      </c>
      <c r="BL88" s="1" t="s">
        <v>733</v>
      </c>
      <c r="BM88" s="1" t="s">
        <v>3208</v>
      </c>
      <c r="BN88" s="1" t="s">
        <v>74</v>
      </c>
      <c r="BO88" s="1" t="s">
        <v>74</v>
      </c>
      <c r="BP88" s="1" t="s">
        <v>74</v>
      </c>
      <c r="BQ88" s="1" t="s">
        <v>74</v>
      </c>
      <c r="BR88" s="1" t="s">
        <v>104</v>
      </c>
      <c r="BS88" s="1" t="s">
        <v>3209</v>
      </c>
      <c r="BT88" s="1" t="str">
        <f>HYPERLINK("https%3A%2F%2Fwww.webofscience.com%2Fwos%2Fwoscc%2Ffull-record%2FWOS:000256560300008","View Full Record in Web of Science")</f>
        <v>View Full Record in Web of Science</v>
      </c>
      <c r="BU88" s="1" t="s">
        <v>3776</v>
      </c>
      <c r="BV88" s="1" t="s">
        <v>10653</v>
      </c>
      <c r="BW88" s="1" t="s">
        <v>10653</v>
      </c>
    </row>
    <row r="89" spans="1:75" ht="409.5" x14ac:dyDescent="0.35">
      <c r="A89" s="1" t="s">
        <v>72</v>
      </c>
      <c r="B89" s="1" t="s">
        <v>4153</v>
      </c>
      <c r="C89" s="1" t="s">
        <v>74</v>
      </c>
      <c r="D89" s="1" t="s">
        <v>74</v>
      </c>
      <c r="E89" s="1" t="s">
        <v>74</v>
      </c>
      <c r="F89" s="1" t="s">
        <v>4154</v>
      </c>
      <c r="G89" s="1" t="s">
        <v>74</v>
      </c>
      <c r="H89" s="1" t="s">
        <v>74</v>
      </c>
      <c r="I89" s="1" t="s">
        <v>4155</v>
      </c>
      <c r="J89" s="1" t="s">
        <v>4156</v>
      </c>
      <c r="K89" s="1" t="s">
        <v>74</v>
      </c>
      <c r="L89" s="1" t="s">
        <v>74</v>
      </c>
      <c r="M89" s="1" t="s">
        <v>78</v>
      </c>
      <c r="N89" s="1" t="s">
        <v>110</v>
      </c>
      <c r="O89" s="1" t="s">
        <v>74</v>
      </c>
      <c r="P89" s="1" t="s">
        <v>74</v>
      </c>
      <c r="Q89" s="1" t="s">
        <v>74</v>
      </c>
      <c r="R89" s="1" t="s">
        <v>74</v>
      </c>
      <c r="S89" s="1" t="s">
        <v>74</v>
      </c>
      <c r="T89" s="1" t="s">
        <v>74</v>
      </c>
      <c r="U89" s="1" t="s">
        <v>4157</v>
      </c>
      <c r="V89" s="1" t="s">
        <v>4158</v>
      </c>
      <c r="W89" s="1" t="s">
        <v>4159</v>
      </c>
      <c r="X89" s="1" t="s">
        <v>4160</v>
      </c>
      <c r="Y89" s="1" t="s">
        <v>4161</v>
      </c>
      <c r="Z89" s="1" t="s">
        <v>4162</v>
      </c>
      <c r="AA89" s="1" t="s">
        <v>4163</v>
      </c>
      <c r="AB89" s="1" t="s">
        <v>4164</v>
      </c>
      <c r="AC89" s="1" t="s">
        <v>74</v>
      </c>
      <c r="AD89" s="1" t="s">
        <v>74</v>
      </c>
      <c r="AE89" s="1" t="s">
        <v>74</v>
      </c>
      <c r="AF89" s="1" t="s">
        <v>74</v>
      </c>
      <c r="AG89" s="1">
        <v>159</v>
      </c>
      <c r="AH89" s="1">
        <v>310</v>
      </c>
      <c r="AI89" s="1">
        <v>319</v>
      </c>
      <c r="AJ89" s="1">
        <v>0</v>
      </c>
      <c r="AK89" s="1">
        <v>81</v>
      </c>
      <c r="AL89" s="1" t="s">
        <v>206</v>
      </c>
      <c r="AM89" s="1" t="s">
        <v>207</v>
      </c>
      <c r="AN89" s="1" t="s">
        <v>208</v>
      </c>
      <c r="AO89" s="1" t="s">
        <v>4165</v>
      </c>
      <c r="AP89" s="1" t="s">
        <v>4166</v>
      </c>
      <c r="AQ89" s="1" t="s">
        <v>74</v>
      </c>
      <c r="AR89" s="1" t="s">
        <v>4167</v>
      </c>
      <c r="AS89" s="1" t="s">
        <v>4168</v>
      </c>
      <c r="AT89" s="1" t="s">
        <v>348</v>
      </c>
      <c r="AU89" s="1">
        <v>2008</v>
      </c>
      <c r="AV89" s="1">
        <v>10</v>
      </c>
      <c r="AW89" s="1">
        <v>4</v>
      </c>
      <c r="AX89" s="1" t="s">
        <v>74</v>
      </c>
      <c r="AY89" s="1" t="s">
        <v>74</v>
      </c>
      <c r="AZ89" s="1" t="s">
        <v>74</v>
      </c>
      <c r="BA89" s="1" t="s">
        <v>74</v>
      </c>
      <c r="BB89" s="1">
        <v>343</v>
      </c>
      <c r="BC89" s="1">
        <v>374</v>
      </c>
      <c r="BD89" s="1" t="s">
        <v>74</v>
      </c>
      <c r="BE89" s="1" t="s">
        <v>4169</v>
      </c>
      <c r="BF89" s="1" t="str">
        <f>HYPERLINK("http://dx.doi.org/10.1111/j.1468-2370.2008.00232.x","http://dx.doi.org/10.1111/j.1468-2370.2008.00232.x")</f>
        <v>http://dx.doi.org/10.1111/j.1468-2370.2008.00232.x</v>
      </c>
      <c r="BG89" s="1" t="s">
        <v>74</v>
      </c>
      <c r="BH89" s="1" t="s">
        <v>74</v>
      </c>
      <c r="BI89" s="1">
        <v>32</v>
      </c>
      <c r="BJ89" s="1" t="s">
        <v>877</v>
      </c>
      <c r="BK89" s="1" t="s">
        <v>101</v>
      </c>
      <c r="BL89" s="1" t="s">
        <v>154</v>
      </c>
      <c r="BM89" s="1" t="s">
        <v>4170</v>
      </c>
      <c r="BN89" s="1" t="s">
        <v>74</v>
      </c>
      <c r="BO89" s="1" t="s">
        <v>74</v>
      </c>
      <c r="BP89" s="1" t="s">
        <v>74</v>
      </c>
      <c r="BQ89" s="1" t="s">
        <v>74</v>
      </c>
      <c r="BR89" s="1" t="s">
        <v>104</v>
      </c>
      <c r="BS89" s="1" t="s">
        <v>4171</v>
      </c>
      <c r="BT89" s="1" t="str">
        <f>HYPERLINK("https%3A%2F%2Fwww.webofscience.com%2Fwos%2Fwoscc%2Ffull-record%2FWOS:000261062300003","View Full Record in Web of Science")</f>
        <v>View Full Record in Web of Science</v>
      </c>
      <c r="BU89" s="1" t="s">
        <v>4172</v>
      </c>
      <c r="BV89" s="1" t="s">
        <v>10653</v>
      </c>
    </row>
    <row r="90" spans="1:75" ht="29" x14ac:dyDescent="0.35">
      <c r="A90" s="1" t="s">
        <v>72</v>
      </c>
      <c r="B90" s="1" t="s">
        <v>5807</v>
      </c>
      <c r="C90" s="1" t="s">
        <v>74</v>
      </c>
      <c r="D90" s="1" t="s">
        <v>74</v>
      </c>
      <c r="E90" s="1" t="s">
        <v>74</v>
      </c>
      <c r="F90" s="1" t="s">
        <v>5808</v>
      </c>
      <c r="G90" s="1" t="s">
        <v>74</v>
      </c>
      <c r="H90" s="1" t="s">
        <v>74</v>
      </c>
      <c r="I90" s="1" t="s">
        <v>5809</v>
      </c>
      <c r="J90" s="1" t="s">
        <v>5810</v>
      </c>
      <c r="K90" s="1" t="s">
        <v>74</v>
      </c>
      <c r="L90" s="1" t="s">
        <v>74</v>
      </c>
      <c r="M90" s="1" t="s">
        <v>78</v>
      </c>
      <c r="N90" s="1" t="s">
        <v>52</v>
      </c>
      <c r="O90" s="1" t="s">
        <v>74</v>
      </c>
      <c r="P90" s="1" t="s">
        <v>74</v>
      </c>
      <c r="Q90" s="1" t="s">
        <v>74</v>
      </c>
      <c r="R90" s="1" t="s">
        <v>74</v>
      </c>
      <c r="S90" s="1" t="s">
        <v>74</v>
      </c>
      <c r="T90" s="1" t="s">
        <v>74</v>
      </c>
      <c r="U90" s="1" t="s">
        <v>74</v>
      </c>
      <c r="V90" s="1" t="s">
        <v>74</v>
      </c>
      <c r="W90" s="1" t="s">
        <v>5811</v>
      </c>
      <c r="X90" s="1" t="s">
        <v>5812</v>
      </c>
      <c r="Y90" s="1" t="s">
        <v>74</v>
      </c>
      <c r="Z90" s="1" t="s">
        <v>74</v>
      </c>
      <c r="AA90" s="1" t="s">
        <v>74</v>
      </c>
      <c r="AB90" s="1" t="s">
        <v>74</v>
      </c>
      <c r="AC90" s="1" t="s">
        <v>74</v>
      </c>
      <c r="AD90" s="1" t="s">
        <v>74</v>
      </c>
      <c r="AE90" s="1" t="s">
        <v>74</v>
      </c>
      <c r="AF90" s="1" t="s">
        <v>74</v>
      </c>
      <c r="AG90" s="1">
        <v>0</v>
      </c>
      <c r="AH90" s="1">
        <v>0</v>
      </c>
      <c r="AI90" s="1">
        <v>0</v>
      </c>
      <c r="AJ90" s="1">
        <v>0</v>
      </c>
      <c r="AK90" s="1">
        <v>0</v>
      </c>
      <c r="AL90" s="1" t="s">
        <v>5813</v>
      </c>
      <c r="AM90" s="1" t="s">
        <v>5814</v>
      </c>
      <c r="AN90" s="1" t="s">
        <v>5815</v>
      </c>
      <c r="AO90" s="1" t="s">
        <v>5816</v>
      </c>
      <c r="AP90" s="1" t="s">
        <v>74</v>
      </c>
      <c r="AQ90" s="1" t="s">
        <v>74</v>
      </c>
      <c r="AR90" s="1" t="s">
        <v>5817</v>
      </c>
      <c r="AS90" s="1" t="s">
        <v>5818</v>
      </c>
      <c r="AT90" s="1" t="s">
        <v>1946</v>
      </c>
      <c r="AU90" s="1">
        <v>2008</v>
      </c>
      <c r="AV90" s="1">
        <v>43</v>
      </c>
      <c r="AW90" s="1" t="s">
        <v>1947</v>
      </c>
      <c r="AX90" s="1" t="s">
        <v>74</v>
      </c>
      <c r="AY90" s="1" t="s">
        <v>74</v>
      </c>
      <c r="AZ90" s="1" t="s">
        <v>74</v>
      </c>
      <c r="BA90" s="1" t="s">
        <v>74</v>
      </c>
      <c r="BB90" s="1">
        <v>396</v>
      </c>
      <c r="BC90" s="1">
        <v>396</v>
      </c>
      <c r="BD90" s="1" t="s">
        <v>74</v>
      </c>
      <c r="BE90" s="1" t="s">
        <v>74</v>
      </c>
      <c r="BF90" s="1" t="s">
        <v>74</v>
      </c>
      <c r="BG90" s="1" t="s">
        <v>74</v>
      </c>
      <c r="BH90" s="1" t="s">
        <v>74</v>
      </c>
      <c r="BI90" s="1">
        <v>1</v>
      </c>
      <c r="BJ90" s="1" t="s">
        <v>311</v>
      </c>
      <c r="BK90" s="1" t="s">
        <v>101</v>
      </c>
      <c r="BL90" s="1" t="s">
        <v>102</v>
      </c>
      <c r="BM90" s="1" t="s">
        <v>5819</v>
      </c>
      <c r="BN90" s="1" t="s">
        <v>74</v>
      </c>
      <c r="BO90" s="1" t="s">
        <v>74</v>
      </c>
      <c r="BP90" s="1" t="s">
        <v>74</v>
      </c>
      <c r="BQ90" s="1" t="s">
        <v>74</v>
      </c>
      <c r="BR90" s="1" t="s">
        <v>4296</v>
      </c>
      <c r="BS90" s="1" t="s">
        <v>5820</v>
      </c>
      <c r="BT90" s="1" t="str">
        <f>HYPERLINK("https%3A%2F%2Fwww.webofscience.com%2Fwos%2Fwoscc%2Ffull-record%2FWOS:000259264304687","View Full Record in Web of Science")</f>
        <v>View Full Record in Web of Science</v>
      </c>
      <c r="BU90" s="1" t="s">
        <v>5876</v>
      </c>
      <c r="BV90" s="1" t="s">
        <v>10653</v>
      </c>
    </row>
    <row r="91" spans="1:75" x14ac:dyDescent="0.35">
      <c r="A91" t="s">
        <v>72</v>
      </c>
      <c r="B91" t="s">
        <v>7835</v>
      </c>
      <c r="C91" t="s">
        <v>74</v>
      </c>
      <c r="D91" t="s">
        <v>74</v>
      </c>
      <c r="E91" t="s">
        <v>74</v>
      </c>
      <c r="F91" t="s">
        <v>7836</v>
      </c>
      <c r="G91" t="s">
        <v>74</v>
      </c>
      <c r="H91" t="s">
        <v>74</v>
      </c>
      <c r="I91" t="s">
        <v>7837</v>
      </c>
      <c r="J91" t="s">
        <v>7838</v>
      </c>
      <c r="K91" t="s">
        <v>74</v>
      </c>
      <c r="L91" t="s">
        <v>74</v>
      </c>
      <c r="M91" t="s">
        <v>78</v>
      </c>
      <c r="N91" t="s">
        <v>79</v>
      </c>
      <c r="O91" t="s">
        <v>74</v>
      </c>
      <c r="P91" t="s">
        <v>74</v>
      </c>
      <c r="Q91" t="s">
        <v>74</v>
      </c>
      <c r="R91" t="s">
        <v>74</v>
      </c>
      <c r="S91" t="s">
        <v>74</v>
      </c>
      <c r="T91" t="s">
        <v>74</v>
      </c>
      <c r="U91" t="s">
        <v>7839</v>
      </c>
      <c r="V91" t="s">
        <v>7840</v>
      </c>
      <c r="W91" t="s">
        <v>7841</v>
      </c>
      <c r="X91" t="s">
        <v>7842</v>
      </c>
      <c r="Y91" t="s">
        <v>7843</v>
      </c>
      <c r="Z91" t="s">
        <v>7844</v>
      </c>
      <c r="AA91" t="s">
        <v>74</v>
      </c>
      <c r="AB91" t="s">
        <v>74</v>
      </c>
      <c r="AC91" t="s">
        <v>74</v>
      </c>
      <c r="AD91" t="s">
        <v>74</v>
      </c>
      <c r="AE91" t="s">
        <v>74</v>
      </c>
      <c r="AF91" t="s">
        <v>74</v>
      </c>
      <c r="AG91">
        <v>28</v>
      </c>
      <c r="AH91">
        <v>11</v>
      </c>
      <c r="AI91">
        <v>11</v>
      </c>
      <c r="AJ91">
        <v>1</v>
      </c>
      <c r="AK91">
        <v>53</v>
      </c>
      <c r="AL91" t="s">
        <v>7845</v>
      </c>
      <c r="AM91" t="s">
        <v>325</v>
      </c>
      <c r="AN91" t="s">
        <v>7846</v>
      </c>
      <c r="AO91" t="s">
        <v>7847</v>
      </c>
      <c r="AP91" t="s">
        <v>74</v>
      </c>
      <c r="AQ91" t="s">
        <v>74</v>
      </c>
      <c r="AR91" t="s">
        <v>7848</v>
      </c>
      <c r="AS91" t="s">
        <v>7849</v>
      </c>
      <c r="AT91" t="s">
        <v>151</v>
      </c>
      <c r="AU91">
        <v>2008</v>
      </c>
      <c r="AV91">
        <v>48</v>
      </c>
      <c r="AW91">
        <v>2</v>
      </c>
      <c r="AX91" t="s">
        <v>74</v>
      </c>
      <c r="AY91" t="s">
        <v>74</v>
      </c>
      <c r="AZ91" t="s">
        <v>74</v>
      </c>
      <c r="BA91" t="s">
        <v>74</v>
      </c>
      <c r="BB91">
        <v>267</v>
      </c>
      <c r="BC91">
        <v>275</v>
      </c>
      <c r="BD91" t="s">
        <v>74</v>
      </c>
      <c r="BE91" t="s">
        <v>7850</v>
      </c>
      <c r="BF91" t="str">
        <f>HYPERLINK("http://dx.doi.org/10.2501/S0021849908080306","http://dx.doi.org/10.2501/S0021849908080306")</f>
        <v>http://dx.doi.org/10.2501/S0021849908080306</v>
      </c>
      <c r="BG91" t="s">
        <v>74</v>
      </c>
      <c r="BH91" t="s">
        <v>74</v>
      </c>
      <c r="BI91">
        <v>9</v>
      </c>
      <c r="BJ91" t="s">
        <v>2010</v>
      </c>
      <c r="BK91" t="s">
        <v>101</v>
      </c>
      <c r="BL91" t="s">
        <v>2011</v>
      </c>
      <c r="BM91" t="s">
        <v>7851</v>
      </c>
      <c r="BN91" t="s">
        <v>74</v>
      </c>
      <c r="BO91" t="s">
        <v>74</v>
      </c>
      <c r="BP91" t="s">
        <v>74</v>
      </c>
      <c r="BQ91" t="s">
        <v>74</v>
      </c>
      <c r="BR91" t="s">
        <v>6098</v>
      </c>
      <c r="BS91" t="s">
        <v>7852</v>
      </c>
      <c r="BT91" t="str">
        <f>HYPERLINK("https%3A%2F%2Fwww.webofscience.com%2Fwos%2Fwoscc%2Ffull-record%2FWOS:000256538700012","View Full Record in Web of Science")</f>
        <v>View Full Record in Web of Science</v>
      </c>
      <c r="BU91" t="s">
        <v>6100</v>
      </c>
      <c r="BV91" s="1" t="s">
        <v>6080</v>
      </c>
      <c r="BW91" s="1" t="s">
        <v>10653</v>
      </c>
    </row>
    <row r="92" spans="1:75" x14ac:dyDescent="0.35">
      <c r="A92" t="s">
        <v>72</v>
      </c>
      <c r="B92" t="s">
        <v>9796</v>
      </c>
      <c r="C92" t="s">
        <v>74</v>
      </c>
      <c r="D92" t="s">
        <v>74</v>
      </c>
      <c r="E92" t="s">
        <v>74</v>
      </c>
      <c r="F92" t="s">
        <v>9797</v>
      </c>
      <c r="G92" t="s">
        <v>74</v>
      </c>
      <c r="H92" t="s">
        <v>74</v>
      </c>
      <c r="I92" t="s">
        <v>9798</v>
      </c>
      <c r="J92" t="s">
        <v>1995</v>
      </c>
      <c r="K92" t="s">
        <v>74</v>
      </c>
      <c r="L92" t="s">
        <v>74</v>
      </c>
      <c r="M92" t="s">
        <v>78</v>
      </c>
      <c r="N92" t="s">
        <v>79</v>
      </c>
      <c r="O92" t="s">
        <v>74</v>
      </c>
      <c r="P92" t="s">
        <v>74</v>
      </c>
      <c r="Q92" t="s">
        <v>74</v>
      </c>
      <c r="R92" t="s">
        <v>74</v>
      </c>
      <c r="S92" t="s">
        <v>74</v>
      </c>
      <c r="T92" t="s">
        <v>9799</v>
      </c>
      <c r="U92" t="s">
        <v>9800</v>
      </c>
      <c r="V92" t="s">
        <v>9801</v>
      </c>
      <c r="W92" t="s">
        <v>9802</v>
      </c>
      <c r="X92" t="s">
        <v>9803</v>
      </c>
      <c r="Y92" t="s">
        <v>9804</v>
      </c>
      <c r="Z92" t="s">
        <v>9805</v>
      </c>
      <c r="AA92" t="s">
        <v>74</v>
      </c>
      <c r="AB92" t="s">
        <v>9806</v>
      </c>
      <c r="AC92" t="s">
        <v>74</v>
      </c>
      <c r="AD92" t="s">
        <v>74</v>
      </c>
      <c r="AE92" t="s">
        <v>74</v>
      </c>
      <c r="AF92" t="s">
        <v>74</v>
      </c>
      <c r="AG92">
        <v>51</v>
      </c>
      <c r="AH92">
        <v>30</v>
      </c>
      <c r="AI92">
        <v>30</v>
      </c>
      <c r="AJ92">
        <v>0</v>
      </c>
      <c r="AK92">
        <v>43</v>
      </c>
      <c r="AL92" t="s">
        <v>324</v>
      </c>
      <c r="AM92" t="s">
        <v>325</v>
      </c>
      <c r="AN92" t="s">
        <v>2004</v>
      </c>
      <c r="AO92" t="s">
        <v>2005</v>
      </c>
      <c r="AP92" t="s">
        <v>2006</v>
      </c>
      <c r="AQ92" t="s">
        <v>74</v>
      </c>
      <c r="AR92" t="s">
        <v>2007</v>
      </c>
      <c r="AS92" t="s">
        <v>2008</v>
      </c>
      <c r="AT92" t="s">
        <v>151</v>
      </c>
      <c r="AU92">
        <v>2008</v>
      </c>
      <c r="AV92">
        <v>34</v>
      </c>
      <c r="AW92">
        <v>2</v>
      </c>
      <c r="AX92" t="s">
        <v>74</v>
      </c>
      <c r="AY92" t="s">
        <v>74</v>
      </c>
      <c r="AZ92" t="s">
        <v>74</v>
      </c>
      <c r="BA92" t="s">
        <v>74</v>
      </c>
      <c r="BB92">
        <v>108</v>
      </c>
      <c r="BC92">
        <v>115</v>
      </c>
      <c r="BD92" t="s">
        <v>74</v>
      </c>
      <c r="BE92" t="s">
        <v>9807</v>
      </c>
      <c r="BF92" t="str">
        <f>HYPERLINK("http://dx.doi.org/10.1016/j.pubrev.2008.03.015","http://dx.doi.org/10.1016/j.pubrev.2008.03.015")</f>
        <v>http://dx.doi.org/10.1016/j.pubrev.2008.03.015</v>
      </c>
      <c r="BG92" t="s">
        <v>74</v>
      </c>
      <c r="BH92" t="s">
        <v>74</v>
      </c>
      <c r="BI92">
        <v>8</v>
      </c>
      <c r="BJ92" t="s">
        <v>2010</v>
      </c>
      <c r="BK92" t="s">
        <v>101</v>
      </c>
      <c r="BL92" t="s">
        <v>2011</v>
      </c>
      <c r="BM92" t="s">
        <v>9808</v>
      </c>
      <c r="BN92" t="s">
        <v>74</v>
      </c>
      <c r="BO92" t="s">
        <v>74</v>
      </c>
      <c r="BP92" t="s">
        <v>74</v>
      </c>
      <c r="BQ92" t="s">
        <v>74</v>
      </c>
      <c r="BR92" t="s">
        <v>6098</v>
      </c>
      <c r="BS92" t="s">
        <v>9809</v>
      </c>
      <c r="BT92" t="str">
        <f>HYPERLINK("https%3A%2F%2Fwww.webofscience.com%2Fwos%2Fwoscc%2Ffull-record%2FWOS:000256930300004","View Full Record in Web of Science")</f>
        <v>View Full Record in Web of Science</v>
      </c>
      <c r="BU92" t="s">
        <v>6100</v>
      </c>
      <c r="BV92" s="1" t="s">
        <v>10653</v>
      </c>
    </row>
    <row r="93" spans="1:75" ht="391.5" x14ac:dyDescent="0.35">
      <c r="A93" s="1" t="s">
        <v>578</v>
      </c>
      <c r="B93" s="1" t="s">
        <v>1536</v>
      </c>
      <c r="C93" s="1" t="s">
        <v>74</v>
      </c>
      <c r="D93" s="1" t="s">
        <v>74</v>
      </c>
      <c r="E93" s="1" t="s">
        <v>1537</v>
      </c>
      <c r="F93" s="1" t="s">
        <v>1538</v>
      </c>
      <c r="G93" s="1" t="s">
        <v>74</v>
      </c>
      <c r="H93" s="1" t="s">
        <v>74</v>
      </c>
      <c r="I93" s="1" t="s">
        <v>1539</v>
      </c>
      <c r="J93" s="1" t="s">
        <v>1540</v>
      </c>
      <c r="K93" s="1" t="s">
        <v>74</v>
      </c>
      <c r="L93" s="1" t="s">
        <v>74</v>
      </c>
      <c r="M93" s="1" t="s">
        <v>78</v>
      </c>
      <c r="N93" s="1" t="s">
        <v>584</v>
      </c>
      <c r="O93" s="1" t="s">
        <v>1541</v>
      </c>
      <c r="P93" s="1" t="s">
        <v>1542</v>
      </c>
      <c r="Q93" s="1" t="s">
        <v>1543</v>
      </c>
      <c r="R93" s="1" t="s">
        <v>1544</v>
      </c>
      <c r="S93" s="1" t="s">
        <v>74</v>
      </c>
      <c r="T93" s="1" t="s">
        <v>1545</v>
      </c>
      <c r="U93" s="1" t="s">
        <v>74</v>
      </c>
      <c r="V93" s="1" t="s">
        <v>1546</v>
      </c>
      <c r="W93" s="1" t="s">
        <v>1547</v>
      </c>
      <c r="X93" s="1" t="s">
        <v>74</v>
      </c>
      <c r="Y93" s="1" t="s">
        <v>1548</v>
      </c>
      <c r="Z93" s="1" t="s">
        <v>1549</v>
      </c>
      <c r="AA93" s="1" t="s">
        <v>1550</v>
      </c>
      <c r="AB93" s="1" t="s">
        <v>74</v>
      </c>
      <c r="AC93" s="1" t="s">
        <v>74</v>
      </c>
      <c r="AD93" s="1" t="s">
        <v>74</v>
      </c>
      <c r="AE93" s="1" t="s">
        <v>74</v>
      </c>
      <c r="AF93" s="1" t="s">
        <v>74</v>
      </c>
      <c r="AG93" s="1">
        <v>26</v>
      </c>
      <c r="AH93" s="1">
        <v>50</v>
      </c>
      <c r="AI93" s="1">
        <v>53</v>
      </c>
      <c r="AJ93" s="1">
        <v>0</v>
      </c>
      <c r="AK93" s="1">
        <v>12</v>
      </c>
      <c r="AL93" s="1" t="s">
        <v>599</v>
      </c>
      <c r="AM93" s="1" t="s">
        <v>325</v>
      </c>
      <c r="AN93" s="1" t="s">
        <v>600</v>
      </c>
      <c r="AO93" s="1" t="s">
        <v>74</v>
      </c>
      <c r="AP93" s="1" t="s">
        <v>74</v>
      </c>
      <c r="AQ93" s="1" t="s">
        <v>1551</v>
      </c>
      <c r="AR93" s="1" t="s">
        <v>74</v>
      </c>
      <c r="AS93" s="1" t="s">
        <v>74</v>
      </c>
      <c r="AT93" s="1" t="s">
        <v>74</v>
      </c>
      <c r="AU93" s="1">
        <v>2009</v>
      </c>
      <c r="AV93" s="1" t="s">
        <v>74</v>
      </c>
      <c r="AW93" s="1" t="s">
        <v>74</v>
      </c>
      <c r="AX93" s="1" t="s">
        <v>74</v>
      </c>
      <c r="AY93" s="1" t="s">
        <v>74</v>
      </c>
      <c r="AZ93" s="1" t="s">
        <v>74</v>
      </c>
      <c r="BA93" s="1" t="s">
        <v>74</v>
      </c>
      <c r="BB93" s="1">
        <v>707</v>
      </c>
      <c r="BC93" s="1">
        <v>715</v>
      </c>
      <c r="BD93" s="1" t="s">
        <v>74</v>
      </c>
      <c r="BE93" s="1" t="s">
        <v>74</v>
      </c>
      <c r="BF93" s="1" t="s">
        <v>74</v>
      </c>
      <c r="BG93" s="1" t="s">
        <v>74</v>
      </c>
      <c r="BH93" s="1" t="s">
        <v>74</v>
      </c>
      <c r="BI93" s="1">
        <v>9</v>
      </c>
      <c r="BJ93" s="1" t="s">
        <v>1552</v>
      </c>
      <c r="BK93" s="1" t="s">
        <v>604</v>
      </c>
      <c r="BL93" s="1" t="s">
        <v>417</v>
      </c>
      <c r="BM93" s="1" t="s">
        <v>1553</v>
      </c>
      <c r="BN93" s="1" t="s">
        <v>74</v>
      </c>
      <c r="BO93" s="1" t="s">
        <v>74</v>
      </c>
      <c r="BP93" s="1" t="s">
        <v>74</v>
      </c>
      <c r="BQ93" s="1" t="s">
        <v>74</v>
      </c>
      <c r="BR93" s="1" t="s">
        <v>104</v>
      </c>
      <c r="BS93" s="1" t="s">
        <v>1554</v>
      </c>
      <c r="BT93" s="1" t="str">
        <f>HYPERLINK("https%3A%2F%2Fwww.webofscience.com%2Fwos%2Fwoscc%2Ffull-record%2FWOS:000270922000070","View Full Record in Web of Science")</f>
        <v>View Full Record in Web of Science</v>
      </c>
      <c r="BU93" s="1" t="s">
        <v>2040</v>
      </c>
      <c r="BV93" s="1" t="s">
        <v>10653</v>
      </c>
    </row>
    <row r="94" spans="1:75" ht="406" x14ac:dyDescent="0.35">
      <c r="A94" s="1" t="s">
        <v>72</v>
      </c>
      <c r="B94" s="1" t="s">
        <v>3102</v>
      </c>
      <c r="C94" s="1" t="s">
        <v>74</v>
      </c>
      <c r="D94" s="1" t="s">
        <v>74</v>
      </c>
      <c r="E94" s="1" t="s">
        <v>74</v>
      </c>
      <c r="F94" s="1" t="s">
        <v>3103</v>
      </c>
      <c r="G94" s="1" t="s">
        <v>74</v>
      </c>
      <c r="H94" s="1" t="s">
        <v>74</v>
      </c>
      <c r="I94" s="1" t="s">
        <v>3104</v>
      </c>
      <c r="J94" s="1" t="s">
        <v>240</v>
      </c>
      <c r="K94" s="1" t="s">
        <v>74</v>
      </c>
      <c r="L94" s="1" t="s">
        <v>74</v>
      </c>
      <c r="M94" s="1" t="s">
        <v>78</v>
      </c>
      <c r="N94" s="1" t="s">
        <v>79</v>
      </c>
      <c r="O94" s="1" t="s">
        <v>74</v>
      </c>
      <c r="P94" s="1" t="s">
        <v>74</v>
      </c>
      <c r="Q94" s="1" t="s">
        <v>74</v>
      </c>
      <c r="R94" s="1" t="s">
        <v>74</v>
      </c>
      <c r="S94" s="1" t="s">
        <v>74</v>
      </c>
      <c r="T94" s="1" t="s">
        <v>3105</v>
      </c>
      <c r="U94" s="1" t="s">
        <v>3106</v>
      </c>
      <c r="V94" s="1" t="s">
        <v>3107</v>
      </c>
      <c r="W94" s="1" t="s">
        <v>3108</v>
      </c>
      <c r="X94" s="1" t="s">
        <v>3109</v>
      </c>
      <c r="Y94" s="1" t="s">
        <v>3110</v>
      </c>
      <c r="Z94" s="1" t="s">
        <v>3111</v>
      </c>
      <c r="AA94" s="1" t="s">
        <v>3112</v>
      </c>
      <c r="AB94" s="1" t="s">
        <v>74</v>
      </c>
      <c r="AC94" s="1" t="s">
        <v>74</v>
      </c>
      <c r="AD94" s="1" t="s">
        <v>74</v>
      </c>
      <c r="AE94" s="1" t="s">
        <v>74</v>
      </c>
      <c r="AF94" s="1" t="s">
        <v>74</v>
      </c>
      <c r="AG94" s="1">
        <v>66</v>
      </c>
      <c r="AH94" s="1">
        <v>1284</v>
      </c>
      <c r="AI94" s="1">
        <v>1300</v>
      </c>
      <c r="AJ94" s="1">
        <v>23</v>
      </c>
      <c r="AK94" s="1">
        <v>680</v>
      </c>
      <c r="AL94" s="1" t="s">
        <v>144</v>
      </c>
      <c r="AM94" s="1" t="s">
        <v>145</v>
      </c>
      <c r="AN94" s="1" t="s">
        <v>146</v>
      </c>
      <c r="AO94" s="1" t="s">
        <v>254</v>
      </c>
      <c r="AP94" s="1" t="s">
        <v>255</v>
      </c>
      <c r="AQ94" s="1" t="s">
        <v>74</v>
      </c>
      <c r="AR94" s="1" t="s">
        <v>256</v>
      </c>
      <c r="AS94" s="1" t="s">
        <v>257</v>
      </c>
      <c r="AT94" s="1" t="s">
        <v>517</v>
      </c>
      <c r="AU94" s="1">
        <v>2009</v>
      </c>
      <c r="AV94" s="1">
        <v>73</v>
      </c>
      <c r="AW94" s="1">
        <v>5</v>
      </c>
      <c r="AX94" s="1" t="s">
        <v>74</v>
      </c>
      <c r="AY94" s="1" t="s">
        <v>74</v>
      </c>
      <c r="AZ94" s="1" t="s">
        <v>74</v>
      </c>
      <c r="BA94" s="1" t="s">
        <v>74</v>
      </c>
      <c r="BB94" s="1">
        <v>30</v>
      </c>
      <c r="BC94" s="1">
        <v>51</v>
      </c>
      <c r="BD94" s="1" t="s">
        <v>74</v>
      </c>
      <c r="BE94" s="1" t="s">
        <v>3113</v>
      </c>
      <c r="BF94" s="1" t="str">
        <f>HYPERLINK("http://dx.doi.org/10.1509/jmkg.73.5.30","http://dx.doi.org/10.1509/jmkg.73.5.30")</f>
        <v>http://dx.doi.org/10.1509/jmkg.73.5.30</v>
      </c>
      <c r="BG94" s="1" t="s">
        <v>74</v>
      </c>
      <c r="BH94" s="1" t="s">
        <v>74</v>
      </c>
      <c r="BI94" s="1">
        <v>22</v>
      </c>
      <c r="BJ94" s="1" t="s">
        <v>153</v>
      </c>
      <c r="BK94" s="1" t="s">
        <v>101</v>
      </c>
      <c r="BL94" s="1" t="s">
        <v>154</v>
      </c>
      <c r="BM94" s="1" t="s">
        <v>3114</v>
      </c>
      <c r="BN94" s="1" t="s">
        <v>74</v>
      </c>
      <c r="BO94" s="1" t="s">
        <v>74</v>
      </c>
      <c r="BP94" s="1" t="s">
        <v>74</v>
      </c>
      <c r="BQ94" s="1" t="s">
        <v>74</v>
      </c>
      <c r="BR94" s="1" t="s">
        <v>104</v>
      </c>
      <c r="BS94" s="1" t="s">
        <v>3115</v>
      </c>
      <c r="BT94" s="1" t="str">
        <f>HYPERLINK("https%3A%2F%2Fwww.webofscience.com%2Fwos%2Fwoscc%2Ffull-record%2FWOS:000269096400003","View Full Record in Web of Science")</f>
        <v>View Full Record in Web of Science</v>
      </c>
      <c r="BU94" s="1" t="s">
        <v>3776</v>
      </c>
      <c r="BV94" s="1" t="s">
        <v>6080</v>
      </c>
      <c r="BW94" s="1" t="s">
        <v>10653</v>
      </c>
    </row>
    <row r="95" spans="1:75" ht="43.5" x14ac:dyDescent="0.35">
      <c r="A95" s="1" t="s">
        <v>72</v>
      </c>
      <c r="B95" s="1" t="s">
        <v>3116</v>
      </c>
      <c r="C95" s="1" t="s">
        <v>74</v>
      </c>
      <c r="D95" s="1" t="s">
        <v>74</v>
      </c>
      <c r="E95" s="1" t="s">
        <v>74</v>
      </c>
      <c r="F95" s="1" t="s">
        <v>3117</v>
      </c>
      <c r="G95" s="1" t="s">
        <v>74</v>
      </c>
      <c r="H95" s="1" t="s">
        <v>74</v>
      </c>
      <c r="I95" s="1" t="s">
        <v>3118</v>
      </c>
      <c r="J95" s="1" t="s">
        <v>1518</v>
      </c>
      <c r="K95" s="1" t="s">
        <v>74</v>
      </c>
      <c r="L95" s="1" t="s">
        <v>74</v>
      </c>
      <c r="M95" s="1" t="s">
        <v>78</v>
      </c>
      <c r="N95" s="1" t="s">
        <v>3119</v>
      </c>
      <c r="O95" s="1" t="s">
        <v>74</v>
      </c>
      <c r="P95" s="1" t="s">
        <v>74</v>
      </c>
      <c r="Q95" s="1" t="s">
        <v>74</v>
      </c>
      <c r="R95" s="1" t="s">
        <v>74</v>
      </c>
      <c r="S95" s="1" t="s">
        <v>74</v>
      </c>
      <c r="T95" s="1" t="s">
        <v>74</v>
      </c>
      <c r="U95" s="1" t="s">
        <v>74</v>
      </c>
      <c r="V95" s="1" t="s">
        <v>74</v>
      </c>
      <c r="W95" s="1" t="s">
        <v>3120</v>
      </c>
      <c r="X95" s="1" t="s">
        <v>3121</v>
      </c>
      <c r="Y95" s="1" t="s">
        <v>3122</v>
      </c>
      <c r="Z95" s="1" t="s">
        <v>74</v>
      </c>
      <c r="AA95" s="1" t="s">
        <v>74</v>
      </c>
      <c r="AB95" s="1" t="s">
        <v>74</v>
      </c>
      <c r="AC95" s="1" t="s">
        <v>74</v>
      </c>
      <c r="AD95" s="1" t="s">
        <v>74</v>
      </c>
      <c r="AE95" s="1" t="s">
        <v>74</v>
      </c>
      <c r="AF95" s="1" t="s">
        <v>74</v>
      </c>
      <c r="AG95" s="1">
        <v>1</v>
      </c>
      <c r="AH95" s="1">
        <v>686</v>
      </c>
      <c r="AI95" s="1">
        <v>686</v>
      </c>
      <c r="AJ95" s="1">
        <v>19</v>
      </c>
      <c r="AK95" s="1">
        <v>91</v>
      </c>
      <c r="AL95" s="1" t="s">
        <v>144</v>
      </c>
      <c r="AM95" s="1" t="s">
        <v>145</v>
      </c>
      <c r="AN95" s="1" t="s">
        <v>146</v>
      </c>
      <c r="AO95" s="1" t="s">
        <v>1526</v>
      </c>
      <c r="AP95" s="1" t="s">
        <v>74</v>
      </c>
      <c r="AQ95" s="1" t="s">
        <v>74</v>
      </c>
      <c r="AR95" s="1" t="s">
        <v>1528</v>
      </c>
      <c r="AS95" s="1" t="s">
        <v>1529</v>
      </c>
      <c r="AT95" s="1" t="s">
        <v>98</v>
      </c>
      <c r="AU95" s="1">
        <v>2009</v>
      </c>
      <c r="AV95" s="1">
        <v>12</v>
      </c>
      <c r="AW95" s="1">
        <v>3</v>
      </c>
      <c r="AX95" s="1" t="s">
        <v>74</v>
      </c>
      <c r="AY95" s="1" t="s">
        <v>74</v>
      </c>
      <c r="AZ95" s="1" t="s">
        <v>74</v>
      </c>
      <c r="BA95" s="1" t="s">
        <v>74</v>
      </c>
      <c r="BB95" s="1">
        <v>614</v>
      </c>
      <c r="BC95" s="1">
        <v>617</v>
      </c>
      <c r="BD95" s="1" t="s">
        <v>74</v>
      </c>
      <c r="BE95" s="1" t="s">
        <v>3123</v>
      </c>
      <c r="BF95" s="1" t="str">
        <f>HYPERLINK("http://dx.doi.org/10.1177/1094428108324514","http://dx.doi.org/10.1177/1094428108324514")</f>
        <v>http://dx.doi.org/10.1177/1094428108324514</v>
      </c>
      <c r="BG95" s="1" t="s">
        <v>74</v>
      </c>
      <c r="BH95" s="1" t="s">
        <v>74</v>
      </c>
      <c r="BI95" s="1">
        <v>4</v>
      </c>
      <c r="BJ95" s="1" t="s">
        <v>1531</v>
      </c>
      <c r="BK95" s="1" t="s">
        <v>101</v>
      </c>
      <c r="BL95" s="1" t="s">
        <v>1533</v>
      </c>
      <c r="BM95" s="1" t="s">
        <v>3124</v>
      </c>
      <c r="BN95" s="1" t="s">
        <v>74</v>
      </c>
      <c r="BO95" s="1" t="s">
        <v>74</v>
      </c>
      <c r="BP95" s="1" t="s">
        <v>74</v>
      </c>
      <c r="BQ95" s="1" t="s">
        <v>74</v>
      </c>
      <c r="BR95" s="1" t="s">
        <v>104</v>
      </c>
      <c r="BS95" s="1" t="s">
        <v>3125</v>
      </c>
      <c r="BT95" s="1" t="str">
        <f>HYPERLINK("https%3A%2F%2Fwww.webofscience.com%2Fwos%2Fwoscc%2Ffull-record%2FWOS:000266916700011","View Full Record in Web of Science")</f>
        <v>View Full Record in Web of Science</v>
      </c>
      <c r="BU95" s="1" t="s">
        <v>3776</v>
      </c>
      <c r="BV95" s="1" t="s">
        <v>10653</v>
      </c>
    </row>
    <row r="96" spans="1:75" ht="43.5" x14ac:dyDescent="0.35">
      <c r="A96" s="1" t="s">
        <v>72</v>
      </c>
      <c r="B96" s="1" t="s">
        <v>3126</v>
      </c>
      <c r="C96" s="1" t="s">
        <v>74</v>
      </c>
      <c r="D96" s="1" t="s">
        <v>74</v>
      </c>
      <c r="E96" s="1" t="s">
        <v>74</v>
      </c>
      <c r="F96" s="1" t="s">
        <v>3127</v>
      </c>
      <c r="G96" s="1" t="s">
        <v>74</v>
      </c>
      <c r="H96" s="1" t="s">
        <v>74</v>
      </c>
      <c r="I96" s="1" t="s">
        <v>3128</v>
      </c>
      <c r="J96" s="1" t="s">
        <v>1685</v>
      </c>
      <c r="K96" s="1" t="s">
        <v>74</v>
      </c>
      <c r="L96" s="1" t="s">
        <v>74</v>
      </c>
      <c r="M96" s="1" t="s">
        <v>78</v>
      </c>
      <c r="N96" s="1" t="s">
        <v>1352</v>
      </c>
      <c r="O96" s="1" t="s">
        <v>74</v>
      </c>
      <c r="P96" s="1" t="s">
        <v>74</v>
      </c>
      <c r="Q96" s="1" t="s">
        <v>74</v>
      </c>
      <c r="R96" s="1" t="s">
        <v>74</v>
      </c>
      <c r="S96" s="1" t="s">
        <v>74</v>
      </c>
      <c r="T96" s="1" t="s">
        <v>74</v>
      </c>
      <c r="U96" s="1" t="s">
        <v>74</v>
      </c>
      <c r="V96" s="1" t="s">
        <v>74</v>
      </c>
      <c r="W96" s="1" t="s">
        <v>3129</v>
      </c>
      <c r="X96" s="1" t="s">
        <v>3130</v>
      </c>
      <c r="Y96" s="1" t="s">
        <v>3131</v>
      </c>
      <c r="Z96" s="1" t="s">
        <v>3132</v>
      </c>
      <c r="AA96" s="1" t="s">
        <v>74</v>
      </c>
      <c r="AB96" s="1" t="s">
        <v>3133</v>
      </c>
      <c r="AC96" s="1" t="s">
        <v>74</v>
      </c>
      <c r="AD96" s="1" t="s">
        <v>74</v>
      </c>
      <c r="AE96" s="1" t="s">
        <v>74</v>
      </c>
      <c r="AF96" s="1" t="s">
        <v>74</v>
      </c>
      <c r="AG96" s="1">
        <v>10</v>
      </c>
      <c r="AH96" s="1">
        <v>293</v>
      </c>
      <c r="AI96" s="1">
        <v>300</v>
      </c>
      <c r="AJ96" s="1">
        <v>6</v>
      </c>
      <c r="AK96" s="1">
        <v>71</v>
      </c>
      <c r="AL96" s="1" t="s">
        <v>1694</v>
      </c>
      <c r="AM96" s="1" t="s">
        <v>92</v>
      </c>
      <c r="AN96" s="1" t="s">
        <v>1695</v>
      </c>
      <c r="AO96" s="1" t="s">
        <v>1696</v>
      </c>
      <c r="AP96" s="1" t="s">
        <v>1697</v>
      </c>
      <c r="AQ96" s="1" t="s">
        <v>74</v>
      </c>
      <c r="AR96" s="1" t="s">
        <v>1685</v>
      </c>
      <c r="AS96" s="1" t="s">
        <v>1698</v>
      </c>
      <c r="AT96" s="1" t="s">
        <v>3134</v>
      </c>
      <c r="AU96" s="1">
        <v>2009</v>
      </c>
      <c r="AV96" s="1">
        <v>323</v>
      </c>
      <c r="AW96" s="1">
        <v>5919</v>
      </c>
      <c r="AX96" s="1" t="s">
        <v>74</v>
      </c>
      <c r="AY96" s="1" t="s">
        <v>74</v>
      </c>
      <c r="AZ96" s="1" t="s">
        <v>74</v>
      </c>
      <c r="BA96" s="1" t="s">
        <v>74</v>
      </c>
      <c r="BB96" s="1">
        <v>1297</v>
      </c>
      <c r="BC96" s="1">
        <v>1298</v>
      </c>
      <c r="BD96" s="1" t="s">
        <v>74</v>
      </c>
      <c r="BE96" s="1" t="s">
        <v>3135</v>
      </c>
      <c r="BF96" s="1" t="str">
        <f>HYPERLINK("http://dx.doi.org/10.1126/science.1170411","http://dx.doi.org/10.1126/science.1170411")</f>
        <v>http://dx.doi.org/10.1126/science.1170411</v>
      </c>
      <c r="BG96" s="1" t="s">
        <v>74</v>
      </c>
      <c r="BH96" s="1" t="s">
        <v>74</v>
      </c>
      <c r="BI96" s="1">
        <v>2</v>
      </c>
      <c r="BJ96" s="1" t="s">
        <v>561</v>
      </c>
      <c r="BK96" s="1" t="s">
        <v>520</v>
      </c>
      <c r="BL96" s="1" t="s">
        <v>562</v>
      </c>
      <c r="BM96" s="1" t="s">
        <v>3136</v>
      </c>
      <c r="BN96" s="1">
        <v>19265007</v>
      </c>
      <c r="BO96" s="1" t="s">
        <v>74</v>
      </c>
      <c r="BP96" s="1" t="s">
        <v>74</v>
      </c>
      <c r="BQ96" s="1" t="s">
        <v>74</v>
      </c>
      <c r="BR96" s="1" t="s">
        <v>104</v>
      </c>
      <c r="BS96" s="1" t="s">
        <v>3137</v>
      </c>
      <c r="BT96" s="1" t="str">
        <f>HYPERLINK("https%3A%2F%2Fwww.webofscience.com%2Fwos%2Fwoscc%2Ffull-record%2FWOS:000263876700026","View Full Record in Web of Science")</f>
        <v>View Full Record in Web of Science</v>
      </c>
      <c r="BU96" s="1" t="s">
        <v>3776</v>
      </c>
      <c r="BV96" s="1" t="s">
        <v>10653</v>
      </c>
    </row>
    <row r="97" spans="1:75" ht="348" x14ac:dyDescent="0.35">
      <c r="A97" s="1" t="s">
        <v>72</v>
      </c>
      <c r="B97" s="1" t="s">
        <v>4134</v>
      </c>
      <c r="C97" s="1" t="s">
        <v>74</v>
      </c>
      <c r="D97" s="1" t="s">
        <v>74</v>
      </c>
      <c r="E97" s="1" t="s">
        <v>74</v>
      </c>
      <c r="F97" s="1" t="s">
        <v>4135</v>
      </c>
      <c r="G97" s="1" t="s">
        <v>74</v>
      </c>
      <c r="H97" s="1" t="s">
        <v>74</v>
      </c>
      <c r="I97" s="1" t="s">
        <v>4136</v>
      </c>
      <c r="J97" s="1" t="s">
        <v>4137</v>
      </c>
      <c r="K97" s="1" t="s">
        <v>74</v>
      </c>
      <c r="L97" s="1" t="s">
        <v>74</v>
      </c>
      <c r="M97" s="1" t="s">
        <v>78</v>
      </c>
      <c r="N97" s="1" t="s">
        <v>79</v>
      </c>
      <c r="O97" s="1" t="s">
        <v>74</v>
      </c>
      <c r="P97" s="1" t="s">
        <v>74</v>
      </c>
      <c r="Q97" s="1" t="s">
        <v>74</v>
      </c>
      <c r="R97" s="1" t="s">
        <v>74</v>
      </c>
      <c r="S97" s="1" t="s">
        <v>74</v>
      </c>
      <c r="T97" s="1" t="s">
        <v>4138</v>
      </c>
      <c r="U97" s="1" t="s">
        <v>4139</v>
      </c>
      <c r="V97" s="1" t="s">
        <v>4140</v>
      </c>
      <c r="W97" s="1" t="s">
        <v>4141</v>
      </c>
      <c r="X97" s="1" t="s">
        <v>4142</v>
      </c>
      <c r="Y97" s="1" t="s">
        <v>4143</v>
      </c>
      <c r="Z97" s="1" t="s">
        <v>4144</v>
      </c>
      <c r="AA97" s="1" t="s">
        <v>74</v>
      </c>
      <c r="AB97" s="1" t="s">
        <v>74</v>
      </c>
      <c r="AC97" s="1" t="s">
        <v>74</v>
      </c>
      <c r="AD97" s="1" t="s">
        <v>74</v>
      </c>
      <c r="AE97" s="1" t="s">
        <v>74</v>
      </c>
      <c r="AF97" s="1" t="s">
        <v>74</v>
      </c>
      <c r="AG97" s="1">
        <v>89</v>
      </c>
      <c r="AH97" s="1">
        <v>45</v>
      </c>
      <c r="AI97" s="1">
        <v>45</v>
      </c>
      <c r="AJ97" s="1">
        <v>0</v>
      </c>
      <c r="AK97" s="1">
        <v>15</v>
      </c>
      <c r="AL97" s="1" t="s">
        <v>2073</v>
      </c>
      <c r="AM97" s="1" t="s">
        <v>653</v>
      </c>
      <c r="AN97" s="1" t="s">
        <v>2074</v>
      </c>
      <c r="AO97" s="1" t="s">
        <v>4145</v>
      </c>
      <c r="AP97" s="1" t="s">
        <v>4146</v>
      </c>
      <c r="AQ97" s="1" t="s">
        <v>74</v>
      </c>
      <c r="AR97" s="1" t="s">
        <v>4147</v>
      </c>
      <c r="AS97" s="1" t="s">
        <v>4148</v>
      </c>
      <c r="AT97" s="1" t="s">
        <v>363</v>
      </c>
      <c r="AU97" s="1">
        <v>2009</v>
      </c>
      <c r="AV97" s="1">
        <v>46</v>
      </c>
      <c r="AW97" s="1">
        <v>3</v>
      </c>
      <c r="AX97" s="1" t="s">
        <v>74</v>
      </c>
      <c r="AY97" s="1" t="s">
        <v>74</v>
      </c>
      <c r="AZ97" s="1" t="s">
        <v>74</v>
      </c>
      <c r="BA97" s="1" t="s">
        <v>74</v>
      </c>
      <c r="BB97" s="1">
        <v>394</v>
      </c>
      <c r="BC97" s="1">
        <v>405</v>
      </c>
      <c r="BD97" s="1" t="s">
        <v>74</v>
      </c>
      <c r="BE97" s="1" t="s">
        <v>4149</v>
      </c>
      <c r="BF97" s="1" t="str">
        <f>HYPERLINK("http://dx.doi.org/10.1016/j.ijnurstu.2008.08.004","http://dx.doi.org/10.1016/j.ijnurstu.2008.08.004")</f>
        <v>http://dx.doi.org/10.1016/j.ijnurstu.2008.08.004</v>
      </c>
      <c r="BG97" s="1" t="s">
        <v>74</v>
      </c>
      <c r="BH97" s="1" t="s">
        <v>74</v>
      </c>
      <c r="BI97" s="1">
        <v>12</v>
      </c>
      <c r="BJ97" s="1" t="s">
        <v>4150</v>
      </c>
      <c r="BK97" s="1" t="s">
        <v>520</v>
      </c>
      <c r="BL97" s="1" t="s">
        <v>4150</v>
      </c>
      <c r="BM97" s="1" t="s">
        <v>4151</v>
      </c>
      <c r="BN97" s="1">
        <v>18838135</v>
      </c>
      <c r="BO97" s="1" t="s">
        <v>74</v>
      </c>
      <c r="BP97" s="1" t="s">
        <v>74</v>
      </c>
      <c r="BQ97" s="1" t="s">
        <v>74</v>
      </c>
      <c r="BR97" s="1" t="s">
        <v>104</v>
      </c>
      <c r="BS97" s="1" t="s">
        <v>4152</v>
      </c>
      <c r="BT97" s="1" t="str">
        <f>HYPERLINK("https%3A%2F%2Fwww.webofscience.com%2Fwos%2Fwoscc%2Ffull-record%2FWOS:000264776400011","View Full Record in Web of Science")</f>
        <v>View Full Record in Web of Science</v>
      </c>
      <c r="BU97" s="1" t="s">
        <v>4172</v>
      </c>
      <c r="BV97" s="1" t="s">
        <v>10653</v>
      </c>
    </row>
    <row r="98" spans="1:75" x14ac:dyDescent="0.35">
      <c r="A98" t="s">
        <v>72</v>
      </c>
      <c r="B98" t="s">
        <v>7251</v>
      </c>
      <c r="C98" t="s">
        <v>74</v>
      </c>
      <c r="D98" t="s">
        <v>74</v>
      </c>
      <c r="E98" t="s">
        <v>74</v>
      </c>
      <c r="F98" t="s">
        <v>7252</v>
      </c>
      <c r="G98" t="s">
        <v>74</v>
      </c>
      <c r="H98" t="s">
        <v>74</v>
      </c>
      <c r="I98" t="s">
        <v>7253</v>
      </c>
      <c r="J98" t="s">
        <v>6394</v>
      </c>
      <c r="K98" t="s">
        <v>74</v>
      </c>
      <c r="L98" t="s">
        <v>74</v>
      </c>
      <c r="M98" t="s">
        <v>78</v>
      </c>
      <c r="N98" t="s">
        <v>79</v>
      </c>
      <c r="O98" t="s">
        <v>74</v>
      </c>
      <c r="P98" t="s">
        <v>74</v>
      </c>
      <c r="Q98" t="s">
        <v>74</v>
      </c>
      <c r="R98" t="s">
        <v>74</v>
      </c>
      <c r="S98" t="s">
        <v>74</v>
      </c>
      <c r="T98" t="s">
        <v>74</v>
      </c>
      <c r="U98" t="s">
        <v>7254</v>
      </c>
      <c r="V98" t="s">
        <v>7255</v>
      </c>
      <c r="W98" t="s">
        <v>7256</v>
      </c>
      <c r="X98" t="s">
        <v>7257</v>
      </c>
      <c r="Y98" t="s">
        <v>7258</v>
      </c>
      <c r="Z98" t="s">
        <v>74</v>
      </c>
      <c r="AA98" t="s">
        <v>74</v>
      </c>
      <c r="AB98" t="s">
        <v>74</v>
      </c>
      <c r="AC98" t="s">
        <v>74</v>
      </c>
      <c r="AD98" t="s">
        <v>74</v>
      </c>
      <c r="AE98" t="s">
        <v>74</v>
      </c>
      <c r="AF98" t="s">
        <v>74</v>
      </c>
      <c r="AG98">
        <v>55</v>
      </c>
      <c r="AH98">
        <v>6</v>
      </c>
      <c r="AI98">
        <v>6</v>
      </c>
      <c r="AJ98">
        <v>1</v>
      </c>
      <c r="AK98">
        <v>11</v>
      </c>
      <c r="AL98" t="s">
        <v>7259</v>
      </c>
      <c r="AM98" t="s">
        <v>7260</v>
      </c>
      <c r="AN98" t="s">
        <v>7261</v>
      </c>
      <c r="AO98" t="s">
        <v>6402</v>
      </c>
      <c r="AP98" t="s">
        <v>74</v>
      </c>
      <c r="AQ98" t="s">
        <v>74</v>
      </c>
      <c r="AR98" t="s">
        <v>6404</v>
      </c>
      <c r="AS98" t="s">
        <v>6405</v>
      </c>
      <c r="AT98" t="s">
        <v>3703</v>
      </c>
      <c r="AU98">
        <v>2009</v>
      </c>
      <c r="AV98">
        <v>38</v>
      </c>
      <c r="AW98">
        <v>4</v>
      </c>
      <c r="AX98" t="s">
        <v>74</v>
      </c>
      <c r="AY98" t="s">
        <v>74</v>
      </c>
      <c r="AZ98" t="s">
        <v>74</v>
      </c>
      <c r="BA98" t="s">
        <v>74</v>
      </c>
      <c r="BB98">
        <v>15</v>
      </c>
      <c r="BC98">
        <v>36</v>
      </c>
      <c r="BD98" t="s">
        <v>74</v>
      </c>
      <c r="BE98" t="s">
        <v>7262</v>
      </c>
      <c r="BF98" t="str">
        <f>HYPERLINK("http://dx.doi.org/10.2753/JOA0091-3367380402","http://dx.doi.org/10.2753/JOA0091-3367380402")</f>
        <v>http://dx.doi.org/10.2753/JOA0091-3367380402</v>
      </c>
      <c r="BG98" t="s">
        <v>74</v>
      </c>
      <c r="BH98" t="s">
        <v>74</v>
      </c>
      <c r="BI98">
        <v>22</v>
      </c>
      <c r="BJ98" t="s">
        <v>2010</v>
      </c>
      <c r="BK98" t="s">
        <v>101</v>
      </c>
      <c r="BL98" t="s">
        <v>2011</v>
      </c>
      <c r="BM98" t="s">
        <v>7263</v>
      </c>
      <c r="BN98" t="s">
        <v>74</v>
      </c>
      <c r="BO98" t="s">
        <v>367</v>
      </c>
      <c r="BP98" t="s">
        <v>74</v>
      </c>
      <c r="BQ98" t="s">
        <v>74</v>
      </c>
      <c r="BR98" t="s">
        <v>6098</v>
      </c>
      <c r="BS98" t="s">
        <v>7264</v>
      </c>
      <c r="BT98" t="str">
        <f>HYPERLINK("https%3A%2F%2Fwww.webofscience.com%2Fwos%2Fwoscc%2Ffull-record%2FWOS:000272498000002","View Full Record in Web of Science")</f>
        <v>View Full Record in Web of Science</v>
      </c>
      <c r="BU98" t="s">
        <v>6100</v>
      </c>
      <c r="BV98" s="1" t="s">
        <v>6080</v>
      </c>
      <c r="BW98" s="1" t="s">
        <v>10653</v>
      </c>
    </row>
    <row r="99" spans="1:75" ht="348" x14ac:dyDescent="0.35">
      <c r="A99" s="1" t="s">
        <v>72</v>
      </c>
      <c r="B99" s="1" t="s">
        <v>910</v>
      </c>
      <c r="C99" s="1" t="s">
        <v>74</v>
      </c>
      <c r="D99" s="1" t="s">
        <v>74</v>
      </c>
      <c r="E99" s="1" t="s">
        <v>74</v>
      </c>
      <c r="F99" s="1" t="s">
        <v>911</v>
      </c>
      <c r="G99" s="1" t="s">
        <v>74</v>
      </c>
      <c r="H99" s="1" t="s">
        <v>74</v>
      </c>
      <c r="I99" s="1" t="s">
        <v>912</v>
      </c>
      <c r="J99" s="1" t="s">
        <v>161</v>
      </c>
      <c r="K99" s="1" t="s">
        <v>74</v>
      </c>
      <c r="L99" s="1" t="s">
        <v>74</v>
      </c>
      <c r="M99" s="1" t="s">
        <v>78</v>
      </c>
      <c r="N99" s="1" t="s">
        <v>79</v>
      </c>
      <c r="O99" s="1" t="s">
        <v>74</v>
      </c>
      <c r="P99" s="1" t="s">
        <v>74</v>
      </c>
      <c r="Q99" s="1" t="s">
        <v>74</v>
      </c>
      <c r="R99" s="1" t="s">
        <v>74</v>
      </c>
      <c r="S99" s="1" t="s">
        <v>74</v>
      </c>
      <c r="T99" s="1" t="s">
        <v>74</v>
      </c>
      <c r="U99" s="1" t="s">
        <v>913</v>
      </c>
      <c r="V99" s="1" t="s">
        <v>914</v>
      </c>
      <c r="W99" s="1" t="s">
        <v>915</v>
      </c>
      <c r="X99" s="1" t="s">
        <v>916</v>
      </c>
      <c r="Y99" s="1" t="s">
        <v>917</v>
      </c>
      <c r="Z99" s="1" t="s">
        <v>918</v>
      </c>
      <c r="AA99" s="1" t="s">
        <v>74</v>
      </c>
      <c r="AB99" s="1" t="s">
        <v>74</v>
      </c>
      <c r="AC99" s="1" t="s">
        <v>74</v>
      </c>
      <c r="AD99" s="1" t="s">
        <v>74</v>
      </c>
      <c r="AE99" s="1" t="s">
        <v>74</v>
      </c>
      <c r="AF99" s="1" t="s">
        <v>74</v>
      </c>
      <c r="AG99" s="1">
        <v>116</v>
      </c>
      <c r="AH99" s="1">
        <v>176</v>
      </c>
      <c r="AI99" s="1">
        <v>181</v>
      </c>
      <c r="AJ99" s="1">
        <v>2</v>
      </c>
      <c r="AK99" s="1">
        <v>60</v>
      </c>
      <c r="AL99" s="1" t="s">
        <v>170</v>
      </c>
      <c r="AM99" s="1" t="s">
        <v>171</v>
      </c>
      <c r="AN99" s="1" t="s">
        <v>172</v>
      </c>
      <c r="AO99" s="1" t="s">
        <v>173</v>
      </c>
      <c r="AP99" s="1" t="s">
        <v>174</v>
      </c>
      <c r="AQ99" s="1" t="s">
        <v>74</v>
      </c>
      <c r="AR99" s="1" t="s">
        <v>175</v>
      </c>
      <c r="AS99" s="1" t="s">
        <v>176</v>
      </c>
      <c r="AT99" s="1" t="s">
        <v>281</v>
      </c>
      <c r="AU99" s="1">
        <v>2010</v>
      </c>
      <c r="AV99" s="1">
        <v>37</v>
      </c>
      <c r="AW99" s="1">
        <v>3</v>
      </c>
      <c r="AX99" s="1" t="s">
        <v>74</v>
      </c>
      <c r="AY99" s="1" t="s">
        <v>74</v>
      </c>
      <c r="AZ99" s="1" t="s">
        <v>74</v>
      </c>
      <c r="BA99" s="1" t="s">
        <v>74</v>
      </c>
      <c r="BB99" s="1">
        <v>490</v>
      </c>
      <c r="BC99" s="1">
        <v>510</v>
      </c>
      <c r="BD99" s="1" t="s">
        <v>74</v>
      </c>
      <c r="BE99" s="1" t="s">
        <v>919</v>
      </c>
      <c r="BF99" s="1" t="str">
        <f>HYPERLINK("http://dx.doi.org/10.1086/652464","http://dx.doi.org/10.1086/652464")</f>
        <v>http://dx.doi.org/10.1086/652464</v>
      </c>
      <c r="BG99" s="1" t="s">
        <v>74</v>
      </c>
      <c r="BH99" s="1" t="s">
        <v>74</v>
      </c>
      <c r="BI99" s="1">
        <v>21</v>
      </c>
      <c r="BJ99" s="1" t="s">
        <v>153</v>
      </c>
      <c r="BK99" s="1" t="s">
        <v>101</v>
      </c>
      <c r="BL99" s="1" t="s">
        <v>154</v>
      </c>
      <c r="BM99" s="1" t="s">
        <v>920</v>
      </c>
      <c r="BN99" s="1" t="s">
        <v>74</v>
      </c>
      <c r="BO99" s="1" t="s">
        <v>74</v>
      </c>
      <c r="BP99" s="1" t="s">
        <v>74</v>
      </c>
      <c r="BQ99" s="1" t="s">
        <v>74</v>
      </c>
      <c r="BR99" s="1" t="s">
        <v>104</v>
      </c>
      <c r="BS99" s="1" t="s">
        <v>921</v>
      </c>
      <c r="BT99" s="1" t="str">
        <f>HYPERLINK("https%3A%2F%2Fwww.webofscience.com%2Fwos%2Fwoscc%2Ffull-record%2FWOS:000281583600010","View Full Record in Web of Science")</f>
        <v>View Full Record in Web of Science</v>
      </c>
      <c r="BU99" s="1" t="s">
        <v>2040</v>
      </c>
      <c r="BV99" s="1" t="s">
        <v>6080</v>
      </c>
      <c r="BW99" s="1" t="s">
        <v>6080</v>
      </c>
    </row>
    <row r="100" spans="1:75" ht="188.5" x14ac:dyDescent="0.35">
      <c r="A100" s="1" t="s">
        <v>72</v>
      </c>
      <c r="B100" s="1" t="s">
        <v>1766</v>
      </c>
      <c r="C100" s="1" t="s">
        <v>74</v>
      </c>
      <c r="D100" s="1" t="s">
        <v>74</v>
      </c>
      <c r="E100" s="1" t="s">
        <v>74</v>
      </c>
      <c r="F100" s="1" t="s">
        <v>1767</v>
      </c>
      <c r="G100" s="1" t="s">
        <v>74</v>
      </c>
      <c r="H100" s="1" t="s">
        <v>74</v>
      </c>
      <c r="I100" s="1" t="s">
        <v>1768</v>
      </c>
      <c r="J100" s="1" t="s">
        <v>1769</v>
      </c>
      <c r="K100" s="1" t="s">
        <v>74</v>
      </c>
      <c r="L100" s="1" t="s">
        <v>74</v>
      </c>
      <c r="M100" s="1" t="s">
        <v>78</v>
      </c>
      <c r="N100" s="1" t="s">
        <v>110</v>
      </c>
      <c r="O100" s="1" t="s">
        <v>74</v>
      </c>
      <c r="P100" s="1" t="s">
        <v>74</v>
      </c>
      <c r="Q100" s="1" t="s">
        <v>74</v>
      </c>
      <c r="R100" s="1" t="s">
        <v>74</v>
      </c>
      <c r="S100" s="1" t="s">
        <v>74</v>
      </c>
      <c r="T100" s="1" t="s">
        <v>1770</v>
      </c>
      <c r="U100" s="1" t="s">
        <v>1771</v>
      </c>
      <c r="V100" s="1" t="s">
        <v>1772</v>
      </c>
      <c r="W100" s="1" t="s">
        <v>1773</v>
      </c>
      <c r="X100" s="1" t="s">
        <v>1490</v>
      </c>
      <c r="Y100" s="1" t="s">
        <v>1491</v>
      </c>
      <c r="Z100" s="1" t="s">
        <v>1774</v>
      </c>
      <c r="AA100" s="1" t="s">
        <v>494</v>
      </c>
      <c r="AB100" s="1" t="s">
        <v>495</v>
      </c>
      <c r="AC100" s="1" t="s">
        <v>74</v>
      </c>
      <c r="AD100" s="1" t="s">
        <v>74</v>
      </c>
      <c r="AE100" s="1" t="s">
        <v>74</v>
      </c>
      <c r="AF100" s="1" t="s">
        <v>74</v>
      </c>
      <c r="AG100" s="1">
        <v>163</v>
      </c>
      <c r="AH100" s="1">
        <v>2486</v>
      </c>
      <c r="AI100" s="1">
        <v>2525</v>
      </c>
      <c r="AJ100" s="1">
        <v>60</v>
      </c>
      <c r="AK100" s="1">
        <v>489</v>
      </c>
      <c r="AL100" s="1" t="s">
        <v>144</v>
      </c>
      <c r="AM100" s="1" t="s">
        <v>145</v>
      </c>
      <c r="AN100" s="1" t="s">
        <v>146</v>
      </c>
      <c r="AO100" s="1" t="s">
        <v>1775</v>
      </c>
      <c r="AP100" s="1" t="s">
        <v>1776</v>
      </c>
      <c r="AQ100" s="1" t="s">
        <v>74</v>
      </c>
      <c r="AR100" s="1" t="s">
        <v>1777</v>
      </c>
      <c r="AS100" s="1" t="s">
        <v>1778</v>
      </c>
      <c r="AT100" s="1" t="s">
        <v>363</v>
      </c>
      <c r="AU100" s="1">
        <v>2010</v>
      </c>
      <c r="AV100" s="1">
        <v>29</v>
      </c>
      <c r="AW100" s="1">
        <v>1</v>
      </c>
      <c r="AX100" s="1" t="s">
        <v>74</v>
      </c>
      <c r="AY100" s="1" t="s">
        <v>74</v>
      </c>
      <c r="AZ100" s="1" t="s">
        <v>74</v>
      </c>
      <c r="BA100" s="1" t="s">
        <v>74</v>
      </c>
      <c r="BB100" s="1">
        <v>24</v>
      </c>
      <c r="BC100" s="1">
        <v>54</v>
      </c>
      <c r="BD100" s="1" t="s">
        <v>74</v>
      </c>
      <c r="BE100" s="1" t="s">
        <v>1779</v>
      </c>
      <c r="BF100" s="1" t="str">
        <f>HYPERLINK("http://dx.doi.org/10.1177/0261927X09351676","http://dx.doi.org/10.1177/0261927X09351676")</f>
        <v>http://dx.doi.org/10.1177/0261927X09351676</v>
      </c>
      <c r="BG100" s="1" t="s">
        <v>74</v>
      </c>
      <c r="BH100" s="1" t="s">
        <v>74</v>
      </c>
      <c r="BI100" s="1">
        <v>31</v>
      </c>
      <c r="BJ100" s="1" t="s">
        <v>1780</v>
      </c>
      <c r="BK100" s="1" t="s">
        <v>101</v>
      </c>
      <c r="BL100" s="1" t="s">
        <v>1781</v>
      </c>
      <c r="BM100" s="1" t="s">
        <v>1782</v>
      </c>
      <c r="BN100" s="1" t="s">
        <v>74</v>
      </c>
      <c r="BO100" s="1" t="s">
        <v>74</v>
      </c>
      <c r="BP100" s="1" t="s">
        <v>74</v>
      </c>
      <c r="BQ100" s="1" t="s">
        <v>74</v>
      </c>
      <c r="BR100" s="1" t="s">
        <v>104</v>
      </c>
      <c r="BS100" s="1" t="s">
        <v>1783</v>
      </c>
      <c r="BT100" s="1" t="str">
        <f>HYPERLINK("https%3A%2F%2Fwww.webofscience.com%2Fwos%2Fwoscc%2Ffull-record%2FWOS:000274410100002","View Full Record in Web of Science")</f>
        <v>View Full Record in Web of Science</v>
      </c>
      <c r="BU100" s="1" t="s">
        <v>2040</v>
      </c>
      <c r="BV100" s="1" t="s">
        <v>10653</v>
      </c>
    </row>
    <row r="101" spans="1:75" ht="391.5" x14ac:dyDescent="0.35">
      <c r="A101" s="1" t="s">
        <v>72</v>
      </c>
      <c r="B101" s="1" t="s">
        <v>2995</v>
      </c>
      <c r="C101" s="1" t="s">
        <v>74</v>
      </c>
      <c r="D101" s="1" t="s">
        <v>74</v>
      </c>
      <c r="E101" s="1" t="s">
        <v>74</v>
      </c>
      <c r="F101" s="1" t="s">
        <v>2996</v>
      </c>
      <c r="G101" s="1" t="s">
        <v>74</v>
      </c>
      <c r="H101" s="1" t="s">
        <v>74</v>
      </c>
      <c r="I101" s="1" t="s">
        <v>2997</v>
      </c>
      <c r="J101" s="1" t="s">
        <v>2998</v>
      </c>
      <c r="K101" s="1" t="s">
        <v>74</v>
      </c>
      <c r="L101" s="1" t="s">
        <v>74</v>
      </c>
      <c r="M101" s="1" t="s">
        <v>78</v>
      </c>
      <c r="N101" s="1" t="s">
        <v>79</v>
      </c>
      <c r="O101" s="1" t="s">
        <v>74</v>
      </c>
      <c r="P101" s="1" t="s">
        <v>74</v>
      </c>
      <c r="Q101" s="1" t="s">
        <v>74</v>
      </c>
      <c r="R101" s="1" t="s">
        <v>74</v>
      </c>
      <c r="S101" s="1" t="s">
        <v>74</v>
      </c>
      <c r="T101" s="1" t="s">
        <v>74</v>
      </c>
      <c r="U101" s="1" t="s">
        <v>2999</v>
      </c>
      <c r="V101" s="1" t="s">
        <v>3000</v>
      </c>
      <c r="W101" s="1" t="s">
        <v>3001</v>
      </c>
      <c r="X101" s="1" t="s">
        <v>3002</v>
      </c>
      <c r="Y101" s="1" t="s">
        <v>3003</v>
      </c>
      <c r="Z101" s="1" t="s">
        <v>3004</v>
      </c>
      <c r="AA101" s="1" t="s">
        <v>3005</v>
      </c>
      <c r="AB101" s="1" t="s">
        <v>3006</v>
      </c>
      <c r="AC101" s="1" t="s">
        <v>3007</v>
      </c>
      <c r="AD101" s="1" t="s">
        <v>2238</v>
      </c>
      <c r="AE101" s="1" t="s">
        <v>3008</v>
      </c>
      <c r="AF101" s="1" t="s">
        <v>74</v>
      </c>
      <c r="AG101" s="1">
        <v>78</v>
      </c>
      <c r="AH101" s="1">
        <v>932</v>
      </c>
      <c r="AI101" s="1">
        <v>959</v>
      </c>
      <c r="AJ101" s="1">
        <v>19</v>
      </c>
      <c r="AK101" s="1">
        <v>344</v>
      </c>
      <c r="AL101" s="1" t="s">
        <v>206</v>
      </c>
      <c r="AM101" s="1" t="s">
        <v>207</v>
      </c>
      <c r="AN101" s="1" t="s">
        <v>208</v>
      </c>
      <c r="AO101" s="1" t="s">
        <v>3009</v>
      </c>
      <c r="AP101" s="1" t="s">
        <v>3010</v>
      </c>
      <c r="AQ101" s="1" t="s">
        <v>74</v>
      </c>
      <c r="AR101" s="1" t="s">
        <v>3011</v>
      </c>
      <c r="AS101" s="1" t="s">
        <v>3012</v>
      </c>
      <c r="AT101" s="1" t="s">
        <v>348</v>
      </c>
      <c r="AU101" s="1">
        <v>2010</v>
      </c>
      <c r="AV101" s="1">
        <v>61</v>
      </c>
      <c r="AW101" s="1">
        <v>12</v>
      </c>
      <c r="AX101" s="1" t="s">
        <v>74</v>
      </c>
      <c r="AY101" s="1" t="s">
        <v>74</v>
      </c>
      <c r="AZ101" s="1" t="s">
        <v>74</v>
      </c>
      <c r="BA101" s="1" t="s">
        <v>74</v>
      </c>
      <c r="BB101" s="1">
        <v>2544</v>
      </c>
      <c r="BC101" s="1">
        <v>2558</v>
      </c>
      <c r="BD101" s="1" t="s">
        <v>74</v>
      </c>
      <c r="BE101" s="1" t="s">
        <v>3013</v>
      </c>
      <c r="BF101" s="1" t="str">
        <f>HYPERLINK("http://dx.doi.org/10.1002/asi.21416","http://dx.doi.org/10.1002/asi.21416")</f>
        <v>http://dx.doi.org/10.1002/asi.21416</v>
      </c>
      <c r="BG101" s="1" t="s">
        <v>74</v>
      </c>
      <c r="BH101" s="1" t="s">
        <v>74</v>
      </c>
      <c r="BI101" s="1">
        <v>15</v>
      </c>
      <c r="BJ101" s="1" t="s">
        <v>3014</v>
      </c>
      <c r="BK101" s="1" t="s">
        <v>520</v>
      </c>
      <c r="BL101" s="1" t="s">
        <v>2416</v>
      </c>
      <c r="BM101" s="1" t="s">
        <v>3015</v>
      </c>
      <c r="BN101" s="1" t="s">
        <v>74</v>
      </c>
      <c r="BO101" s="1" t="s">
        <v>367</v>
      </c>
      <c r="BP101" s="1" t="s">
        <v>74</v>
      </c>
      <c r="BQ101" s="1" t="s">
        <v>74</v>
      </c>
      <c r="BR101" s="1" t="s">
        <v>104</v>
      </c>
      <c r="BS101" s="1" t="s">
        <v>3016</v>
      </c>
      <c r="BT101" s="1" t="str">
        <f>HYPERLINK("https%3A%2F%2Fwww.webofscience.com%2Fwos%2Fwoscc%2Ffull-record%2FWOS:000284231100013","View Full Record in Web of Science")</f>
        <v>View Full Record in Web of Science</v>
      </c>
      <c r="BU101" s="1" t="s">
        <v>3776</v>
      </c>
      <c r="BV101" s="1" t="s">
        <v>10653</v>
      </c>
    </row>
    <row r="102" spans="1:75" ht="348" x14ac:dyDescent="0.35">
      <c r="A102" s="1" t="s">
        <v>72</v>
      </c>
      <c r="B102" s="1" t="s">
        <v>910</v>
      </c>
      <c r="C102" s="1" t="s">
        <v>74</v>
      </c>
      <c r="D102" s="1" t="s">
        <v>74</v>
      </c>
      <c r="E102" s="1" t="s">
        <v>74</v>
      </c>
      <c r="F102" s="1" t="s">
        <v>911</v>
      </c>
      <c r="G102" s="1" t="s">
        <v>74</v>
      </c>
      <c r="H102" s="1" t="s">
        <v>74</v>
      </c>
      <c r="I102" s="1" t="s">
        <v>912</v>
      </c>
      <c r="J102" s="1" t="s">
        <v>161</v>
      </c>
      <c r="K102" s="1" t="s">
        <v>74</v>
      </c>
      <c r="L102" s="1" t="s">
        <v>74</v>
      </c>
      <c r="M102" s="1" t="s">
        <v>78</v>
      </c>
      <c r="N102" s="1" t="s">
        <v>79</v>
      </c>
      <c r="O102" s="1" t="s">
        <v>74</v>
      </c>
      <c r="P102" s="1" t="s">
        <v>74</v>
      </c>
      <c r="Q102" s="1" t="s">
        <v>74</v>
      </c>
      <c r="R102" s="1" t="s">
        <v>74</v>
      </c>
      <c r="S102" s="1" t="s">
        <v>74</v>
      </c>
      <c r="T102" s="1" t="s">
        <v>74</v>
      </c>
      <c r="U102" s="1" t="s">
        <v>913</v>
      </c>
      <c r="V102" s="1" t="s">
        <v>914</v>
      </c>
      <c r="W102" s="1" t="s">
        <v>915</v>
      </c>
      <c r="X102" s="1" t="s">
        <v>916</v>
      </c>
      <c r="Y102" s="1" t="s">
        <v>917</v>
      </c>
      <c r="Z102" s="1" t="s">
        <v>918</v>
      </c>
      <c r="AA102" s="1" t="s">
        <v>74</v>
      </c>
      <c r="AB102" s="1" t="s">
        <v>74</v>
      </c>
      <c r="AC102" s="1" t="s">
        <v>74</v>
      </c>
      <c r="AD102" s="1" t="s">
        <v>74</v>
      </c>
      <c r="AE102" s="1" t="s">
        <v>74</v>
      </c>
      <c r="AF102" s="1" t="s">
        <v>74</v>
      </c>
      <c r="AG102" s="1">
        <v>116</v>
      </c>
      <c r="AH102" s="1">
        <v>176</v>
      </c>
      <c r="AI102" s="1">
        <v>181</v>
      </c>
      <c r="AJ102" s="1">
        <v>2</v>
      </c>
      <c r="AK102" s="1">
        <v>60</v>
      </c>
      <c r="AL102" s="1" t="s">
        <v>170</v>
      </c>
      <c r="AM102" s="1" t="s">
        <v>171</v>
      </c>
      <c r="AN102" s="1" t="s">
        <v>172</v>
      </c>
      <c r="AO102" s="1" t="s">
        <v>173</v>
      </c>
      <c r="AP102" s="1" t="s">
        <v>174</v>
      </c>
      <c r="AQ102" s="1" t="s">
        <v>74</v>
      </c>
      <c r="AR102" s="1" t="s">
        <v>175</v>
      </c>
      <c r="AS102" s="1" t="s">
        <v>176</v>
      </c>
      <c r="AT102" s="1" t="s">
        <v>281</v>
      </c>
      <c r="AU102" s="1">
        <v>2010</v>
      </c>
      <c r="AV102" s="1">
        <v>37</v>
      </c>
      <c r="AW102" s="1">
        <v>3</v>
      </c>
      <c r="AX102" s="1" t="s">
        <v>74</v>
      </c>
      <c r="AY102" s="1" t="s">
        <v>74</v>
      </c>
      <c r="AZ102" s="1" t="s">
        <v>74</v>
      </c>
      <c r="BA102" s="1" t="s">
        <v>74</v>
      </c>
      <c r="BB102" s="1">
        <v>490</v>
      </c>
      <c r="BC102" s="1">
        <v>510</v>
      </c>
      <c r="BD102" s="1" t="s">
        <v>74</v>
      </c>
      <c r="BE102" s="1" t="s">
        <v>919</v>
      </c>
      <c r="BF102" s="1" t="str">
        <f>HYPERLINK("http://dx.doi.org/10.1086/652464","http://dx.doi.org/10.1086/652464")</f>
        <v>http://dx.doi.org/10.1086/652464</v>
      </c>
      <c r="BG102" s="1" t="s">
        <v>74</v>
      </c>
      <c r="BH102" s="1" t="s">
        <v>74</v>
      </c>
      <c r="BI102" s="1">
        <v>21</v>
      </c>
      <c r="BJ102" s="1" t="s">
        <v>153</v>
      </c>
      <c r="BK102" s="1" t="s">
        <v>101</v>
      </c>
      <c r="BL102" s="1" t="s">
        <v>154</v>
      </c>
      <c r="BM102" s="1" t="s">
        <v>920</v>
      </c>
      <c r="BN102" s="1" t="s">
        <v>74</v>
      </c>
      <c r="BO102" s="1" t="s">
        <v>74</v>
      </c>
      <c r="BP102" s="1" t="s">
        <v>74</v>
      </c>
      <c r="BQ102" s="1" t="s">
        <v>74</v>
      </c>
      <c r="BR102" s="1" t="s">
        <v>104</v>
      </c>
      <c r="BS102" s="1" t="s">
        <v>921</v>
      </c>
      <c r="BT102" s="1" t="str">
        <f>HYPERLINK("https%3A%2F%2Fwww.webofscience.com%2Fwos%2Fwoscc%2Ffull-record%2FWOS:000281583600010","View Full Record in Web of Science")</f>
        <v>View Full Record in Web of Science</v>
      </c>
      <c r="BU102" s="1" t="s">
        <v>3776</v>
      </c>
      <c r="BV102" s="1" t="s">
        <v>6080</v>
      </c>
      <c r="BW102" s="1" t="s">
        <v>6080</v>
      </c>
    </row>
    <row r="103" spans="1:75" ht="43.5" x14ac:dyDescent="0.35">
      <c r="A103" s="1" t="s">
        <v>72</v>
      </c>
      <c r="B103" s="1" t="s">
        <v>2886</v>
      </c>
      <c r="C103" s="1" t="s">
        <v>74</v>
      </c>
      <c r="D103" s="1" t="s">
        <v>74</v>
      </c>
      <c r="E103" s="1" t="s">
        <v>74</v>
      </c>
      <c r="F103" s="1" t="s">
        <v>2887</v>
      </c>
      <c r="G103" s="1" t="s">
        <v>74</v>
      </c>
      <c r="H103" s="1" t="s">
        <v>74</v>
      </c>
      <c r="I103" s="1" t="s">
        <v>3017</v>
      </c>
      <c r="J103" s="1" t="s">
        <v>301</v>
      </c>
      <c r="K103" s="1" t="s">
        <v>74</v>
      </c>
      <c r="L103" s="1" t="s">
        <v>74</v>
      </c>
      <c r="M103" s="1" t="s">
        <v>78</v>
      </c>
      <c r="N103" s="1" t="s">
        <v>79</v>
      </c>
      <c r="O103" s="1" t="s">
        <v>74</v>
      </c>
      <c r="P103" s="1" t="s">
        <v>74</v>
      </c>
      <c r="Q103" s="1" t="s">
        <v>74</v>
      </c>
      <c r="R103" s="1" t="s">
        <v>74</v>
      </c>
      <c r="S103" s="1" t="s">
        <v>74</v>
      </c>
      <c r="T103" s="1" t="s">
        <v>74</v>
      </c>
      <c r="U103" s="1" t="s">
        <v>3018</v>
      </c>
      <c r="V103" s="1" t="s">
        <v>74</v>
      </c>
      <c r="W103" s="1" t="s">
        <v>2889</v>
      </c>
      <c r="X103" s="1" t="s">
        <v>2890</v>
      </c>
      <c r="Y103" s="1" t="s">
        <v>3019</v>
      </c>
      <c r="Z103" s="1" t="s">
        <v>2892</v>
      </c>
      <c r="AA103" s="1" t="s">
        <v>2893</v>
      </c>
      <c r="AB103" s="1" t="s">
        <v>2894</v>
      </c>
      <c r="AC103" s="1" t="s">
        <v>74</v>
      </c>
      <c r="AD103" s="1" t="s">
        <v>74</v>
      </c>
      <c r="AE103" s="1" t="s">
        <v>74</v>
      </c>
      <c r="AF103" s="1" t="s">
        <v>74</v>
      </c>
      <c r="AG103" s="1">
        <v>9</v>
      </c>
      <c r="AH103" s="1">
        <v>46</v>
      </c>
      <c r="AI103" s="1">
        <v>48</v>
      </c>
      <c r="AJ103" s="1">
        <v>1</v>
      </c>
      <c r="AK103" s="1">
        <v>14</v>
      </c>
      <c r="AL103" s="1" t="s">
        <v>144</v>
      </c>
      <c r="AM103" s="1" t="s">
        <v>145</v>
      </c>
      <c r="AN103" s="1" t="s">
        <v>146</v>
      </c>
      <c r="AO103" s="1" t="s">
        <v>306</v>
      </c>
      <c r="AP103" s="1" t="s">
        <v>74</v>
      </c>
      <c r="AQ103" s="1" t="s">
        <v>74</v>
      </c>
      <c r="AR103" s="1" t="s">
        <v>308</v>
      </c>
      <c r="AS103" s="1" t="s">
        <v>309</v>
      </c>
      <c r="AT103" s="1" t="s">
        <v>281</v>
      </c>
      <c r="AU103" s="1">
        <v>2010</v>
      </c>
      <c r="AV103" s="1">
        <v>21</v>
      </c>
      <c r="AW103" s="1">
        <v>10</v>
      </c>
      <c r="AX103" s="1" t="s">
        <v>74</v>
      </c>
      <c r="AY103" s="1" t="s">
        <v>74</v>
      </c>
      <c r="AZ103" s="1" t="s">
        <v>74</v>
      </c>
      <c r="BA103" s="1" t="s">
        <v>74</v>
      </c>
      <c r="BB103" s="1">
        <v>1417</v>
      </c>
      <c r="BC103" s="1">
        <v>1419</v>
      </c>
      <c r="BD103" s="1" t="s">
        <v>74</v>
      </c>
      <c r="BE103" s="1" t="s">
        <v>3020</v>
      </c>
      <c r="BF103" s="1" t="str">
        <f>HYPERLINK("http://dx.doi.org/10.1177/0956797610382124","http://dx.doi.org/10.1177/0956797610382124")</f>
        <v>http://dx.doi.org/10.1177/0956797610382124</v>
      </c>
      <c r="BG103" s="1" t="s">
        <v>74</v>
      </c>
      <c r="BH103" s="1" t="s">
        <v>74</v>
      </c>
      <c r="BI103" s="1">
        <v>3</v>
      </c>
      <c r="BJ103" s="1" t="s">
        <v>311</v>
      </c>
      <c r="BK103" s="1" t="s">
        <v>101</v>
      </c>
      <c r="BL103" s="1" t="s">
        <v>102</v>
      </c>
      <c r="BM103" s="1" t="s">
        <v>3021</v>
      </c>
      <c r="BN103" s="1">
        <v>20805373</v>
      </c>
      <c r="BO103" s="1" t="s">
        <v>74</v>
      </c>
      <c r="BP103" s="1" t="s">
        <v>74</v>
      </c>
      <c r="BQ103" s="1" t="s">
        <v>74</v>
      </c>
      <c r="BR103" s="1" t="s">
        <v>104</v>
      </c>
      <c r="BS103" s="1" t="s">
        <v>3022</v>
      </c>
      <c r="BT103" s="1" t="str">
        <f>HYPERLINK("https%3A%2F%2Fwww.webofscience.com%2Fwos%2Fwoscc%2Ffull-record%2FWOS:000285455600010","View Full Record in Web of Science")</f>
        <v>View Full Record in Web of Science</v>
      </c>
      <c r="BU103" s="1" t="s">
        <v>3776</v>
      </c>
      <c r="BV103" s="1" t="s">
        <v>10653</v>
      </c>
    </row>
    <row r="104" spans="1:75" ht="58" x14ac:dyDescent="0.35">
      <c r="A104" s="1" t="s">
        <v>72</v>
      </c>
      <c r="B104" s="1" t="s">
        <v>3023</v>
      </c>
      <c r="C104" s="1" t="s">
        <v>74</v>
      </c>
      <c r="D104" s="1" t="s">
        <v>74</v>
      </c>
      <c r="E104" s="1" t="s">
        <v>74</v>
      </c>
      <c r="F104" s="1" t="s">
        <v>3024</v>
      </c>
      <c r="G104" s="1" t="s">
        <v>74</v>
      </c>
      <c r="H104" s="1" t="s">
        <v>74</v>
      </c>
      <c r="I104" s="1" t="s">
        <v>3025</v>
      </c>
      <c r="J104" s="1" t="s">
        <v>2081</v>
      </c>
      <c r="K104" s="1" t="s">
        <v>74</v>
      </c>
      <c r="L104" s="1" t="s">
        <v>74</v>
      </c>
      <c r="M104" s="1" t="s">
        <v>78</v>
      </c>
      <c r="N104" s="1" t="s">
        <v>1352</v>
      </c>
      <c r="O104" s="1" t="s">
        <v>74</v>
      </c>
      <c r="P104" s="1" t="s">
        <v>74</v>
      </c>
      <c r="Q104" s="1" t="s">
        <v>74</v>
      </c>
      <c r="R104" s="1" t="s">
        <v>74</v>
      </c>
      <c r="S104" s="1" t="s">
        <v>74</v>
      </c>
      <c r="T104" s="1" t="s">
        <v>74</v>
      </c>
      <c r="U104" s="1" t="s">
        <v>74</v>
      </c>
      <c r="V104" s="1" t="s">
        <v>6075</v>
      </c>
      <c r="W104" s="1" t="s">
        <v>3026</v>
      </c>
      <c r="X104" s="1" t="s">
        <v>3027</v>
      </c>
      <c r="Y104" s="1" t="s">
        <v>3028</v>
      </c>
      <c r="Z104" s="1" t="s">
        <v>3029</v>
      </c>
      <c r="AA104" s="1" t="s">
        <v>74</v>
      </c>
      <c r="AB104" s="1" t="s">
        <v>74</v>
      </c>
      <c r="AC104" s="1" t="s">
        <v>74</v>
      </c>
      <c r="AD104" s="1" t="s">
        <v>74</v>
      </c>
      <c r="AE104" s="1" t="s">
        <v>74</v>
      </c>
      <c r="AF104" s="1" t="s">
        <v>74</v>
      </c>
      <c r="AG104" s="1">
        <v>6</v>
      </c>
      <c r="AH104" s="1">
        <v>172</v>
      </c>
      <c r="AI104" s="1">
        <v>181</v>
      </c>
      <c r="AJ104" s="1">
        <v>0</v>
      </c>
      <c r="AK104" s="1">
        <v>13</v>
      </c>
      <c r="AL104" s="1" t="s">
        <v>599</v>
      </c>
      <c r="AM104" s="1" t="s">
        <v>325</v>
      </c>
      <c r="AN104" s="1" t="s">
        <v>2082</v>
      </c>
      <c r="AO104" s="1" t="s">
        <v>2083</v>
      </c>
      <c r="AP104" s="1" t="s">
        <v>74</v>
      </c>
      <c r="AQ104" s="1" t="s">
        <v>74</v>
      </c>
      <c r="AR104" s="1" t="s">
        <v>2085</v>
      </c>
      <c r="AS104" s="1" t="s">
        <v>2086</v>
      </c>
      <c r="AT104" s="1" t="s">
        <v>151</v>
      </c>
      <c r="AU104" s="1">
        <v>2010</v>
      </c>
      <c r="AV104" s="1">
        <v>53</v>
      </c>
      <c r="AW104" s="1">
        <v>6</v>
      </c>
      <c r="AX104" s="1" t="s">
        <v>74</v>
      </c>
      <c r="AY104" s="1" t="s">
        <v>74</v>
      </c>
      <c r="AZ104" s="1" t="s">
        <v>74</v>
      </c>
      <c r="BA104" s="1" t="s">
        <v>74</v>
      </c>
      <c r="BB104" s="1">
        <v>24</v>
      </c>
      <c r="BC104" s="1">
        <v>26</v>
      </c>
      <c r="BD104" s="1" t="s">
        <v>74</v>
      </c>
      <c r="BE104" s="1" t="s">
        <v>3030</v>
      </c>
      <c r="BF104" s="1" t="str">
        <f>HYPERLINK("http://dx.doi.org/10.1145/1743546.1743558","http://dx.doi.org/10.1145/1743546.1743558")</f>
        <v>http://dx.doi.org/10.1145/1743546.1743558</v>
      </c>
      <c r="BG104" s="1" t="s">
        <v>74</v>
      </c>
      <c r="BH104" s="1" t="s">
        <v>74</v>
      </c>
      <c r="BI104" s="1">
        <v>3</v>
      </c>
      <c r="BJ104" s="1" t="s">
        <v>2087</v>
      </c>
      <c r="BK104" s="1" t="s">
        <v>129</v>
      </c>
      <c r="BL104" s="1" t="s">
        <v>417</v>
      </c>
      <c r="BM104" s="1" t="s">
        <v>3031</v>
      </c>
      <c r="BN104" s="1" t="s">
        <v>74</v>
      </c>
      <c r="BO104" s="1" t="s">
        <v>74</v>
      </c>
      <c r="BP104" s="1" t="s">
        <v>74</v>
      </c>
      <c r="BQ104" s="1" t="s">
        <v>74</v>
      </c>
      <c r="BR104" s="1" t="s">
        <v>104</v>
      </c>
      <c r="BS104" s="1" t="s">
        <v>3032</v>
      </c>
      <c r="BT104" s="1" t="str">
        <f>HYPERLINK("https%3A%2F%2Fwww.webofscience.com%2Fwos%2Fwoscc%2Ffull-record%2FWOS:000278635800017","View Full Record in Web of Science")</f>
        <v>View Full Record in Web of Science</v>
      </c>
      <c r="BU104" s="1" t="s">
        <v>3776</v>
      </c>
      <c r="BV104" s="1" t="s">
        <v>10653</v>
      </c>
    </row>
    <row r="105" spans="1:75" ht="290" x14ac:dyDescent="0.35">
      <c r="A105" s="1" t="s">
        <v>72</v>
      </c>
      <c r="B105" s="1" t="s">
        <v>3033</v>
      </c>
      <c r="C105" s="1" t="s">
        <v>74</v>
      </c>
      <c r="D105" s="1" t="s">
        <v>74</v>
      </c>
      <c r="E105" s="1" t="s">
        <v>74</v>
      </c>
      <c r="F105" s="1" t="s">
        <v>3034</v>
      </c>
      <c r="G105" s="1" t="s">
        <v>74</v>
      </c>
      <c r="H105" s="1" t="s">
        <v>74</v>
      </c>
      <c r="I105" s="1" t="s">
        <v>3035</v>
      </c>
      <c r="J105" s="1" t="s">
        <v>161</v>
      </c>
      <c r="K105" s="1" t="s">
        <v>74</v>
      </c>
      <c r="L105" s="1" t="s">
        <v>74</v>
      </c>
      <c r="M105" s="1" t="s">
        <v>78</v>
      </c>
      <c r="N105" s="1" t="s">
        <v>79</v>
      </c>
      <c r="O105" s="1" t="s">
        <v>74</v>
      </c>
      <c r="P105" s="1" t="s">
        <v>74</v>
      </c>
      <c r="Q105" s="1" t="s">
        <v>74</v>
      </c>
      <c r="R105" s="1" t="s">
        <v>74</v>
      </c>
      <c r="S105" s="1" t="s">
        <v>74</v>
      </c>
      <c r="T105" s="1" t="s">
        <v>74</v>
      </c>
      <c r="U105" s="1" t="s">
        <v>3036</v>
      </c>
      <c r="V105" s="1" t="s">
        <v>3037</v>
      </c>
      <c r="W105" s="1" t="s">
        <v>3038</v>
      </c>
      <c r="X105" s="1" t="s">
        <v>3039</v>
      </c>
      <c r="Y105" s="1" t="s">
        <v>3040</v>
      </c>
      <c r="Z105" s="1" t="s">
        <v>3041</v>
      </c>
      <c r="AA105" s="1" t="s">
        <v>74</v>
      </c>
      <c r="AB105" s="1" t="s">
        <v>74</v>
      </c>
      <c r="AC105" s="1" t="s">
        <v>74</v>
      </c>
      <c r="AD105" s="1" t="s">
        <v>74</v>
      </c>
      <c r="AE105" s="1" t="s">
        <v>74</v>
      </c>
      <c r="AF105" s="1" t="s">
        <v>74</v>
      </c>
      <c r="AG105" s="1">
        <v>95</v>
      </c>
      <c r="AH105" s="1">
        <v>194</v>
      </c>
      <c r="AI105" s="1">
        <v>198</v>
      </c>
      <c r="AJ105" s="1">
        <v>4</v>
      </c>
      <c r="AK105" s="1">
        <v>57</v>
      </c>
      <c r="AL105" s="1" t="s">
        <v>170</v>
      </c>
      <c r="AM105" s="1" t="s">
        <v>171</v>
      </c>
      <c r="AN105" s="1" t="s">
        <v>172</v>
      </c>
      <c r="AO105" s="1" t="s">
        <v>173</v>
      </c>
      <c r="AP105" s="1" t="s">
        <v>174</v>
      </c>
      <c r="AQ105" s="1" t="s">
        <v>74</v>
      </c>
      <c r="AR105" s="1" t="s">
        <v>175</v>
      </c>
      <c r="AS105" s="1" t="s">
        <v>176</v>
      </c>
      <c r="AT105" s="1" t="s">
        <v>294</v>
      </c>
      <c r="AU105" s="1">
        <v>2010</v>
      </c>
      <c r="AV105" s="1">
        <v>36</v>
      </c>
      <c r="AW105" s="1">
        <v>6</v>
      </c>
      <c r="AX105" s="1" t="s">
        <v>74</v>
      </c>
      <c r="AY105" s="1" t="s">
        <v>74</v>
      </c>
      <c r="AZ105" s="1" t="s">
        <v>74</v>
      </c>
      <c r="BA105" s="1" t="s">
        <v>74</v>
      </c>
      <c r="BB105" s="1">
        <v>1016</v>
      </c>
      <c r="BC105" s="1">
        <v>1032</v>
      </c>
      <c r="BD105" s="1" t="s">
        <v>74</v>
      </c>
      <c r="BE105" s="1" t="s">
        <v>3042</v>
      </c>
      <c r="BF105" s="1" t="str">
        <f>HYPERLINK("http://dx.doi.org/10.1086/644761","http://dx.doi.org/10.1086/644761")</f>
        <v>http://dx.doi.org/10.1086/644761</v>
      </c>
      <c r="BG105" s="1" t="s">
        <v>74</v>
      </c>
      <c r="BH105" s="1" t="s">
        <v>74</v>
      </c>
      <c r="BI105" s="1">
        <v>17</v>
      </c>
      <c r="BJ105" s="1" t="s">
        <v>153</v>
      </c>
      <c r="BK105" s="1" t="s">
        <v>101</v>
      </c>
      <c r="BL105" s="1" t="s">
        <v>154</v>
      </c>
      <c r="BM105" s="1" t="s">
        <v>3043</v>
      </c>
      <c r="BN105" s="1" t="s">
        <v>74</v>
      </c>
      <c r="BO105" s="1" t="s">
        <v>828</v>
      </c>
      <c r="BP105" s="1" t="s">
        <v>74</v>
      </c>
      <c r="BQ105" s="1" t="s">
        <v>74</v>
      </c>
      <c r="BR105" s="1" t="s">
        <v>104</v>
      </c>
      <c r="BS105" s="1" t="s">
        <v>3044</v>
      </c>
      <c r="BT105" s="1" t="str">
        <f>HYPERLINK("https%3A%2F%2Fwww.webofscience.com%2Fwos%2Fwoscc%2Ffull-record%2FWOS:000275167000010","View Full Record in Web of Science")</f>
        <v>View Full Record in Web of Science</v>
      </c>
      <c r="BU105" s="1" t="s">
        <v>3776</v>
      </c>
      <c r="BV105" s="1" t="s">
        <v>6080</v>
      </c>
      <c r="BW105" s="1" t="s">
        <v>10653</v>
      </c>
    </row>
    <row r="106" spans="1:75" ht="188.5" x14ac:dyDescent="0.35">
      <c r="A106" s="1" t="s">
        <v>72</v>
      </c>
      <c r="B106" s="1" t="s">
        <v>1766</v>
      </c>
      <c r="C106" s="1" t="s">
        <v>74</v>
      </c>
      <c r="D106" s="1" t="s">
        <v>74</v>
      </c>
      <c r="E106" s="1" t="s">
        <v>74</v>
      </c>
      <c r="F106" s="1" t="s">
        <v>1767</v>
      </c>
      <c r="G106" s="1" t="s">
        <v>74</v>
      </c>
      <c r="H106" s="1" t="s">
        <v>74</v>
      </c>
      <c r="I106" s="1" t="s">
        <v>1768</v>
      </c>
      <c r="J106" s="1" t="s">
        <v>1769</v>
      </c>
      <c r="K106" s="1" t="s">
        <v>74</v>
      </c>
      <c r="L106" s="1" t="s">
        <v>74</v>
      </c>
      <c r="M106" s="1" t="s">
        <v>78</v>
      </c>
      <c r="N106" s="1" t="s">
        <v>110</v>
      </c>
      <c r="O106" s="1" t="s">
        <v>74</v>
      </c>
      <c r="P106" s="1" t="s">
        <v>74</v>
      </c>
      <c r="Q106" s="1" t="s">
        <v>74</v>
      </c>
      <c r="R106" s="1" t="s">
        <v>74</v>
      </c>
      <c r="S106" s="1" t="s">
        <v>74</v>
      </c>
      <c r="T106" s="1" t="s">
        <v>1770</v>
      </c>
      <c r="U106" s="1" t="s">
        <v>1771</v>
      </c>
      <c r="V106" s="1" t="s">
        <v>1772</v>
      </c>
      <c r="W106" s="1" t="s">
        <v>1773</v>
      </c>
      <c r="X106" s="1" t="s">
        <v>1490</v>
      </c>
      <c r="Y106" s="1" t="s">
        <v>1491</v>
      </c>
      <c r="Z106" s="1" t="s">
        <v>1774</v>
      </c>
      <c r="AA106" s="1" t="s">
        <v>494</v>
      </c>
      <c r="AB106" s="1" t="s">
        <v>495</v>
      </c>
      <c r="AC106" s="1" t="s">
        <v>74</v>
      </c>
      <c r="AD106" s="1" t="s">
        <v>74</v>
      </c>
      <c r="AE106" s="1" t="s">
        <v>74</v>
      </c>
      <c r="AF106" s="1" t="s">
        <v>74</v>
      </c>
      <c r="AG106" s="1">
        <v>163</v>
      </c>
      <c r="AH106" s="1">
        <v>2486</v>
      </c>
      <c r="AI106" s="1">
        <v>2525</v>
      </c>
      <c r="AJ106" s="1">
        <v>60</v>
      </c>
      <c r="AK106" s="1">
        <v>489</v>
      </c>
      <c r="AL106" s="1" t="s">
        <v>144</v>
      </c>
      <c r="AM106" s="1" t="s">
        <v>145</v>
      </c>
      <c r="AN106" s="1" t="s">
        <v>146</v>
      </c>
      <c r="AO106" s="1" t="s">
        <v>1775</v>
      </c>
      <c r="AP106" s="1" t="s">
        <v>1776</v>
      </c>
      <c r="AQ106" s="1" t="s">
        <v>74</v>
      </c>
      <c r="AR106" s="1" t="s">
        <v>1777</v>
      </c>
      <c r="AS106" s="1" t="s">
        <v>1778</v>
      </c>
      <c r="AT106" s="1" t="s">
        <v>363</v>
      </c>
      <c r="AU106" s="1">
        <v>2010</v>
      </c>
      <c r="AV106" s="1">
        <v>29</v>
      </c>
      <c r="AW106" s="1">
        <v>1</v>
      </c>
      <c r="AX106" s="1" t="s">
        <v>74</v>
      </c>
      <c r="AY106" s="1" t="s">
        <v>74</v>
      </c>
      <c r="AZ106" s="1" t="s">
        <v>74</v>
      </c>
      <c r="BA106" s="1" t="s">
        <v>74</v>
      </c>
      <c r="BB106" s="1">
        <v>24</v>
      </c>
      <c r="BC106" s="1">
        <v>54</v>
      </c>
      <c r="BD106" s="1" t="s">
        <v>74</v>
      </c>
      <c r="BE106" s="1" t="s">
        <v>1779</v>
      </c>
      <c r="BF106" s="1" t="str">
        <f>HYPERLINK("http://dx.doi.org/10.1177/0261927X09351676","http://dx.doi.org/10.1177/0261927X09351676")</f>
        <v>http://dx.doi.org/10.1177/0261927X09351676</v>
      </c>
      <c r="BG106" s="1" t="s">
        <v>74</v>
      </c>
      <c r="BH106" s="1" t="s">
        <v>74</v>
      </c>
      <c r="BI106" s="1">
        <v>31</v>
      </c>
      <c r="BJ106" s="1" t="s">
        <v>1780</v>
      </c>
      <c r="BK106" s="1" t="s">
        <v>101</v>
      </c>
      <c r="BL106" s="1" t="s">
        <v>1781</v>
      </c>
      <c r="BM106" s="1" t="s">
        <v>1782</v>
      </c>
      <c r="BN106" s="1" t="s">
        <v>74</v>
      </c>
      <c r="BO106" s="1" t="s">
        <v>74</v>
      </c>
      <c r="BP106" s="1" t="s">
        <v>74</v>
      </c>
      <c r="BQ106" s="1" t="s">
        <v>74</v>
      </c>
      <c r="BR106" s="1" t="s">
        <v>104</v>
      </c>
      <c r="BS106" s="1" t="s">
        <v>1783</v>
      </c>
      <c r="BT106" s="1" t="str">
        <f>HYPERLINK("https%3A%2F%2Fwww.webofscience.com%2Fwos%2Fwoscc%2Ffull-record%2FWOS:000274410100002","View Full Record in Web of Science")</f>
        <v>View Full Record in Web of Science</v>
      </c>
      <c r="BU106" s="1" t="s">
        <v>3776</v>
      </c>
      <c r="BV106" s="1" t="s">
        <v>10653</v>
      </c>
    </row>
    <row r="107" spans="1:75" ht="319" x14ac:dyDescent="0.35">
      <c r="A107" s="1" t="s">
        <v>72</v>
      </c>
      <c r="B107" s="1" t="s">
        <v>3045</v>
      </c>
      <c r="C107" s="1" t="s">
        <v>74</v>
      </c>
      <c r="D107" s="1" t="s">
        <v>74</v>
      </c>
      <c r="E107" s="1" t="s">
        <v>74</v>
      </c>
      <c r="F107" s="1" t="s">
        <v>3046</v>
      </c>
      <c r="G107" s="1" t="s">
        <v>74</v>
      </c>
      <c r="H107" s="1" t="s">
        <v>74</v>
      </c>
      <c r="I107" s="1" t="s">
        <v>3047</v>
      </c>
      <c r="J107" s="1" t="s">
        <v>3048</v>
      </c>
      <c r="K107" s="1" t="s">
        <v>74</v>
      </c>
      <c r="L107" s="1" t="s">
        <v>74</v>
      </c>
      <c r="M107" s="1" t="s">
        <v>78</v>
      </c>
      <c r="N107" s="1" t="s">
        <v>79</v>
      </c>
      <c r="O107" s="1" t="s">
        <v>74</v>
      </c>
      <c r="P107" s="1" t="s">
        <v>74</v>
      </c>
      <c r="Q107" s="1" t="s">
        <v>74</v>
      </c>
      <c r="R107" s="1" t="s">
        <v>74</v>
      </c>
      <c r="S107" s="1" t="s">
        <v>74</v>
      </c>
      <c r="T107" s="1" t="s">
        <v>3049</v>
      </c>
      <c r="U107" s="1" t="s">
        <v>3050</v>
      </c>
      <c r="V107" s="1" t="s">
        <v>3051</v>
      </c>
      <c r="W107" s="1" t="s">
        <v>3052</v>
      </c>
      <c r="X107" s="1" t="s">
        <v>3053</v>
      </c>
      <c r="Y107" s="1" t="s">
        <v>3054</v>
      </c>
      <c r="Z107" s="1" t="s">
        <v>3055</v>
      </c>
      <c r="AA107" s="1" t="s">
        <v>494</v>
      </c>
      <c r="AB107" s="1" t="s">
        <v>495</v>
      </c>
      <c r="AC107" s="1" t="s">
        <v>74</v>
      </c>
      <c r="AD107" s="1" t="s">
        <v>74</v>
      </c>
      <c r="AE107" s="1" t="s">
        <v>74</v>
      </c>
      <c r="AF107" s="1" t="s">
        <v>74</v>
      </c>
      <c r="AG107" s="1">
        <v>35</v>
      </c>
      <c r="AH107" s="1">
        <v>206</v>
      </c>
      <c r="AI107" s="1">
        <v>210</v>
      </c>
      <c r="AJ107" s="1">
        <v>7</v>
      </c>
      <c r="AK107" s="1">
        <v>95</v>
      </c>
      <c r="AL107" s="1" t="s">
        <v>144</v>
      </c>
      <c r="AM107" s="1" t="s">
        <v>145</v>
      </c>
      <c r="AN107" s="1" t="s">
        <v>146</v>
      </c>
      <c r="AO107" s="1" t="s">
        <v>3056</v>
      </c>
      <c r="AP107" s="1" t="s">
        <v>3057</v>
      </c>
      <c r="AQ107" s="1" t="s">
        <v>74</v>
      </c>
      <c r="AR107" s="1" t="s">
        <v>3058</v>
      </c>
      <c r="AS107" s="1" t="s">
        <v>3059</v>
      </c>
      <c r="AT107" s="1" t="s">
        <v>177</v>
      </c>
      <c r="AU107" s="1">
        <v>2010</v>
      </c>
      <c r="AV107" s="1">
        <v>37</v>
      </c>
      <c r="AW107" s="1">
        <v>1</v>
      </c>
      <c r="AX107" s="1" t="s">
        <v>74</v>
      </c>
      <c r="AY107" s="1" t="s">
        <v>74</v>
      </c>
      <c r="AZ107" s="1" t="s">
        <v>74</v>
      </c>
      <c r="BA107" s="1" t="s">
        <v>74</v>
      </c>
      <c r="BB107" s="1">
        <v>3</v>
      </c>
      <c r="BC107" s="1">
        <v>19</v>
      </c>
      <c r="BD107" s="1" t="s">
        <v>74</v>
      </c>
      <c r="BE107" s="1" t="s">
        <v>3060</v>
      </c>
      <c r="BF107" s="1" t="str">
        <f>HYPERLINK("http://dx.doi.org/10.1177/0093650209351468","http://dx.doi.org/10.1177/0093650209351468")</f>
        <v>http://dx.doi.org/10.1177/0093650209351468</v>
      </c>
      <c r="BG107" s="1" t="s">
        <v>74</v>
      </c>
      <c r="BH107" s="1" t="s">
        <v>74</v>
      </c>
      <c r="BI107" s="1">
        <v>17</v>
      </c>
      <c r="BJ107" s="1" t="s">
        <v>1016</v>
      </c>
      <c r="BK107" s="1" t="s">
        <v>101</v>
      </c>
      <c r="BL107" s="1" t="s">
        <v>1016</v>
      </c>
      <c r="BM107" s="1" t="s">
        <v>3061</v>
      </c>
      <c r="BN107" s="1" t="s">
        <v>74</v>
      </c>
      <c r="BO107" s="1" t="s">
        <v>74</v>
      </c>
      <c r="BP107" s="1" t="s">
        <v>74</v>
      </c>
      <c r="BQ107" s="1" t="s">
        <v>74</v>
      </c>
      <c r="BR107" s="1" t="s">
        <v>104</v>
      </c>
      <c r="BS107" s="1" t="s">
        <v>3062</v>
      </c>
      <c r="BT107" s="1" t="str">
        <f>HYPERLINK("https%3A%2F%2Fwww.webofscience.com%2Fwos%2Fwoscc%2Ffull-record%2FWOS:000273760300001","View Full Record in Web of Science")</f>
        <v>View Full Record in Web of Science</v>
      </c>
      <c r="BU107" s="1" t="s">
        <v>3776</v>
      </c>
      <c r="BV107" s="1" t="s">
        <v>10653</v>
      </c>
    </row>
    <row r="108" spans="1:75" ht="333.5" x14ac:dyDescent="0.35">
      <c r="A108" s="1" t="s">
        <v>72</v>
      </c>
      <c r="B108" s="1" t="s">
        <v>3063</v>
      </c>
      <c r="C108" s="1" t="s">
        <v>74</v>
      </c>
      <c r="D108" s="1" t="s">
        <v>74</v>
      </c>
      <c r="E108" s="1" t="s">
        <v>74</v>
      </c>
      <c r="F108" s="1" t="s">
        <v>3064</v>
      </c>
      <c r="G108" s="1" t="s">
        <v>74</v>
      </c>
      <c r="H108" s="1" t="s">
        <v>74</v>
      </c>
      <c r="I108" s="1" t="s">
        <v>3065</v>
      </c>
      <c r="J108" s="1" t="s">
        <v>3066</v>
      </c>
      <c r="K108" s="1" t="s">
        <v>74</v>
      </c>
      <c r="L108" s="1" t="s">
        <v>74</v>
      </c>
      <c r="M108" s="1" t="s">
        <v>78</v>
      </c>
      <c r="N108" s="1" t="s">
        <v>79</v>
      </c>
      <c r="O108" s="1" t="s">
        <v>74</v>
      </c>
      <c r="P108" s="1" t="s">
        <v>74</v>
      </c>
      <c r="Q108" s="1" t="s">
        <v>74</v>
      </c>
      <c r="R108" s="1" t="s">
        <v>74</v>
      </c>
      <c r="S108" s="1" t="s">
        <v>74</v>
      </c>
      <c r="T108" s="1" t="s">
        <v>74</v>
      </c>
      <c r="U108" s="1" t="s">
        <v>74</v>
      </c>
      <c r="V108" s="1" t="s">
        <v>3067</v>
      </c>
      <c r="W108" s="1" t="s">
        <v>3068</v>
      </c>
      <c r="X108" s="1" t="s">
        <v>3069</v>
      </c>
      <c r="Y108" s="1" t="s">
        <v>3070</v>
      </c>
      <c r="Z108" s="1" t="s">
        <v>3071</v>
      </c>
      <c r="AA108" s="1" t="s">
        <v>74</v>
      </c>
      <c r="AB108" s="1" t="s">
        <v>74</v>
      </c>
      <c r="AC108" s="1" t="s">
        <v>74</v>
      </c>
      <c r="AD108" s="1" t="s">
        <v>74</v>
      </c>
      <c r="AE108" s="1" t="s">
        <v>74</v>
      </c>
      <c r="AF108" s="1" t="s">
        <v>74</v>
      </c>
      <c r="AG108" s="1">
        <v>53</v>
      </c>
      <c r="AH108" s="1">
        <v>361</v>
      </c>
      <c r="AI108" s="1">
        <v>370</v>
      </c>
      <c r="AJ108" s="1">
        <v>2</v>
      </c>
      <c r="AK108" s="1">
        <v>109</v>
      </c>
      <c r="AL108" s="1" t="s">
        <v>206</v>
      </c>
      <c r="AM108" s="1" t="s">
        <v>207</v>
      </c>
      <c r="AN108" s="1" t="s">
        <v>208</v>
      </c>
      <c r="AO108" s="1" t="s">
        <v>3072</v>
      </c>
      <c r="AP108" s="1" t="s">
        <v>3073</v>
      </c>
      <c r="AQ108" s="1" t="s">
        <v>74</v>
      </c>
      <c r="AR108" s="1" t="s">
        <v>3074</v>
      </c>
      <c r="AS108" s="1" t="s">
        <v>3075</v>
      </c>
      <c r="AT108" s="1" t="s">
        <v>213</v>
      </c>
      <c r="AU108" s="1">
        <v>2010</v>
      </c>
      <c r="AV108" s="1">
        <v>54</v>
      </c>
      <c r="AW108" s="1">
        <v>1</v>
      </c>
      <c r="AX108" s="1" t="s">
        <v>74</v>
      </c>
      <c r="AY108" s="1" t="s">
        <v>74</v>
      </c>
      <c r="AZ108" s="1" t="s">
        <v>74</v>
      </c>
      <c r="BA108" s="1" t="s">
        <v>74</v>
      </c>
      <c r="BB108" s="1">
        <v>229</v>
      </c>
      <c r="BC108" s="1">
        <v>247</v>
      </c>
      <c r="BD108" s="1" t="s">
        <v>74</v>
      </c>
      <c r="BE108" s="1" t="s">
        <v>3076</v>
      </c>
      <c r="BF108" s="1" t="str">
        <f>HYPERLINK("http://dx.doi.org/10.1111/j.1540-5907.2009.00428.x","http://dx.doi.org/10.1111/j.1540-5907.2009.00428.x")</f>
        <v>http://dx.doi.org/10.1111/j.1540-5907.2009.00428.x</v>
      </c>
      <c r="BG108" s="1" t="s">
        <v>74</v>
      </c>
      <c r="BH108" s="1" t="s">
        <v>74</v>
      </c>
      <c r="BI108" s="1">
        <v>19</v>
      </c>
      <c r="BJ108" s="1" t="s">
        <v>2619</v>
      </c>
      <c r="BK108" s="1" t="s">
        <v>101</v>
      </c>
      <c r="BL108" s="1" t="s">
        <v>2620</v>
      </c>
      <c r="BM108" s="1" t="s">
        <v>3077</v>
      </c>
      <c r="BN108" s="1" t="s">
        <v>74</v>
      </c>
      <c r="BO108" s="1" t="s">
        <v>156</v>
      </c>
      <c r="BP108" s="1" t="s">
        <v>74</v>
      </c>
      <c r="BQ108" s="1" t="s">
        <v>74</v>
      </c>
      <c r="BR108" s="1" t="s">
        <v>104</v>
      </c>
      <c r="BS108" s="1" t="s">
        <v>3078</v>
      </c>
      <c r="BT108" s="1" t="str">
        <f>HYPERLINK("https%3A%2F%2Fwww.webofscience.com%2Fwos%2Fwoscc%2Ffull-record%2FWOS:000273161800015","View Full Record in Web of Science")</f>
        <v>View Full Record in Web of Science</v>
      </c>
      <c r="BU108" s="1" t="s">
        <v>3776</v>
      </c>
      <c r="BV108" s="1" t="s">
        <v>10653</v>
      </c>
    </row>
    <row r="109" spans="1:75" ht="377" x14ac:dyDescent="0.35">
      <c r="A109" s="1" t="s">
        <v>578</v>
      </c>
      <c r="B109" s="1" t="s">
        <v>3079</v>
      </c>
      <c r="C109" s="1" t="s">
        <v>74</v>
      </c>
      <c r="D109" s="1" t="s">
        <v>3080</v>
      </c>
      <c r="E109" s="1" t="s">
        <v>74</v>
      </c>
      <c r="F109" s="1" t="s">
        <v>3081</v>
      </c>
      <c r="G109" s="1" t="s">
        <v>74</v>
      </c>
      <c r="H109" s="1" t="s">
        <v>74</v>
      </c>
      <c r="I109" s="1" t="s">
        <v>3082</v>
      </c>
      <c r="J109" s="1" t="s">
        <v>3083</v>
      </c>
      <c r="K109" s="1" t="s">
        <v>74</v>
      </c>
      <c r="L109" s="1" t="s">
        <v>74</v>
      </c>
      <c r="M109" s="1" t="s">
        <v>78</v>
      </c>
      <c r="N109" s="1" t="s">
        <v>584</v>
      </c>
      <c r="O109" s="1" t="s">
        <v>3084</v>
      </c>
      <c r="P109" s="1" t="s">
        <v>3085</v>
      </c>
      <c r="Q109" s="1" t="s">
        <v>3086</v>
      </c>
      <c r="R109" s="1" t="s">
        <v>3087</v>
      </c>
      <c r="S109" s="1" t="s">
        <v>74</v>
      </c>
      <c r="T109" s="1" t="s">
        <v>74</v>
      </c>
      <c r="U109" s="1" t="s">
        <v>74</v>
      </c>
      <c r="V109" s="1" t="s">
        <v>6076</v>
      </c>
      <c r="W109" s="1" t="s">
        <v>3088</v>
      </c>
      <c r="X109" s="1" t="s">
        <v>3089</v>
      </c>
      <c r="Y109" s="1" t="s">
        <v>3090</v>
      </c>
      <c r="Z109" s="1" t="s">
        <v>3091</v>
      </c>
      <c r="AA109" s="1" t="s">
        <v>3092</v>
      </c>
      <c r="AB109" s="1" t="s">
        <v>3093</v>
      </c>
      <c r="AC109" s="1" t="s">
        <v>74</v>
      </c>
      <c r="AD109" s="1" t="s">
        <v>74</v>
      </c>
      <c r="AE109" s="1" t="s">
        <v>74</v>
      </c>
      <c r="AF109" s="1" t="s">
        <v>74</v>
      </c>
      <c r="AG109" s="1">
        <v>0</v>
      </c>
      <c r="AH109" s="1">
        <v>562</v>
      </c>
      <c r="AI109" s="1">
        <v>567</v>
      </c>
      <c r="AJ109" s="1">
        <v>7</v>
      </c>
      <c r="AK109" s="1">
        <v>28</v>
      </c>
      <c r="AL109" s="1" t="s">
        <v>3094</v>
      </c>
      <c r="AM109" s="1" t="s">
        <v>3095</v>
      </c>
      <c r="AN109" s="1" t="s">
        <v>3096</v>
      </c>
      <c r="AO109" s="1" t="s">
        <v>74</v>
      </c>
      <c r="AP109" s="1" t="s">
        <v>74</v>
      </c>
      <c r="AQ109" s="1" t="s">
        <v>3097</v>
      </c>
      <c r="AR109" s="1" t="s">
        <v>74</v>
      </c>
      <c r="AS109" s="1" t="s">
        <v>74</v>
      </c>
      <c r="AT109" s="1" t="s">
        <v>74</v>
      </c>
      <c r="AU109" s="1">
        <v>2010</v>
      </c>
      <c r="AV109" s="1" t="s">
        <v>74</v>
      </c>
      <c r="AW109" s="1" t="s">
        <v>74</v>
      </c>
      <c r="AX109" s="1" t="s">
        <v>74</v>
      </c>
      <c r="AY109" s="1" t="s">
        <v>74</v>
      </c>
      <c r="AZ109" s="1" t="s">
        <v>74</v>
      </c>
      <c r="BA109" s="1" t="s">
        <v>74</v>
      </c>
      <c r="BB109" s="1" t="s">
        <v>74</v>
      </c>
      <c r="BC109" s="1" t="s">
        <v>74</v>
      </c>
      <c r="BD109" s="1" t="s">
        <v>74</v>
      </c>
      <c r="BE109" s="1" t="s">
        <v>74</v>
      </c>
      <c r="BF109" s="1" t="s">
        <v>74</v>
      </c>
      <c r="BG109" s="1" t="s">
        <v>74</v>
      </c>
      <c r="BH109" s="1" t="s">
        <v>74</v>
      </c>
      <c r="BI109" s="1">
        <v>12</v>
      </c>
      <c r="BJ109" s="1" t="s">
        <v>3098</v>
      </c>
      <c r="BK109" s="1" t="s">
        <v>3099</v>
      </c>
      <c r="BL109" s="1" t="s">
        <v>2540</v>
      </c>
      <c r="BM109" s="1" t="s">
        <v>3100</v>
      </c>
      <c r="BN109" s="1" t="s">
        <v>74</v>
      </c>
      <c r="BO109" s="1" t="s">
        <v>74</v>
      </c>
      <c r="BP109" s="1" t="s">
        <v>74</v>
      </c>
      <c r="BQ109" s="1" t="s">
        <v>74</v>
      </c>
      <c r="BR109" s="1" t="s">
        <v>104</v>
      </c>
      <c r="BS109" s="1" t="s">
        <v>3101</v>
      </c>
      <c r="BT109" s="1" t="str">
        <f>HYPERLINK("https%3A%2F%2Fwww.webofscience.com%2Fwos%2Fwoscc%2Ffull-record%2FWOS:000356879504015","View Full Record in Web of Science")</f>
        <v>View Full Record in Web of Science</v>
      </c>
      <c r="BU109" s="1" t="s">
        <v>3776</v>
      </c>
      <c r="BV109" s="1" t="s">
        <v>10653</v>
      </c>
    </row>
    <row r="110" spans="1:75" ht="217.5" x14ac:dyDescent="0.35">
      <c r="A110" s="1" t="s">
        <v>578</v>
      </c>
      <c r="B110" s="1" t="s">
        <v>4090</v>
      </c>
      <c r="C110" s="1" t="s">
        <v>74</v>
      </c>
      <c r="D110" s="1" t="s">
        <v>4091</v>
      </c>
      <c r="E110" s="1" t="s">
        <v>74</v>
      </c>
      <c r="F110" s="1" t="s">
        <v>4092</v>
      </c>
      <c r="G110" s="1" t="s">
        <v>74</v>
      </c>
      <c r="H110" s="1" t="s">
        <v>74</v>
      </c>
      <c r="I110" s="1" t="s">
        <v>4093</v>
      </c>
      <c r="J110" s="1" t="s">
        <v>4094</v>
      </c>
      <c r="K110" s="1" t="s">
        <v>4095</v>
      </c>
      <c r="L110" s="1" t="s">
        <v>74</v>
      </c>
      <c r="M110" s="1" t="s">
        <v>78</v>
      </c>
      <c r="N110" s="1" t="s">
        <v>584</v>
      </c>
      <c r="O110" s="1" t="s">
        <v>4096</v>
      </c>
      <c r="P110" s="1" t="s">
        <v>4097</v>
      </c>
      <c r="Q110" s="1" t="s">
        <v>4098</v>
      </c>
      <c r="R110" s="1" t="s">
        <v>74</v>
      </c>
      <c r="S110" s="1" t="s">
        <v>74</v>
      </c>
      <c r="T110" s="1" t="s">
        <v>4099</v>
      </c>
      <c r="U110" s="1" t="s">
        <v>74</v>
      </c>
      <c r="V110" s="1" t="s">
        <v>4100</v>
      </c>
      <c r="W110" s="1" t="s">
        <v>4101</v>
      </c>
      <c r="X110" s="1" t="s">
        <v>4102</v>
      </c>
      <c r="Y110" s="1" t="s">
        <v>4103</v>
      </c>
      <c r="Z110" s="1" t="s">
        <v>4104</v>
      </c>
      <c r="AA110" s="1" t="s">
        <v>1509</v>
      </c>
      <c r="AB110" s="1" t="s">
        <v>1510</v>
      </c>
      <c r="AC110" s="1" t="s">
        <v>4105</v>
      </c>
      <c r="AD110" s="1" t="s">
        <v>4106</v>
      </c>
      <c r="AE110" s="1" t="s">
        <v>4107</v>
      </c>
      <c r="AF110" s="1" t="s">
        <v>74</v>
      </c>
      <c r="AG110" s="1">
        <v>7</v>
      </c>
      <c r="AH110" s="1">
        <v>6</v>
      </c>
      <c r="AI110" s="1">
        <v>6</v>
      </c>
      <c r="AJ110" s="1">
        <v>0</v>
      </c>
      <c r="AK110" s="1">
        <v>5</v>
      </c>
      <c r="AL110" s="1" t="s">
        <v>4108</v>
      </c>
      <c r="AM110" s="1" t="s">
        <v>1034</v>
      </c>
      <c r="AN110" s="1" t="s">
        <v>4109</v>
      </c>
      <c r="AO110" s="1" t="s">
        <v>4110</v>
      </c>
      <c r="AP110" s="1" t="s">
        <v>4111</v>
      </c>
      <c r="AQ110" s="1" t="s">
        <v>4112</v>
      </c>
      <c r="AR110" s="1" t="s">
        <v>4113</v>
      </c>
      <c r="AS110" s="1" t="s">
        <v>74</v>
      </c>
      <c r="AT110" s="1" t="s">
        <v>74</v>
      </c>
      <c r="AU110" s="1">
        <v>2010</v>
      </c>
      <c r="AV110" s="1">
        <v>6007</v>
      </c>
      <c r="AW110" s="1" t="s">
        <v>74</v>
      </c>
      <c r="AX110" s="1" t="s">
        <v>74</v>
      </c>
      <c r="AY110" s="1" t="s">
        <v>74</v>
      </c>
      <c r="AZ110" s="1" t="s">
        <v>74</v>
      </c>
      <c r="BA110" s="1" t="s">
        <v>74</v>
      </c>
      <c r="BB110" s="1">
        <v>248</v>
      </c>
      <c r="BC110" s="1" t="s">
        <v>876</v>
      </c>
      <c r="BD110" s="1" t="s">
        <v>74</v>
      </c>
      <c r="BE110" s="1" t="s">
        <v>74</v>
      </c>
      <c r="BF110" s="1" t="s">
        <v>74</v>
      </c>
      <c r="BG110" s="1" t="s">
        <v>74</v>
      </c>
      <c r="BH110" s="1" t="s">
        <v>74</v>
      </c>
      <c r="BI110" s="1">
        <v>2</v>
      </c>
      <c r="BJ110" s="1" t="s">
        <v>4114</v>
      </c>
      <c r="BK110" s="1" t="s">
        <v>604</v>
      </c>
      <c r="BL110" s="1" t="s">
        <v>417</v>
      </c>
      <c r="BM110" s="1" t="s">
        <v>4115</v>
      </c>
      <c r="BN110" s="1" t="s">
        <v>74</v>
      </c>
      <c r="BO110" s="1" t="s">
        <v>74</v>
      </c>
      <c r="BP110" s="1" t="s">
        <v>74</v>
      </c>
      <c r="BQ110" s="1" t="s">
        <v>74</v>
      </c>
      <c r="BR110" s="1" t="s">
        <v>104</v>
      </c>
      <c r="BS110" s="1" t="s">
        <v>4116</v>
      </c>
      <c r="BT110" s="1" t="str">
        <f>HYPERLINK("https%3A%2F%2Fwww.webofscience.com%2Fwos%2Fwoscc%2Ffull-record%2FWOS:000280121900029","View Full Record in Web of Science")</f>
        <v>View Full Record in Web of Science</v>
      </c>
      <c r="BU110" s="1" t="s">
        <v>4172</v>
      </c>
      <c r="BV110" s="1" t="s">
        <v>10653</v>
      </c>
    </row>
    <row r="111" spans="1:75" ht="290" x14ac:dyDescent="0.35">
      <c r="A111" s="1" t="s">
        <v>72</v>
      </c>
      <c r="B111" s="1" t="s">
        <v>4117</v>
      </c>
      <c r="C111" s="1" t="s">
        <v>74</v>
      </c>
      <c r="D111" s="1" t="s">
        <v>74</v>
      </c>
      <c r="E111" s="1" t="s">
        <v>74</v>
      </c>
      <c r="F111" s="1" t="s">
        <v>4118</v>
      </c>
      <c r="G111" s="1" t="s">
        <v>74</v>
      </c>
      <c r="H111" s="1" t="s">
        <v>74</v>
      </c>
      <c r="I111" s="1" t="s">
        <v>4119</v>
      </c>
      <c r="J111" s="1" t="s">
        <v>2998</v>
      </c>
      <c r="K111" s="1" t="s">
        <v>74</v>
      </c>
      <c r="L111" s="1" t="s">
        <v>74</v>
      </c>
      <c r="M111" s="1" t="s">
        <v>78</v>
      </c>
      <c r="N111" s="1" t="s">
        <v>79</v>
      </c>
      <c r="O111" s="1" t="s">
        <v>74</v>
      </c>
      <c r="P111" s="1" t="s">
        <v>74</v>
      </c>
      <c r="Q111" s="1" t="s">
        <v>74</v>
      </c>
      <c r="R111" s="1" t="s">
        <v>74</v>
      </c>
      <c r="S111" s="1" t="s">
        <v>74</v>
      </c>
      <c r="T111" s="1" t="s">
        <v>74</v>
      </c>
      <c r="U111" s="1" t="s">
        <v>4120</v>
      </c>
      <c r="V111" s="1" t="s">
        <v>4121</v>
      </c>
      <c r="W111" s="1" t="s">
        <v>4122</v>
      </c>
      <c r="X111" s="1" t="s">
        <v>4123</v>
      </c>
      <c r="Y111" s="1" t="s">
        <v>4124</v>
      </c>
      <c r="Z111" s="1" t="s">
        <v>4125</v>
      </c>
      <c r="AA111" s="1" t="s">
        <v>4126</v>
      </c>
      <c r="AB111" s="1" t="s">
        <v>4127</v>
      </c>
      <c r="AC111" s="1" t="s">
        <v>4128</v>
      </c>
      <c r="AD111" s="1" t="s">
        <v>4129</v>
      </c>
      <c r="AE111" s="1" t="s">
        <v>4130</v>
      </c>
      <c r="AF111" s="1" t="s">
        <v>74</v>
      </c>
      <c r="AG111" s="1">
        <v>62</v>
      </c>
      <c r="AH111" s="1">
        <v>170</v>
      </c>
      <c r="AI111" s="1">
        <v>174</v>
      </c>
      <c r="AJ111" s="1">
        <v>0</v>
      </c>
      <c r="AK111" s="1">
        <v>106</v>
      </c>
      <c r="AL111" s="1" t="s">
        <v>206</v>
      </c>
      <c r="AM111" s="1" t="s">
        <v>207</v>
      </c>
      <c r="AN111" s="1" t="s">
        <v>208</v>
      </c>
      <c r="AO111" s="1" t="s">
        <v>3009</v>
      </c>
      <c r="AP111" s="1" t="s">
        <v>3010</v>
      </c>
      <c r="AQ111" s="1" t="s">
        <v>74</v>
      </c>
      <c r="AR111" s="1" t="s">
        <v>3011</v>
      </c>
      <c r="AS111" s="1" t="s">
        <v>3012</v>
      </c>
      <c r="AT111" s="1" t="s">
        <v>213</v>
      </c>
      <c r="AU111" s="1">
        <v>2010</v>
      </c>
      <c r="AV111" s="1">
        <v>61</v>
      </c>
      <c r="AW111" s="1">
        <v>1</v>
      </c>
      <c r="AX111" s="1" t="s">
        <v>74</v>
      </c>
      <c r="AY111" s="1" t="s">
        <v>74</v>
      </c>
      <c r="AZ111" s="1" t="s">
        <v>74</v>
      </c>
      <c r="BA111" s="1" t="s">
        <v>74</v>
      </c>
      <c r="BB111" s="1">
        <v>190</v>
      </c>
      <c r="BC111" s="1">
        <v>199</v>
      </c>
      <c r="BD111" s="1" t="s">
        <v>74</v>
      </c>
      <c r="BE111" s="1" t="s">
        <v>4131</v>
      </c>
      <c r="BF111" s="1" t="str">
        <f>HYPERLINK("http://dx.doi.org/10.1002/asi.21180","http://dx.doi.org/10.1002/asi.21180")</f>
        <v>http://dx.doi.org/10.1002/asi.21180</v>
      </c>
      <c r="BG111" s="1" t="s">
        <v>74</v>
      </c>
      <c r="BH111" s="1" t="s">
        <v>74</v>
      </c>
      <c r="BI111" s="1">
        <v>10</v>
      </c>
      <c r="BJ111" s="1" t="s">
        <v>3014</v>
      </c>
      <c r="BK111" s="1" t="s">
        <v>520</v>
      </c>
      <c r="BL111" s="1" t="s">
        <v>2416</v>
      </c>
      <c r="BM111" s="1" t="s">
        <v>4132</v>
      </c>
      <c r="BN111" s="1" t="s">
        <v>74</v>
      </c>
      <c r="BO111" s="1" t="s">
        <v>74</v>
      </c>
      <c r="BP111" s="1" t="s">
        <v>74</v>
      </c>
      <c r="BQ111" s="1" t="s">
        <v>74</v>
      </c>
      <c r="BR111" s="1" t="s">
        <v>104</v>
      </c>
      <c r="BS111" s="1" t="s">
        <v>4133</v>
      </c>
      <c r="BT111" s="1" t="str">
        <f>HYPERLINK("https%3A%2F%2Fwww.webofscience.com%2Fwos%2Fwoscc%2Ffull-record%2FWOS:000273155100015","View Full Record in Web of Science")</f>
        <v>View Full Record in Web of Science</v>
      </c>
      <c r="BU111" s="1" t="s">
        <v>4172</v>
      </c>
      <c r="BV111" s="1" t="s">
        <v>10653</v>
      </c>
    </row>
    <row r="112" spans="1:75" ht="232" x14ac:dyDescent="0.35">
      <c r="A112" s="1" t="s">
        <v>578</v>
      </c>
      <c r="B112" s="1" t="s">
        <v>5786</v>
      </c>
      <c r="C112" s="1" t="s">
        <v>74</v>
      </c>
      <c r="D112" s="1" t="s">
        <v>74</v>
      </c>
      <c r="E112" s="1" t="s">
        <v>5787</v>
      </c>
      <c r="F112" s="1" t="s">
        <v>5788</v>
      </c>
      <c r="G112" s="1" t="s">
        <v>74</v>
      </c>
      <c r="H112" s="1" t="s">
        <v>74</v>
      </c>
      <c r="I112" s="1" t="s">
        <v>5789</v>
      </c>
      <c r="J112" s="1" t="s">
        <v>5790</v>
      </c>
      <c r="K112" s="1" t="s">
        <v>74</v>
      </c>
      <c r="L112" s="1" t="s">
        <v>74</v>
      </c>
      <c r="M112" s="1" t="s">
        <v>78</v>
      </c>
      <c r="N112" s="1" t="s">
        <v>584</v>
      </c>
      <c r="O112" s="1" t="s">
        <v>5791</v>
      </c>
      <c r="P112" s="1" t="s">
        <v>5792</v>
      </c>
      <c r="Q112" s="1" t="s">
        <v>5793</v>
      </c>
      <c r="R112" s="1" t="s">
        <v>5794</v>
      </c>
      <c r="S112" s="1" t="s">
        <v>74</v>
      </c>
      <c r="T112" s="1" t="s">
        <v>5795</v>
      </c>
      <c r="U112" s="1" t="s">
        <v>74</v>
      </c>
      <c r="V112" s="1" t="s">
        <v>5796</v>
      </c>
      <c r="W112" s="1" t="s">
        <v>5797</v>
      </c>
      <c r="X112" s="1" t="s">
        <v>5798</v>
      </c>
      <c r="Y112" s="1" t="s">
        <v>5799</v>
      </c>
      <c r="Z112" s="1" t="s">
        <v>5800</v>
      </c>
      <c r="AA112" s="1" t="s">
        <v>5801</v>
      </c>
      <c r="AB112" s="1" t="s">
        <v>5802</v>
      </c>
      <c r="AC112" s="1" t="s">
        <v>74</v>
      </c>
      <c r="AD112" s="1" t="s">
        <v>74</v>
      </c>
      <c r="AE112" s="1" t="s">
        <v>74</v>
      </c>
      <c r="AF112" s="1" t="s">
        <v>74</v>
      </c>
      <c r="AG112" s="1">
        <v>14</v>
      </c>
      <c r="AH112" s="1">
        <v>2618</v>
      </c>
      <c r="AI112" s="1">
        <v>2835</v>
      </c>
      <c r="AJ112" s="1">
        <v>10</v>
      </c>
      <c r="AK112" s="1">
        <v>139</v>
      </c>
      <c r="AL112" s="1" t="s">
        <v>5803</v>
      </c>
      <c r="AM112" s="1" t="s">
        <v>5679</v>
      </c>
      <c r="AN112" s="1" t="s">
        <v>5680</v>
      </c>
      <c r="AO112" s="1" t="s">
        <v>74</v>
      </c>
      <c r="AP112" s="1" t="s">
        <v>74</v>
      </c>
      <c r="AQ112" s="1" t="s">
        <v>5804</v>
      </c>
      <c r="AR112" s="1" t="s">
        <v>74</v>
      </c>
      <c r="AS112" s="1" t="s">
        <v>74</v>
      </c>
      <c r="AT112" s="1" t="s">
        <v>74</v>
      </c>
      <c r="AU112" s="1">
        <v>2010</v>
      </c>
      <c r="AV112" s="1" t="s">
        <v>74</v>
      </c>
      <c r="AW112" s="1" t="s">
        <v>74</v>
      </c>
      <c r="AX112" s="1" t="s">
        <v>74</v>
      </c>
      <c r="AY112" s="1" t="s">
        <v>74</v>
      </c>
      <c r="AZ112" s="1" t="s">
        <v>74</v>
      </c>
      <c r="BA112" s="1" t="s">
        <v>74</v>
      </c>
      <c r="BB112" s="1">
        <v>1045</v>
      </c>
      <c r="BC112" s="1">
        <v>1048</v>
      </c>
      <c r="BD112" s="1" t="s">
        <v>74</v>
      </c>
      <c r="BE112" s="1" t="s">
        <v>74</v>
      </c>
      <c r="BF112" s="1" t="s">
        <v>74</v>
      </c>
      <c r="BG112" s="1" t="s">
        <v>74</v>
      </c>
      <c r="BH112" s="1" t="s">
        <v>74</v>
      </c>
      <c r="BI112" s="1">
        <v>4</v>
      </c>
      <c r="BJ112" s="1" t="s">
        <v>5762</v>
      </c>
      <c r="BK112" s="1" t="s">
        <v>604</v>
      </c>
      <c r="BL112" s="1" t="s">
        <v>733</v>
      </c>
      <c r="BM112" s="1" t="s">
        <v>5805</v>
      </c>
      <c r="BN112" s="1" t="s">
        <v>74</v>
      </c>
      <c r="BO112" s="1" t="s">
        <v>74</v>
      </c>
      <c r="BP112" s="1" t="s">
        <v>74</v>
      </c>
      <c r="BQ112" s="1" t="s">
        <v>74</v>
      </c>
      <c r="BR112" s="1" t="s">
        <v>4296</v>
      </c>
      <c r="BS112" s="1" t="s">
        <v>5806</v>
      </c>
      <c r="BT112" s="1" t="str">
        <f>HYPERLINK("https%3A%2F%2Fwww.webofscience.com%2Fwos%2Fwoscc%2Ffull-record%2FWOS:000294382400258","View Full Record in Web of Science")</f>
        <v>View Full Record in Web of Science</v>
      </c>
      <c r="BU112" s="1" t="s">
        <v>5876</v>
      </c>
      <c r="BV112" s="1" t="s">
        <v>10653</v>
      </c>
    </row>
    <row r="113" spans="1:75" x14ac:dyDescent="0.35">
      <c r="A113" t="s">
        <v>72</v>
      </c>
      <c r="B113" t="s">
        <v>7504</v>
      </c>
      <c r="C113" t="s">
        <v>74</v>
      </c>
      <c r="D113" t="s">
        <v>74</v>
      </c>
      <c r="E113" t="s">
        <v>74</v>
      </c>
      <c r="F113" t="s">
        <v>7505</v>
      </c>
      <c r="G113" t="s">
        <v>74</v>
      </c>
      <c r="H113" t="s">
        <v>74</v>
      </c>
      <c r="I113" t="s">
        <v>7506</v>
      </c>
      <c r="J113" t="s">
        <v>6705</v>
      </c>
      <c r="K113" t="s">
        <v>74</v>
      </c>
      <c r="L113" t="s">
        <v>74</v>
      </c>
      <c r="M113" t="s">
        <v>78</v>
      </c>
      <c r="N113" t="s">
        <v>79</v>
      </c>
      <c r="O113" t="s">
        <v>74</v>
      </c>
      <c r="P113" t="s">
        <v>74</v>
      </c>
      <c r="Q113" t="s">
        <v>74</v>
      </c>
      <c r="R113" t="s">
        <v>74</v>
      </c>
      <c r="S113" t="s">
        <v>74</v>
      </c>
      <c r="T113" t="s">
        <v>7507</v>
      </c>
      <c r="U113" t="s">
        <v>7508</v>
      </c>
      <c r="V113" t="s">
        <v>7509</v>
      </c>
      <c r="W113" t="s">
        <v>7510</v>
      </c>
      <c r="X113" t="s">
        <v>74</v>
      </c>
      <c r="Y113" t="s">
        <v>7511</v>
      </c>
      <c r="Z113" t="s">
        <v>7512</v>
      </c>
      <c r="AA113" t="s">
        <v>74</v>
      </c>
      <c r="AB113" t="s">
        <v>74</v>
      </c>
      <c r="AC113" t="s">
        <v>74</v>
      </c>
      <c r="AD113" t="s">
        <v>74</v>
      </c>
      <c r="AE113" t="s">
        <v>74</v>
      </c>
      <c r="AF113" t="s">
        <v>74</v>
      </c>
      <c r="AG113">
        <v>37</v>
      </c>
      <c r="AH113">
        <v>30</v>
      </c>
      <c r="AI113">
        <v>31</v>
      </c>
      <c r="AJ113">
        <v>2</v>
      </c>
      <c r="AK113">
        <v>38</v>
      </c>
      <c r="AL113" t="s">
        <v>206</v>
      </c>
      <c r="AM113" t="s">
        <v>207</v>
      </c>
      <c r="AN113" t="s">
        <v>208</v>
      </c>
      <c r="AO113" t="s">
        <v>6718</v>
      </c>
      <c r="AP113" t="s">
        <v>6719</v>
      </c>
      <c r="AQ113" t="s">
        <v>74</v>
      </c>
      <c r="AR113" t="s">
        <v>6720</v>
      </c>
      <c r="AS113" t="s">
        <v>6721</v>
      </c>
      <c r="AT113" t="s">
        <v>258</v>
      </c>
      <c r="AU113">
        <v>2010</v>
      </c>
      <c r="AV113">
        <v>34</v>
      </c>
      <c r="AW113">
        <v>6</v>
      </c>
      <c r="AX113" t="s">
        <v>74</v>
      </c>
      <c r="AY113" t="s">
        <v>74</v>
      </c>
      <c r="AZ113" t="s">
        <v>74</v>
      </c>
      <c r="BA113" t="s">
        <v>74</v>
      </c>
      <c r="BB113">
        <v>674</v>
      </c>
      <c r="BC113">
        <v>683</v>
      </c>
      <c r="BD113" t="s">
        <v>74</v>
      </c>
      <c r="BE113" t="s">
        <v>7513</v>
      </c>
      <c r="BF113" t="str">
        <f>HYPERLINK("http://dx.doi.org/10.1111/j.1470-6431.2010.00900.x","http://dx.doi.org/10.1111/j.1470-6431.2010.00900.x")</f>
        <v>http://dx.doi.org/10.1111/j.1470-6431.2010.00900.x</v>
      </c>
      <c r="BG113" t="s">
        <v>74</v>
      </c>
      <c r="BH113" t="s">
        <v>74</v>
      </c>
      <c r="BI113">
        <v>10</v>
      </c>
      <c r="BJ113" t="s">
        <v>153</v>
      </c>
      <c r="BK113" t="s">
        <v>101</v>
      </c>
      <c r="BL113" t="s">
        <v>154</v>
      </c>
      <c r="BM113" t="s">
        <v>7514</v>
      </c>
      <c r="BN113" t="s">
        <v>74</v>
      </c>
      <c r="BO113" t="s">
        <v>74</v>
      </c>
      <c r="BP113" t="s">
        <v>74</v>
      </c>
      <c r="BQ113" t="s">
        <v>74</v>
      </c>
      <c r="BR113" t="s">
        <v>6098</v>
      </c>
      <c r="BS113" t="s">
        <v>7515</v>
      </c>
      <c r="BT113" t="str">
        <f>HYPERLINK("https%3A%2F%2Fwww.webofscience.com%2Fwos%2Fwoscc%2Ffull-record%2FWOS:000282872000007","View Full Record in Web of Science")</f>
        <v>View Full Record in Web of Science</v>
      </c>
      <c r="BU113" t="s">
        <v>6100</v>
      </c>
      <c r="BV113" s="1" t="s">
        <v>6080</v>
      </c>
      <c r="BW113" s="1" t="s">
        <v>10653</v>
      </c>
    </row>
    <row r="114" spans="1:75" x14ac:dyDescent="0.35">
      <c r="A114" t="s">
        <v>72</v>
      </c>
      <c r="B114" t="s">
        <v>7673</v>
      </c>
      <c r="C114" t="s">
        <v>74</v>
      </c>
      <c r="D114" t="s">
        <v>74</v>
      </c>
      <c r="E114" t="s">
        <v>74</v>
      </c>
      <c r="F114" t="s">
        <v>7674</v>
      </c>
      <c r="G114" t="s">
        <v>74</v>
      </c>
      <c r="H114" t="s">
        <v>74</v>
      </c>
      <c r="I114" t="s">
        <v>7675</v>
      </c>
      <c r="J114" t="s">
        <v>7676</v>
      </c>
      <c r="K114" t="s">
        <v>74</v>
      </c>
      <c r="L114" t="s">
        <v>74</v>
      </c>
      <c r="M114" t="s">
        <v>78</v>
      </c>
      <c r="N114" t="s">
        <v>79</v>
      </c>
      <c r="O114" t="s">
        <v>74</v>
      </c>
      <c r="P114" t="s">
        <v>74</v>
      </c>
      <c r="Q114" t="s">
        <v>74</v>
      </c>
      <c r="R114" t="s">
        <v>74</v>
      </c>
      <c r="S114" t="s">
        <v>74</v>
      </c>
      <c r="T114" t="s">
        <v>7677</v>
      </c>
      <c r="U114" t="s">
        <v>7678</v>
      </c>
      <c r="V114" t="s">
        <v>7679</v>
      </c>
      <c r="W114" t="s">
        <v>7680</v>
      </c>
      <c r="X114" t="s">
        <v>7681</v>
      </c>
      <c r="Y114" t="s">
        <v>7682</v>
      </c>
      <c r="Z114" t="s">
        <v>7683</v>
      </c>
      <c r="AA114" t="s">
        <v>7684</v>
      </c>
      <c r="AB114" t="s">
        <v>7685</v>
      </c>
      <c r="AC114" t="s">
        <v>7686</v>
      </c>
      <c r="AD114" t="s">
        <v>7687</v>
      </c>
      <c r="AE114" t="s">
        <v>7688</v>
      </c>
      <c r="AF114" t="s">
        <v>74</v>
      </c>
      <c r="AG114">
        <v>55</v>
      </c>
      <c r="AH114">
        <v>69</v>
      </c>
      <c r="AI114">
        <v>71</v>
      </c>
      <c r="AJ114">
        <v>1</v>
      </c>
      <c r="AK114">
        <v>73</v>
      </c>
      <c r="AL114" t="s">
        <v>1886</v>
      </c>
      <c r="AM114" t="s">
        <v>121</v>
      </c>
      <c r="AN114" t="s">
        <v>1887</v>
      </c>
      <c r="AO114" t="s">
        <v>7689</v>
      </c>
      <c r="AP114" t="s">
        <v>7690</v>
      </c>
      <c r="AQ114" t="s">
        <v>74</v>
      </c>
      <c r="AR114" t="s">
        <v>7691</v>
      </c>
      <c r="AS114" t="s">
        <v>7692</v>
      </c>
      <c r="AT114" t="s">
        <v>151</v>
      </c>
      <c r="AU114">
        <v>2010</v>
      </c>
      <c r="AV114">
        <v>25</v>
      </c>
      <c r="AW114">
        <v>2</v>
      </c>
      <c r="AX114" t="s">
        <v>74</v>
      </c>
      <c r="AY114" t="s">
        <v>74</v>
      </c>
      <c r="AZ114" t="s">
        <v>74</v>
      </c>
      <c r="BA114" t="s">
        <v>74</v>
      </c>
      <c r="BB114">
        <v>178</v>
      </c>
      <c r="BC114">
        <v>188</v>
      </c>
      <c r="BD114" t="s">
        <v>74</v>
      </c>
      <c r="BE114" t="s">
        <v>7693</v>
      </c>
      <c r="BF114" t="str">
        <f>HYPERLINK("http://dx.doi.org/10.1057/jit.2010.1","http://dx.doi.org/10.1057/jit.2010.1")</f>
        <v>http://dx.doi.org/10.1057/jit.2010.1</v>
      </c>
      <c r="BG114" t="s">
        <v>74</v>
      </c>
      <c r="BH114" t="s">
        <v>74</v>
      </c>
      <c r="BI114">
        <v>11</v>
      </c>
      <c r="BJ114" t="s">
        <v>1162</v>
      </c>
      <c r="BK114" t="s">
        <v>520</v>
      </c>
      <c r="BL114" t="s">
        <v>1163</v>
      </c>
      <c r="BM114" t="s">
        <v>7694</v>
      </c>
      <c r="BN114" t="s">
        <v>74</v>
      </c>
      <c r="BO114" t="s">
        <v>156</v>
      </c>
      <c r="BP114" t="s">
        <v>74</v>
      </c>
      <c r="BQ114" t="s">
        <v>74</v>
      </c>
      <c r="BR114" t="s">
        <v>6098</v>
      </c>
      <c r="BS114" t="s">
        <v>7695</v>
      </c>
      <c r="BT114" t="str">
        <f>HYPERLINK("https%3A%2F%2Fwww.webofscience.com%2Fwos%2Fwoscc%2Ffull-record%2FWOS:000278927100007","View Full Record in Web of Science")</f>
        <v>View Full Record in Web of Science</v>
      </c>
      <c r="BU114" t="s">
        <v>6100</v>
      </c>
      <c r="BV114" s="1" t="s">
        <v>10653</v>
      </c>
    </row>
    <row r="115" spans="1:75" x14ac:dyDescent="0.35">
      <c r="A115" t="s">
        <v>72</v>
      </c>
      <c r="B115" t="s">
        <v>8106</v>
      </c>
      <c r="C115" t="s">
        <v>74</v>
      </c>
      <c r="D115" t="s">
        <v>74</v>
      </c>
      <c r="E115" t="s">
        <v>74</v>
      </c>
      <c r="F115" t="s">
        <v>5881</v>
      </c>
      <c r="G115" t="s">
        <v>74</v>
      </c>
      <c r="H115" t="s">
        <v>74</v>
      </c>
      <c r="I115" t="s">
        <v>5903</v>
      </c>
      <c r="J115" t="s">
        <v>788</v>
      </c>
      <c r="K115" t="s">
        <v>74</v>
      </c>
      <c r="L115" t="s">
        <v>74</v>
      </c>
      <c r="M115" t="s">
        <v>78</v>
      </c>
      <c r="N115" t="s">
        <v>110</v>
      </c>
      <c r="O115" t="s">
        <v>74</v>
      </c>
      <c r="P115" t="s">
        <v>74</v>
      </c>
      <c r="Q115" t="s">
        <v>74</v>
      </c>
      <c r="R115" t="s">
        <v>74</v>
      </c>
      <c r="S115" t="s">
        <v>74</v>
      </c>
      <c r="T115" t="s">
        <v>8107</v>
      </c>
      <c r="U115" t="s">
        <v>8108</v>
      </c>
      <c r="V115" t="s">
        <v>8109</v>
      </c>
      <c r="W115" t="s">
        <v>8110</v>
      </c>
      <c r="X115" t="s">
        <v>8111</v>
      </c>
      <c r="Y115" t="s">
        <v>8112</v>
      </c>
      <c r="Z115" t="s">
        <v>8113</v>
      </c>
      <c r="AA115" t="s">
        <v>74</v>
      </c>
      <c r="AB115" t="s">
        <v>74</v>
      </c>
      <c r="AC115" t="s">
        <v>74</v>
      </c>
      <c r="AD115" t="s">
        <v>74</v>
      </c>
      <c r="AE115" t="s">
        <v>74</v>
      </c>
      <c r="AF115" t="s">
        <v>74</v>
      </c>
      <c r="AG115">
        <v>81</v>
      </c>
      <c r="AH115">
        <v>203</v>
      </c>
      <c r="AI115">
        <v>213</v>
      </c>
      <c r="AJ115">
        <v>9</v>
      </c>
      <c r="AK115">
        <v>151</v>
      </c>
      <c r="AL115" t="s">
        <v>409</v>
      </c>
      <c r="AM115" t="s">
        <v>410</v>
      </c>
      <c r="AN115" t="s">
        <v>411</v>
      </c>
      <c r="AO115" t="s">
        <v>800</v>
      </c>
      <c r="AP115" t="s">
        <v>801</v>
      </c>
      <c r="AQ115" t="s">
        <v>74</v>
      </c>
      <c r="AR115" t="s">
        <v>802</v>
      </c>
      <c r="AS115" t="s">
        <v>803</v>
      </c>
      <c r="AT115" t="s">
        <v>348</v>
      </c>
      <c r="AU115">
        <v>2010</v>
      </c>
      <c r="AV115">
        <v>27</v>
      </c>
      <c r="AW115">
        <v>4</v>
      </c>
      <c r="AX115" t="s">
        <v>74</v>
      </c>
      <c r="AY115" t="s">
        <v>74</v>
      </c>
      <c r="AZ115" t="s">
        <v>74</v>
      </c>
      <c r="BA115" t="s">
        <v>74</v>
      </c>
      <c r="BB115">
        <v>293</v>
      </c>
      <c r="BC115">
        <v>307</v>
      </c>
      <c r="BD115" t="s">
        <v>74</v>
      </c>
      <c r="BE115" t="s">
        <v>8114</v>
      </c>
      <c r="BF115" t="str">
        <f>HYPERLINK("http://dx.doi.org/10.1016/j.ijresmar.2010.09.001","http://dx.doi.org/10.1016/j.ijresmar.2010.09.001")</f>
        <v>http://dx.doi.org/10.1016/j.ijresmar.2010.09.001</v>
      </c>
      <c r="BG115" t="s">
        <v>74</v>
      </c>
      <c r="BH115" t="s">
        <v>74</v>
      </c>
      <c r="BI115">
        <v>15</v>
      </c>
      <c r="BJ115" t="s">
        <v>153</v>
      </c>
      <c r="BK115" t="s">
        <v>101</v>
      </c>
      <c r="BL115" t="s">
        <v>154</v>
      </c>
      <c r="BM115" t="s">
        <v>8115</v>
      </c>
      <c r="BN115" t="s">
        <v>74</v>
      </c>
      <c r="BO115" t="s">
        <v>74</v>
      </c>
      <c r="BP115" t="s">
        <v>74</v>
      </c>
      <c r="BQ115" t="s">
        <v>74</v>
      </c>
      <c r="BR115" t="s">
        <v>6098</v>
      </c>
      <c r="BS115" t="s">
        <v>8116</v>
      </c>
      <c r="BT115" t="str">
        <f>HYPERLINK("https%3A%2F%2Fwww.webofscience.com%2Fwos%2Fwoscc%2Ffull-record%2FWOS:000285955100001","View Full Record in Web of Science")</f>
        <v>View Full Record in Web of Science</v>
      </c>
      <c r="BU115" t="s">
        <v>6100</v>
      </c>
      <c r="BV115" s="1" t="s">
        <v>6080</v>
      </c>
      <c r="BW115" s="1" t="s">
        <v>6080</v>
      </c>
    </row>
    <row r="116" spans="1:75" x14ac:dyDescent="0.35">
      <c r="A116" t="s">
        <v>72</v>
      </c>
      <c r="B116" t="s">
        <v>9120</v>
      </c>
      <c r="C116" t="s">
        <v>74</v>
      </c>
      <c r="D116" t="s">
        <v>74</v>
      </c>
      <c r="E116" t="s">
        <v>74</v>
      </c>
      <c r="F116" t="s">
        <v>9121</v>
      </c>
      <c r="G116" t="s">
        <v>74</v>
      </c>
      <c r="H116" t="s">
        <v>74</v>
      </c>
      <c r="I116" t="s">
        <v>9122</v>
      </c>
      <c r="J116" t="s">
        <v>198</v>
      </c>
      <c r="K116" t="s">
        <v>74</v>
      </c>
      <c r="L116" t="s">
        <v>74</v>
      </c>
      <c r="M116" t="s">
        <v>78</v>
      </c>
      <c r="N116" t="s">
        <v>79</v>
      </c>
      <c r="O116" t="s">
        <v>74</v>
      </c>
      <c r="P116" t="s">
        <v>74</v>
      </c>
      <c r="Q116" t="s">
        <v>74</v>
      </c>
      <c r="R116" t="s">
        <v>74</v>
      </c>
      <c r="S116" t="s">
        <v>74</v>
      </c>
      <c r="T116" t="s">
        <v>74</v>
      </c>
      <c r="U116" t="s">
        <v>9123</v>
      </c>
      <c r="V116" t="s">
        <v>9124</v>
      </c>
      <c r="W116" t="s">
        <v>9125</v>
      </c>
      <c r="X116" t="s">
        <v>9126</v>
      </c>
      <c r="Y116" t="s">
        <v>9127</v>
      </c>
      <c r="Z116" t="s">
        <v>9128</v>
      </c>
      <c r="AA116" t="s">
        <v>9129</v>
      </c>
      <c r="AB116" t="s">
        <v>9130</v>
      </c>
      <c r="AC116" t="s">
        <v>74</v>
      </c>
      <c r="AD116" t="s">
        <v>74</v>
      </c>
      <c r="AE116" t="s">
        <v>74</v>
      </c>
      <c r="AF116" t="s">
        <v>74</v>
      </c>
      <c r="AG116">
        <v>47</v>
      </c>
      <c r="AH116">
        <v>31</v>
      </c>
      <c r="AI116">
        <v>32</v>
      </c>
      <c r="AJ116">
        <v>2</v>
      </c>
      <c r="AK116">
        <v>36</v>
      </c>
      <c r="AL116" t="s">
        <v>206</v>
      </c>
      <c r="AM116" t="s">
        <v>207</v>
      </c>
      <c r="AN116" t="s">
        <v>208</v>
      </c>
      <c r="AO116" t="s">
        <v>209</v>
      </c>
      <c r="AP116" t="s">
        <v>210</v>
      </c>
      <c r="AQ116" t="s">
        <v>74</v>
      </c>
      <c r="AR116" t="s">
        <v>211</v>
      </c>
      <c r="AS116" t="s">
        <v>212</v>
      </c>
      <c r="AT116" t="s">
        <v>151</v>
      </c>
      <c r="AU116">
        <v>2010</v>
      </c>
      <c r="AV116">
        <v>27</v>
      </c>
      <c r="AW116">
        <v>6</v>
      </c>
      <c r="AX116" t="s">
        <v>74</v>
      </c>
      <c r="AY116" t="s">
        <v>74</v>
      </c>
      <c r="AZ116" t="s">
        <v>259</v>
      </c>
      <c r="BA116" t="s">
        <v>74</v>
      </c>
      <c r="BB116">
        <v>557</v>
      </c>
      <c r="BC116">
        <v>567</v>
      </c>
      <c r="BD116" t="s">
        <v>74</v>
      </c>
      <c r="BE116" t="s">
        <v>9131</v>
      </c>
      <c r="BF116" t="str">
        <f>HYPERLINK("http://dx.doi.org/10.1002/mar.20344","http://dx.doi.org/10.1002/mar.20344")</f>
        <v>http://dx.doi.org/10.1002/mar.20344</v>
      </c>
      <c r="BG116" t="s">
        <v>74</v>
      </c>
      <c r="BH116" t="s">
        <v>74</v>
      </c>
      <c r="BI116">
        <v>11</v>
      </c>
      <c r="BJ116" t="s">
        <v>215</v>
      </c>
      <c r="BK116" t="s">
        <v>101</v>
      </c>
      <c r="BL116" t="s">
        <v>216</v>
      </c>
      <c r="BM116" t="s">
        <v>9132</v>
      </c>
      <c r="BN116" t="s">
        <v>74</v>
      </c>
      <c r="BO116" t="s">
        <v>74</v>
      </c>
      <c r="BP116" t="s">
        <v>74</v>
      </c>
      <c r="BQ116" t="s">
        <v>74</v>
      </c>
      <c r="BR116" t="s">
        <v>6098</v>
      </c>
      <c r="BS116" t="s">
        <v>9133</v>
      </c>
      <c r="BT116" t="str">
        <f>HYPERLINK("https%3A%2F%2Fwww.webofscience.com%2Fwos%2Fwoscc%2Ffull-record%2FWOS:000280081400003","View Full Record in Web of Science")</f>
        <v>View Full Record in Web of Science</v>
      </c>
      <c r="BU116" t="s">
        <v>6100</v>
      </c>
      <c r="BV116" s="1" t="s">
        <v>6080</v>
      </c>
      <c r="BW116" s="1" t="s">
        <v>10653</v>
      </c>
    </row>
    <row r="117" spans="1:75" x14ac:dyDescent="0.35">
      <c r="A117" t="s">
        <v>72</v>
      </c>
      <c r="B117" t="s">
        <v>10326</v>
      </c>
      <c r="C117" t="s">
        <v>74</v>
      </c>
      <c r="D117" t="s">
        <v>74</v>
      </c>
      <c r="E117" t="s">
        <v>74</v>
      </c>
      <c r="F117" t="s">
        <v>10327</v>
      </c>
      <c r="G117" t="s">
        <v>74</v>
      </c>
      <c r="H117" t="s">
        <v>74</v>
      </c>
      <c r="I117" t="s">
        <v>10328</v>
      </c>
      <c r="J117" t="s">
        <v>10329</v>
      </c>
      <c r="K117" t="s">
        <v>74</v>
      </c>
      <c r="L117" t="s">
        <v>74</v>
      </c>
      <c r="M117" t="s">
        <v>78</v>
      </c>
      <c r="N117" t="s">
        <v>79</v>
      </c>
      <c r="O117" t="s">
        <v>74</v>
      </c>
      <c r="P117" t="s">
        <v>74</v>
      </c>
      <c r="Q117" t="s">
        <v>74</v>
      </c>
      <c r="R117" t="s">
        <v>74</v>
      </c>
      <c r="S117" t="s">
        <v>74</v>
      </c>
      <c r="T117" t="s">
        <v>10330</v>
      </c>
      <c r="U117" t="s">
        <v>10331</v>
      </c>
      <c r="V117" t="s">
        <v>10332</v>
      </c>
      <c r="W117" t="s">
        <v>10333</v>
      </c>
      <c r="X117" t="s">
        <v>10334</v>
      </c>
      <c r="Y117" t="s">
        <v>10335</v>
      </c>
      <c r="Z117" t="s">
        <v>74</v>
      </c>
      <c r="AA117" t="s">
        <v>74</v>
      </c>
      <c r="AB117" t="s">
        <v>10336</v>
      </c>
      <c r="AC117" t="s">
        <v>74</v>
      </c>
      <c r="AD117" t="s">
        <v>74</v>
      </c>
      <c r="AE117" t="s">
        <v>74</v>
      </c>
      <c r="AF117" t="s">
        <v>74</v>
      </c>
      <c r="AG117">
        <v>57</v>
      </c>
      <c r="AH117">
        <v>24</v>
      </c>
      <c r="AI117">
        <v>25</v>
      </c>
      <c r="AJ117">
        <v>0</v>
      </c>
      <c r="AK117">
        <v>20</v>
      </c>
      <c r="AL117" t="s">
        <v>206</v>
      </c>
      <c r="AM117" t="s">
        <v>207</v>
      </c>
      <c r="AN117" t="s">
        <v>208</v>
      </c>
      <c r="AO117" t="s">
        <v>10337</v>
      </c>
      <c r="AP117" t="s">
        <v>10338</v>
      </c>
      <c r="AQ117" t="s">
        <v>74</v>
      </c>
      <c r="AR117" t="s">
        <v>10339</v>
      </c>
      <c r="AS117" t="s">
        <v>10340</v>
      </c>
      <c r="AT117" t="s">
        <v>74</v>
      </c>
      <c r="AU117">
        <v>2010</v>
      </c>
      <c r="AV117">
        <v>46</v>
      </c>
      <c r="AW117">
        <v>3</v>
      </c>
      <c r="AX117" t="s">
        <v>74</v>
      </c>
      <c r="AY117" t="s">
        <v>74</v>
      </c>
      <c r="AZ117" t="s">
        <v>74</v>
      </c>
      <c r="BA117" t="s">
        <v>74</v>
      </c>
      <c r="BB117">
        <v>40</v>
      </c>
      <c r="BC117">
        <v>56</v>
      </c>
      <c r="BD117" t="s">
        <v>74</v>
      </c>
      <c r="BE117" t="s">
        <v>10341</v>
      </c>
      <c r="BF117" t="str">
        <f>HYPERLINK("http://dx.doi.org/10.1111/j.1745-493X.2010.03197.x","http://dx.doi.org/10.1111/j.1745-493X.2010.03197.x")</f>
        <v>http://dx.doi.org/10.1111/j.1745-493X.2010.03197.x</v>
      </c>
      <c r="BG117" t="s">
        <v>74</v>
      </c>
      <c r="BH117" t="s">
        <v>74</v>
      </c>
      <c r="BI117">
        <v>17</v>
      </c>
      <c r="BJ117" t="s">
        <v>2493</v>
      </c>
      <c r="BK117" t="s">
        <v>101</v>
      </c>
      <c r="BL117" t="s">
        <v>154</v>
      </c>
      <c r="BM117" t="s">
        <v>10342</v>
      </c>
      <c r="BN117" t="s">
        <v>74</v>
      </c>
      <c r="BO117" t="s">
        <v>74</v>
      </c>
      <c r="BP117" t="s">
        <v>74</v>
      </c>
      <c r="BQ117" t="s">
        <v>74</v>
      </c>
      <c r="BR117" t="s">
        <v>6098</v>
      </c>
      <c r="BS117" t="s">
        <v>10343</v>
      </c>
      <c r="BT117" t="str">
        <f>HYPERLINK("https%3A%2F%2Fwww.webofscience.com%2Fwos%2Fwoscc%2Ffull-record%2FWOS:000279747200004","View Full Record in Web of Science")</f>
        <v>View Full Record in Web of Science</v>
      </c>
      <c r="BU117" t="s">
        <v>6100</v>
      </c>
      <c r="BV117" s="1" t="s">
        <v>10653</v>
      </c>
    </row>
    <row r="118" spans="1:75" ht="409.5" x14ac:dyDescent="0.35">
      <c r="A118" s="1" t="s">
        <v>72</v>
      </c>
      <c r="B118" s="1" t="s">
        <v>396</v>
      </c>
      <c r="C118" s="1" t="s">
        <v>74</v>
      </c>
      <c r="D118" s="1" t="s">
        <v>74</v>
      </c>
      <c r="E118" s="1" t="s">
        <v>74</v>
      </c>
      <c r="F118" s="1" t="s">
        <v>397</v>
      </c>
      <c r="G118" s="1" t="s">
        <v>74</v>
      </c>
      <c r="H118" s="1" t="s">
        <v>74</v>
      </c>
      <c r="I118" s="1" t="s">
        <v>398</v>
      </c>
      <c r="J118" s="1" t="s">
        <v>399</v>
      </c>
      <c r="K118" s="1" t="s">
        <v>74</v>
      </c>
      <c r="L118" s="1" t="s">
        <v>74</v>
      </c>
      <c r="M118" s="1" t="s">
        <v>78</v>
      </c>
      <c r="N118" s="1" t="s">
        <v>79</v>
      </c>
      <c r="O118" s="1" t="s">
        <v>74</v>
      </c>
      <c r="P118" s="1" t="s">
        <v>74</v>
      </c>
      <c r="Q118" s="1" t="s">
        <v>74</v>
      </c>
      <c r="R118" s="1" t="s">
        <v>74</v>
      </c>
      <c r="S118" s="1" t="s">
        <v>74</v>
      </c>
      <c r="T118" s="1" t="s">
        <v>400</v>
      </c>
      <c r="U118" s="1" t="s">
        <v>401</v>
      </c>
      <c r="V118" s="1" t="s">
        <v>402</v>
      </c>
      <c r="W118" s="1" t="s">
        <v>403</v>
      </c>
      <c r="X118" s="1" t="s">
        <v>404</v>
      </c>
      <c r="Y118" s="1" t="s">
        <v>405</v>
      </c>
      <c r="Z118" s="1" t="s">
        <v>406</v>
      </c>
      <c r="AA118" s="1" t="s">
        <v>407</v>
      </c>
      <c r="AB118" s="1" t="s">
        <v>408</v>
      </c>
      <c r="AC118" s="1" t="s">
        <v>74</v>
      </c>
      <c r="AD118" s="1" t="s">
        <v>74</v>
      </c>
      <c r="AE118" s="1" t="s">
        <v>74</v>
      </c>
      <c r="AF118" s="1" t="s">
        <v>74</v>
      </c>
      <c r="AG118" s="1">
        <v>51</v>
      </c>
      <c r="AH118" s="1">
        <v>1220</v>
      </c>
      <c r="AI118" s="1">
        <v>1275</v>
      </c>
      <c r="AJ118" s="1">
        <v>25</v>
      </c>
      <c r="AK118" s="1">
        <v>184</v>
      </c>
      <c r="AL118" s="1" t="s">
        <v>409</v>
      </c>
      <c r="AM118" s="1" t="s">
        <v>410</v>
      </c>
      <c r="AN118" s="1" t="s">
        <v>411</v>
      </c>
      <c r="AO118" s="1" t="s">
        <v>412</v>
      </c>
      <c r="AP118" s="1" t="s">
        <v>74</v>
      </c>
      <c r="AQ118" s="1" t="s">
        <v>74</v>
      </c>
      <c r="AR118" s="1" t="s">
        <v>413</v>
      </c>
      <c r="AS118" s="1" t="s">
        <v>414</v>
      </c>
      <c r="AT118" s="1" t="s">
        <v>363</v>
      </c>
      <c r="AU118" s="1">
        <v>2011</v>
      </c>
      <c r="AV118" s="1">
        <v>2</v>
      </c>
      <c r="AW118" s="1">
        <v>1</v>
      </c>
      <c r="AX118" s="1" t="s">
        <v>74</v>
      </c>
      <c r="AY118" s="1" t="s">
        <v>74</v>
      </c>
      <c r="AZ118" s="1" t="s">
        <v>74</v>
      </c>
      <c r="BA118" s="1" t="s">
        <v>74</v>
      </c>
      <c r="BB118" s="1">
        <v>1</v>
      </c>
      <c r="BC118" s="1">
        <v>8</v>
      </c>
      <c r="BD118" s="1" t="s">
        <v>74</v>
      </c>
      <c r="BE118" s="1" t="s">
        <v>415</v>
      </c>
      <c r="BF118" s="1" t="str">
        <f>HYPERLINK("http://dx.doi.org/10.1016/j.jocs.2010.12.007","http://dx.doi.org/10.1016/j.jocs.2010.12.007")</f>
        <v>http://dx.doi.org/10.1016/j.jocs.2010.12.007</v>
      </c>
      <c r="BG118" s="1" t="s">
        <v>74</v>
      </c>
      <c r="BH118" s="1" t="s">
        <v>74</v>
      </c>
      <c r="BI118" s="1">
        <v>8</v>
      </c>
      <c r="BJ118" s="1" t="s">
        <v>416</v>
      </c>
      <c r="BK118" s="1" t="s">
        <v>129</v>
      </c>
      <c r="BL118" s="1" t="s">
        <v>417</v>
      </c>
      <c r="BM118" s="1" t="s">
        <v>418</v>
      </c>
      <c r="BN118" s="1" t="s">
        <v>74</v>
      </c>
      <c r="BO118" s="1" t="s">
        <v>156</v>
      </c>
      <c r="BP118" s="1" t="s">
        <v>74</v>
      </c>
      <c r="BQ118" s="1" t="s">
        <v>74</v>
      </c>
      <c r="BR118" s="1" t="s">
        <v>104</v>
      </c>
      <c r="BS118" s="1" t="s">
        <v>419</v>
      </c>
      <c r="BT118" s="1" t="str">
        <f>HYPERLINK("https%3A%2F%2Fwww.webofscience.com%2Fwos%2Fwoscc%2Ffull-record%2FWOS:000208808100001","View Full Record in Web of Science")</f>
        <v>View Full Record in Web of Science</v>
      </c>
      <c r="BU118" s="1" t="s">
        <v>2040</v>
      </c>
      <c r="BV118" s="1" t="s">
        <v>10653</v>
      </c>
    </row>
    <row r="119" spans="1:75" ht="333.5" x14ac:dyDescent="0.35">
      <c r="A119" s="1" t="s">
        <v>72</v>
      </c>
      <c r="B119" s="1" t="s">
        <v>539</v>
      </c>
      <c r="C119" s="1" t="s">
        <v>74</v>
      </c>
      <c r="D119" s="1" t="s">
        <v>74</v>
      </c>
      <c r="E119" s="1" t="s">
        <v>74</v>
      </c>
      <c r="F119" s="1" t="s">
        <v>540</v>
      </c>
      <c r="G119" s="1" t="s">
        <v>74</v>
      </c>
      <c r="H119" s="1" t="s">
        <v>74</v>
      </c>
      <c r="I119" s="1" t="s">
        <v>541</v>
      </c>
      <c r="J119" s="1" t="s">
        <v>542</v>
      </c>
      <c r="K119" s="1" t="s">
        <v>74</v>
      </c>
      <c r="L119" s="1" t="s">
        <v>74</v>
      </c>
      <c r="M119" s="1" t="s">
        <v>78</v>
      </c>
      <c r="N119" s="1" t="s">
        <v>79</v>
      </c>
      <c r="O119" s="1" t="s">
        <v>74</v>
      </c>
      <c r="P119" s="1" t="s">
        <v>74</v>
      </c>
      <c r="Q119" s="1" t="s">
        <v>74</v>
      </c>
      <c r="R119" s="1" t="s">
        <v>74</v>
      </c>
      <c r="S119" s="1" t="s">
        <v>74</v>
      </c>
      <c r="T119" s="1" t="s">
        <v>74</v>
      </c>
      <c r="U119" s="1" t="s">
        <v>74</v>
      </c>
      <c r="V119" s="1" t="s">
        <v>543</v>
      </c>
      <c r="W119" s="1" t="s">
        <v>544</v>
      </c>
      <c r="X119" s="1" t="s">
        <v>545</v>
      </c>
      <c r="Y119" s="1" t="s">
        <v>546</v>
      </c>
      <c r="Z119" s="1" t="s">
        <v>547</v>
      </c>
      <c r="AA119" s="1" t="s">
        <v>548</v>
      </c>
      <c r="AB119" s="1" t="s">
        <v>549</v>
      </c>
      <c r="AC119" s="1" t="s">
        <v>550</v>
      </c>
      <c r="AD119" s="1" t="s">
        <v>551</v>
      </c>
      <c r="AE119" s="1" t="s">
        <v>552</v>
      </c>
      <c r="AF119" s="1" t="s">
        <v>74</v>
      </c>
      <c r="AG119" s="1">
        <v>61</v>
      </c>
      <c r="AH119" s="1">
        <v>377</v>
      </c>
      <c r="AI119" s="1">
        <v>391</v>
      </c>
      <c r="AJ119" s="1">
        <v>5</v>
      </c>
      <c r="AK119" s="1">
        <v>108</v>
      </c>
      <c r="AL119" s="1" t="s">
        <v>553</v>
      </c>
      <c r="AM119" s="1" t="s">
        <v>554</v>
      </c>
      <c r="AN119" s="1" t="s">
        <v>555</v>
      </c>
      <c r="AO119" s="1" t="s">
        <v>556</v>
      </c>
      <c r="AP119" s="1" t="s">
        <v>74</v>
      </c>
      <c r="AQ119" s="1" t="s">
        <v>74</v>
      </c>
      <c r="AR119" s="1" t="s">
        <v>542</v>
      </c>
      <c r="AS119" s="1" t="s">
        <v>557</v>
      </c>
      <c r="AT119" s="1" t="s">
        <v>558</v>
      </c>
      <c r="AU119" s="1">
        <v>2011</v>
      </c>
      <c r="AV119" s="1">
        <v>6</v>
      </c>
      <c r="AW119" s="1">
        <v>12</v>
      </c>
      <c r="AX119" s="1" t="s">
        <v>74</v>
      </c>
      <c r="AY119" s="1" t="s">
        <v>74</v>
      </c>
      <c r="AZ119" s="1" t="s">
        <v>74</v>
      </c>
      <c r="BA119" s="1" t="s">
        <v>74</v>
      </c>
      <c r="BB119" s="1" t="s">
        <v>74</v>
      </c>
      <c r="BC119" s="1" t="s">
        <v>74</v>
      </c>
      <c r="BD119" s="1" t="s">
        <v>559</v>
      </c>
      <c r="BE119" s="1" t="s">
        <v>560</v>
      </c>
      <c r="BF119" s="1" t="str">
        <f>HYPERLINK("http://dx.doi.org/10.1371/journal.pone.0026752","http://dx.doi.org/10.1371/journal.pone.0026752")</f>
        <v>http://dx.doi.org/10.1371/journal.pone.0026752</v>
      </c>
      <c r="BG119" s="1" t="s">
        <v>74</v>
      </c>
      <c r="BH119" s="1" t="s">
        <v>74</v>
      </c>
      <c r="BI119" s="1">
        <v>26</v>
      </c>
      <c r="BJ119" s="1" t="s">
        <v>561</v>
      </c>
      <c r="BK119" s="1" t="s">
        <v>520</v>
      </c>
      <c r="BL119" s="1" t="s">
        <v>562</v>
      </c>
      <c r="BM119" s="1" t="s">
        <v>563</v>
      </c>
      <c r="BN119" s="1">
        <v>22163266</v>
      </c>
      <c r="BO119" s="1" t="s">
        <v>564</v>
      </c>
      <c r="BP119" s="1" t="s">
        <v>74</v>
      </c>
      <c r="BQ119" s="1" t="s">
        <v>74</v>
      </c>
      <c r="BR119" s="1" t="s">
        <v>104</v>
      </c>
      <c r="BS119" s="1" t="s">
        <v>565</v>
      </c>
      <c r="BT119" s="1" t="str">
        <f>HYPERLINK("https%3A%2F%2Fwww.webofscience.com%2Fwos%2Fwoscc%2Ffull-record%2FWOS:000298161900002","View Full Record in Web of Science")</f>
        <v>View Full Record in Web of Science</v>
      </c>
      <c r="BU119" s="1" t="s">
        <v>2040</v>
      </c>
      <c r="BV119" s="1" t="s">
        <v>10653</v>
      </c>
    </row>
    <row r="120" spans="1:75" ht="409.5" x14ac:dyDescent="0.35">
      <c r="A120" s="1" t="s">
        <v>72</v>
      </c>
      <c r="B120" s="1" t="s">
        <v>708</v>
      </c>
      <c r="C120" s="1" t="s">
        <v>74</v>
      </c>
      <c r="D120" s="1" t="s">
        <v>74</v>
      </c>
      <c r="E120" s="1" t="s">
        <v>74</v>
      </c>
      <c r="F120" s="1" t="s">
        <v>709</v>
      </c>
      <c r="G120" s="1" t="s">
        <v>74</v>
      </c>
      <c r="H120" s="1" t="s">
        <v>74</v>
      </c>
      <c r="I120" s="1" t="s">
        <v>710</v>
      </c>
      <c r="J120" s="1" t="s">
        <v>711</v>
      </c>
      <c r="K120" s="1" t="s">
        <v>74</v>
      </c>
      <c r="L120" s="1" t="s">
        <v>74</v>
      </c>
      <c r="M120" s="1" t="s">
        <v>78</v>
      </c>
      <c r="N120" s="1" t="s">
        <v>110</v>
      </c>
      <c r="O120" s="1" t="s">
        <v>74</v>
      </c>
      <c r="P120" s="1" t="s">
        <v>74</v>
      </c>
      <c r="Q120" s="1" t="s">
        <v>74</v>
      </c>
      <c r="R120" s="1" t="s">
        <v>74</v>
      </c>
      <c r="S120" s="1" t="s">
        <v>74</v>
      </c>
      <c r="T120" s="1" t="s">
        <v>712</v>
      </c>
      <c r="U120" s="1" t="s">
        <v>713</v>
      </c>
      <c r="V120" s="1" t="s">
        <v>714</v>
      </c>
      <c r="W120" s="1" t="s">
        <v>715</v>
      </c>
      <c r="X120" s="1" t="s">
        <v>716</v>
      </c>
      <c r="Y120" s="1" t="s">
        <v>717</v>
      </c>
      <c r="Z120" s="1" t="s">
        <v>718</v>
      </c>
      <c r="AA120" s="1" t="s">
        <v>719</v>
      </c>
      <c r="AB120" s="1" t="s">
        <v>720</v>
      </c>
      <c r="AC120" s="1" t="s">
        <v>721</v>
      </c>
      <c r="AD120" s="1" t="s">
        <v>722</v>
      </c>
      <c r="AE120" s="1" t="s">
        <v>723</v>
      </c>
      <c r="AF120" s="1" t="s">
        <v>74</v>
      </c>
      <c r="AG120" s="1">
        <v>59</v>
      </c>
      <c r="AH120" s="1">
        <v>700</v>
      </c>
      <c r="AI120" s="1">
        <v>724</v>
      </c>
      <c r="AJ120" s="1">
        <v>37</v>
      </c>
      <c r="AK120" s="1">
        <v>637</v>
      </c>
      <c r="AL120" s="1" t="s">
        <v>724</v>
      </c>
      <c r="AM120" s="1" t="s">
        <v>725</v>
      </c>
      <c r="AN120" s="1" t="s">
        <v>726</v>
      </c>
      <c r="AO120" s="1" t="s">
        <v>727</v>
      </c>
      <c r="AP120" s="1" t="s">
        <v>728</v>
      </c>
      <c r="AQ120" s="1" t="s">
        <v>74</v>
      </c>
      <c r="AR120" s="1" t="s">
        <v>729</v>
      </c>
      <c r="AS120" s="1" t="s">
        <v>730</v>
      </c>
      <c r="AT120" s="1" t="s">
        <v>281</v>
      </c>
      <c r="AU120" s="1">
        <v>2011</v>
      </c>
      <c r="AV120" s="1">
        <v>23</v>
      </c>
      <c r="AW120" s="1">
        <v>10</v>
      </c>
      <c r="AX120" s="1" t="s">
        <v>74</v>
      </c>
      <c r="AY120" s="1" t="s">
        <v>74</v>
      </c>
      <c r="AZ120" s="1" t="s">
        <v>74</v>
      </c>
      <c r="BA120" s="1" t="s">
        <v>74</v>
      </c>
      <c r="BB120" s="1">
        <v>1498</v>
      </c>
      <c r="BC120" s="1">
        <v>1512</v>
      </c>
      <c r="BD120" s="1" t="s">
        <v>74</v>
      </c>
      <c r="BE120" s="1" t="s">
        <v>731</v>
      </c>
      <c r="BF120" s="1" t="str">
        <f>HYPERLINK("http://dx.doi.org/10.1109/TKDE.2010.188","http://dx.doi.org/10.1109/TKDE.2010.188")</f>
        <v>http://dx.doi.org/10.1109/TKDE.2010.188</v>
      </c>
      <c r="BG120" s="1" t="s">
        <v>74</v>
      </c>
      <c r="BH120" s="1" t="s">
        <v>74</v>
      </c>
      <c r="BI120" s="1">
        <v>15</v>
      </c>
      <c r="BJ120" s="1" t="s">
        <v>732</v>
      </c>
      <c r="BK120" s="1" t="s">
        <v>520</v>
      </c>
      <c r="BL120" s="1" t="s">
        <v>733</v>
      </c>
      <c r="BM120" s="1" t="s">
        <v>734</v>
      </c>
      <c r="BN120" s="1" t="s">
        <v>74</v>
      </c>
      <c r="BO120" s="1" t="s">
        <v>156</v>
      </c>
      <c r="BP120" s="1" t="s">
        <v>74</v>
      </c>
      <c r="BQ120" s="1" t="s">
        <v>74</v>
      </c>
      <c r="BR120" s="1" t="s">
        <v>104</v>
      </c>
      <c r="BS120" s="1" t="s">
        <v>735</v>
      </c>
      <c r="BT120" s="1" t="str">
        <f>HYPERLINK("https%3A%2F%2Fwww.webofscience.com%2Fwos%2Fwoscc%2Ffull-record%2FWOS:000293916500005","View Full Record in Web of Science")</f>
        <v>View Full Record in Web of Science</v>
      </c>
      <c r="BU120" s="1" t="s">
        <v>2040</v>
      </c>
      <c r="BV120" s="1" t="s">
        <v>10653</v>
      </c>
    </row>
    <row r="121" spans="1:75" ht="246.5" x14ac:dyDescent="0.35">
      <c r="A121" s="1" t="s">
        <v>72</v>
      </c>
      <c r="B121" s="1" t="s">
        <v>948</v>
      </c>
      <c r="C121" s="1" t="s">
        <v>74</v>
      </c>
      <c r="D121" s="1" t="s">
        <v>74</v>
      </c>
      <c r="E121" s="1" t="s">
        <v>74</v>
      </c>
      <c r="F121" s="1" t="s">
        <v>949</v>
      </c>
      <c r="G121" s="1" t="s">
        <v>74</v>
      </c>
      <c r="H121" s="1" t="s">
        <v>74</v>
      </c>
      <c r="I121" s="1" t="s">
        <v>950</v>
      </c>
      <c r="J121" s="1" t="s">
        <v>436</v>
      </c>
      <c r="K121" s="1" t="s">
        <v>74</v>
      </c>
      <c r="L121" s="1" t="s">
        <v>74</v>
      </c>
      <c r="M121" s="1" t="s">
        <v>78</v>
      </c>
      <c r="N121" s="1" t="s">
        <v>79</v>
      </c>
      <c r="O121" s="1" t="s">
        <v>74</v>
      </c>
      <c r="P121" s="1" t="s">
        <v>74</v>
      </c>
      <c r="Q121" s="1" t="s">
        <v>74</v>
      </c>
      <c r="R121" s="1" t="s">
        <v>74</v>
      </c>
      <c r="S121" s="1" t="s">
        <v>74</v>
      </c>
      <c r="T121" s="1" t="s">
        <v>951</v>
      </c>
      <c r="U121" s="1" t="s">
        <v>952</v>
      </c>
      <c r="V121" s="1" t="s">
        <v>953</v>
      </c>
      <c r="W121" s="1" t="s">
        <v>954</v>
      </c>
      <c r="X121" s="1" t="s">
        <v>955</v>
      </c>
      <c r="Y121" s="1" t="s">
        <v>956</v>
      </c>
      <c r="Z121" s="1" t="s">
        <v>957</v>
      </c>
      <c r="AA121" s="1" t="s">
        <v>958</v>
      </c>
      <c r="AB121" s="1" t="s">
        <v>959</v>
      </c>
      <c r="AC121" s="1" t="s">
        <v>74</v>
      </c>
      <c r="AD121" s="1" t="s">
        <v>74</v>
      </c>
      <c r="AE121" s="1" t="s">
        <v>74</v>
      </c>
      <c r="AF121" s="1" t="s">
        <v>74</v>
      </c>
      <c r="AG121" s="1">
        <v>58</v>
      </c>
      <c r="AH121" s="1">
        <v>543</v>
      </c>
      <c r="AI121" s="1">
        <v>556</v>
      </c>
      <c r="AJ121" s="1">
        <v>15</v>
      </c>
      <c r="AK121" s="1">
        <v>358</v>
      </c>
      <c r="AL121" s="1" t="s">
        <v>446</v>
      </c>
      <c r="AM121" s="1" t="s">
        <v>447</v>
      </c>
      <c r="AN121" s="1" t="s">
        <v>448</v>
      </c>
      <c r="AO121" s="1" t="s">
        <v>449</v>
      </c>
      <c r="AP121" s="1" t="s">
        <v>450</v>
      </c>
      <c r="AQ121" s="1" t="s">
        <v>74</v>
      </c>
      <c r="AR121" s="1" t="s">
        <v>451</v>
      </c>
      <c r="AS121" s="1" t="s">
        <v>452</v>
      </c>
      <c r="AT121" s="1" t="s">
        <v>330</v>
      </c>
      <c r="AU121" s="1">
        <v>2011</v>
      </c>
      <c r="AV121" s="1">
        <v>30</v>
      </c>
      <c r="AW121" s="1">
        <v>2</v>
      </c>
      <c r="AX121" s="1" t="s">
        <v>74</v>
      </c>
      <c r="AY121" s="1" t="s">
        <v>74</v>
      </c>
      <c r="AZ121" s="1" t="s">
        <v>74</v>
      </c>
      <c r="BA121" s="1" t="s">
        <v>74</v>
      </c>
      <c r="BB121" s="1">
        <v>195</v>
      </c>
      <c r="BC121" s="1">
        <v>212</v>
      </c>
      <c r="BD121" s="1" t="s">
        <v>74</v>
      </c>
      <c r="BE121" s="1" t="s">
        <v>960</v>
      </c>
      <c r="BF121" s="1" t="str">
        <f>HYPERLINK("http://dx.doi.org/10.1287/mksc.1100.0566","http://dx.doi.org/10.1287/mksc.1100.0566")</f>
        <v>http://dx.doi.org/10.1287/mksc.1100.0566</v>
      </c>
      <c r="BG121" s="1" t="s">
        <v>74</v>
      </c>
      <c r="BH121" s="1" t="s">
        <v>74</v>
      </c>
      <c r="BI121" s="1">
        <v>18</v>
      </c>
      <c r="BJ121" s="1" t="s">
        <v>153</v>
      </c>
      <c r="BK121" s="1" t="s">
        <v>101</v>
      </c>
      <c r="BL121" s="1" t="s">
        <v>154</v>
      </c>
      <c r="BM121" s="1" t="s">
        <v>961</v>
      </c>
      <c r="BN121" s="1" t="s">
        <v>74</v>
      </c>
      <c r="BO121" s="1" t="s">
        <v>74</v>
      </c>
      <c r="BP121" s="1" t="s">
        <v>74</v>
      </c>
      <c r="BQ121" s="1" t="s">
        <v>74</v>
      </c>
      <c r="BR121" s="1" t="s">
        <v>104</v>
      </c>
      <c r="BS121" s="1" t="s">
        <v>962</v>
      </c>
      <c r="BT121" s="1" t="str">
        <f>HYPERLINK("https%3A%2F%2Fwww.webofscience.com%2Fwos%2Fwoscc%2Ffull-record%2FWOS:000288939700001","View Full Record in Web of Science")</f>
        <v>View Full Record in Web of Science</v>
      </c>
      <c r="BU121" s="1" t="s">
        <v>2040</v>
      </c>
      <c r="BV121" s="1" t="s">
        <v>6080</v>
      </c>
      <c r="BW121" s="1" t="s">
        <v>10653</v>
      </c>
    </row>
    <row r="122" spans="1:75" ht="409.5" x14ac:dyDescent="0.35">
      <c r="A122" s="1" t="s">
        <v>72</v>
      </c>
      <c r="B122" s="1" t="s">
        <v>1043</v>
      </c>
      <c r="C122" s="1" t="s">
        <v>74</v>
      </c>
      <c r="D122" s="1" t="s">
        <v>74</v>
      </c>
      <c r="E122" s="1" t="s">
        <v>74</v>
      </c>
      <c r="F122" s="1" t="s">
        <v>1044</v>
      </c>
      <c r="G122" s="1" t="s">
        <v>74</v>
      </c>
      <c r="H122" s="1" t="s">
        <v>74</v>
      </c>
      <c r="I122" s="1" t="s">
        <v>1045</v>
      </c>
      <c r="J122" s="1" t="s">
        <v>136</v>
      </c>
      <c r="K122" s="1" t="s">
        <v>74</v>
      </c>
      <c r="L122" s="1" t="s">
        <v>74</v>
      </c>
      <c r="M122" s="1" t="s">
        <v>78</v>
      </c>
      <c r="N122" s="1" t="s">
        <v>79</v>
      </c>
      <c r="O122" s="1" t="s">
        <v>74</v>
      </c>
      <c r="P122" s="1" t="s">
        <v>74</v>
      </c>
      <c r="Q122" s="1" t="s">
        <v>74</v>
      </c>
      <c r="R122" s="1" t="s">
        <v>74</v>
      </c>
      <c r="S122" s="1" t="s">
        <v>74</v>
      </c>
      <c r="T122" s="1" t="s">
        <v>1046</v>
      </c>
      <c r="U122" s="1" t="s">
        <v>1047</v>
      </c>
      <c r="V122" s="1" t="s">
        <v>1048</v>
      </c>
      <c r="W122" s="1" t="s">
        <v>1049</v>
      </c>
      <c r="X122" s="1" t="s">
        <v>1050</v>
      </c>
      <c r="Y122" s="1" t="s">
        <v>1051</v>
      </c>
      <c r="Z122" s="1" t="s">
        <v>1052</v>
      </c>
      <c r="AA122" s="1" t="s">
        <v>74</v>
      </c>
      <c r="AB122" s="1" t="s">
        <v>74</v>
      </c>
      <c r="AC122" s="1" t="s">
        <v>74</v>
      </c>
      <c r="AD122" s="1" t="s">
        <v>74</v>
      </c>
      <c r="AE122" s="1" t="s">
        <v>74</v>
      </c>
      <c r="AF122" s="1" t="s">
        <v>74</v>
      </c>
      <c r="AG122" s="1">
        <v>58</v>
      </c>
      <c r="AH122" s="1">
        <v>245</v>
      </c>
      <c r="AI122" s="1">
        <v>251</v>
      </c>
      <c r="AJ122" s="1">
        <v>18</v>
      </c>
      <c r="AK122" s="1">
        <v>205</v>
      </c>
      <c r="AL122" s="1" t="s">
        <v>144</v>
      </c>
      <c r="AM122" s="1" t="s">
        <v>145</v>
      </c>
      <c r="AN122" s="1" t="s">
        <v>146</v>
      </c>
      <c r="AO122" s="1" t="s">
        <v>147</v>
      </c>
      <c r="AP122" s="1" t="s">
        <v>148</v>
      </c>
      <c r="AQ122" s="1" t="s">
        <v>74</v>
      </c>
      <c r="AR122" s="1" t="s">
        <v>149</v>
      </c>
      <c r="AS122" s="1" t="s">
        <v>150</v>
      </c>
      <c r="AT122" s="1" t="s">
        <v>281</v>
      </c>
      <c r="AU122" s="1">
        <v>2011</v>
      </c>
      <c r="AV122" s="1">
        <v>48</v>
      </c>
      <c r="AW122" s="1">
        <v>5</v>
      </c>
      <c r="AX122" s="1" t="s">
        <v>74</v>
      </c>
      <c r="AY122" s="1" t="s">
        <v>74</v>
      </c>
      <c r="AZ122" s="1" t="s">
        <v>74</v>
      </c>
      <c r="BA122" s="1" t="s">
        <v>74</v>
      </c>
      <c r="BB122" s="1">
        <v>881</v>
      </c>
      <c r="BC122" s="1">
        <v>894</v>
      </c>
      <c r="BD122" s="1" t="s">
        <v>74</v>
      </c>
      <c r="BE122" s="1" t="s">
        <v>1053</v>
      </c>
      <c r="BF122" s="1" t="str">
        <f>HYPERLINK("http://dx.doi.org/10.1509/jmkr.48.5.881","http://dx.doi.org/10.1509/jmkr.48.5.881")</f>
        <v>http://dx.doi.org/10.1509/jmkr.48.5.881</v>
      </c>
      <c r="BG122" s="1" t="s">
        <v>74</v>
      </c>
      <c r="BH122" s="1" t="s">
        <v>74</v>
      </c>
      <c r="BI122" s="1">
        <v>14</v>
      </c>
      <c r="BJ122" s="1" t="s">
        <v>153</v>
      </c>
      <c r="BK122" s="1" t="s">
        <v>101</v>
      </c>
      <c r="BL122" s="1" t="s">
        <v>154</v>
      </c>
      <c r="BM122" s="1" t="s">
        <v>1054</v>
      </c>
      <c r="BN122" s="1" t="s">
        <v>74</v>
      </c>
      <c r="BO122" s="1" t="s">
        <v>334</v>
      </c>
      <c r="BP122" s="1" t="s">
        <v>74</v>
      </c>
      <c r="BQ122" s="1" t="s">
        <v>74</v>
      </c>
      <c r="BR122" s="1" t="s">
        <v>104</v>
      </c>
      <c r="BS122" s="1" t="s">
        <v>1055</v>
      </c>
      <c r="BT122" s="1" t="str">
        <f>HYPERLINK("https%3A%2F%2Fwww.webofscience.com%2Fwos%2Fwoscc%2Ffull-record%2FWOS:000294974500007","View Full Record in Web of Science")</f>
        <v>View Full Record in Web of Science</v>
      </c>
      <c r="BU122" s="1" t="s">
        <v>2040</v>
      </c>
      <c r="BV122" s="1" t="s">
        <v>6080</v>
      </c>
      <c r="BW122" s="1" t="s">
        <v>6080</v>
      </c>
    </row>
    <row r="123" spans="1:75" ht="348" x14ac:dyDescent="0.35">
      <c r="A123" s="1" t="s">
        <v>72</v>
      </c>
      <c r="B123" s="1" t="s">
        <v>1056</v>
      </c>
      <c r="C123" s="1" t="s">
        <v>74</v>
      </c>
      <c r="D123" s="1" t="s">
        <v>74</v>
      </c>
      <c r="E123" s="1" t="s">
        <v>74</v>
      </c>
      <c r="F123" s="1" t="s">
        <v>1057</v>
      </c>
      <c r="G123" s="1" t="s">
        <v>74</v>
      </c>
      <c r="H123" s="1" t="s">
        <v>74</v>
      </c>
      <c r="I123" s="1" t="s">
        <v>1058</v>
      </c>
      <c r="J123" s="1" t="s">
        <v>1059</v>
      </c>
      <c r="K123" s="1" t="s">
        <v>74</v>
      </c>
      <c r="L123" s="1" t="s">
        <v>74</v>
      </c>
      <c r="M123" s="1" t="s">
        <v>78</v>
      </c>
      <c r="N123" s="1" t="s">
        <v>79</v>
      </c>
      <c r="O123" s="1" t="s">
        <v>74</v>
      </c>
      <c r="P123" s="1" t="s">
        <v>74</v>
      </c>
      <c r="Q123" s="1" t="s">
        <v>74</v>
      </c>
      <c r="R123" s="1" t="s">
        <v>74</v>
      </c>
      <c r="S123" s="1" t="s">
        <v>74</v>
      </c>
      <c r="T123" s="1" t="s">
        <v>1060</v>
      </c>
      <c r="U123" s="1" t="s">
        <v>1061</v>
      </c>
      <c r="V123" s="1" t="s">
        <v>1062</v>
      </c>
      <c r="W123" s="1" t="s">
        <v>1063</v>
      </c>
      <c r="X123" s="1" t="s">
        <v>1064</v>
      </c>
      <c r="Y123" s="1" t="s">
        <v>1065</v>
      </c>
      <c r="Z123" s="1" t="s">
        <v>1066</v>
      </c>
      <c r="AA123" s="1" t="s">
        <v>1067</v>
      </c>
      <c r="AB123" s="1" t="s">
        <v>1068</v>
      </c>
      <c r="AC123" s="1" t="s">
        <v>74</v>
      </c>
      <c r="AD123" s="1" t="s">
        <v>74</v>
      </c>
      <c r="AE123" s="1" t="s">
        <v>74</v>
      </c>
      <c r="AF123" s="1" t="s">
        <v>74</v>
      </c>
      <c r="AG123" s="1">
        <v>50</v>
      </c>
      <c r="AH123" s="1">
        <v>167</v>
      </c>
      <c r="AI123" s="1">
        <v>186</v>
      </c>
      <c r="AJ123" s="1">
        <v>2</v>
      </c>
      <c r="AK123" s="1">
        <v>129</v>
      </c>
      <c r="AL123" s="1" t="s">
        <v>409</v>
      </c>
      <c r="AM123" s="1" t="s">
        <v>410</v>
      </c>
      <c r="AN123" s="1" t="s">
        <v>411</v>
      </c>
      <c r="AO123" s="1" t="s">
        <v>1069</v>
      </c>
      <c r="AP123" s="1" t="s">
        <v>1070</v>
      </c>
      <c r="AQ123" s="1" t="s">
        <v>74</v>
      </c>
      <c r="AR123" s="1" t="s">
        <v>1071</v>
      </c>
      <c r="AS123" s="1" t="s">
        <v>1072</v>
      </c>
      <c r="AT123" s="1" t="s">
        <v>294</v>
      </c>
      <c r="AU123" s="1">
        <v>2011</v>
      </c>
      <c r="AV123" s="1">
        <v>51</v>
      </c>
      <c r="AW123" s="1">
        <v>1</v>
      </c>
      <c r="AX123" s="1" t="s">
        <v>74</v>
      </c>
      <c r="AY123" s="1" t="s">
        <v>74</v>
      </c>
      <c r="AZ123" s="1" t="s">
        <v>74</v>
      </c>
      <c r="BA123" s="1" t="s">
        <v>74</v>
      </c>
      <c r="BB123" s="1">
        <v>190</v>
      </c>
      <c r="BC123" s="1">
        <v>197</v>
      </c>
      <c r="BD123" s="1" t="s">
        <v>74</v>
      </c>
      <c r="BE123" s="1" t="s">
        <v>1073</v>
      </c>
      <c r="BF123" s="1" t="str">
        <f>HYPERLINK("http://dx.doi.org/10.1016/j.dss.2010.12.007","http://dx.doi.org/10.1016/j.dss.2010.12.007")</f>
        <v>http://dx.doi.org/10.1016/j.dss.2010.12.007</v>
      </c>
      <c r="BG123" s="1" t="s">
        <v>74</v>
      </c>
      <c r="BH123" s="1" t="s">
        <v>74</v>
      </c>
      <c r="BI123" s="1">
        <v>8</v>
      </c>
      <c r="BJ123" s="1" t="s">
        <v>1074</v>
      </c>
      <c r="BK123" s="1" t="s">
        <v>520</v>
      </c>
      <c r="BL123" s="1" t="s">
        <v>1075</v>
      </c>
      <c r="BM123" s="1" t="s">
        <v>1076</v>
      </c>
      <c r="BN123" s="1" t="s">
        <v>74</v>
      </c>
      <c r="BO123" s="1" t="s">
        <v>74</v>
      </c>
      <c r="BP123" s="1" t="s">
        <v>74</v>
      </c>
      <c r="BQ123" s="1" t="s">
        <v>74</v>
      </c>
      <c r="BR123" s="1" t="s">
        <v>104</v>
      </c>
      <c r="BS123" s="1" t="s">
        <v>1077</v>
      </c>
      <c r="BT123" s="1" t="str">
        <f>HYPERLINK("https%3A%2F%2Fwww.webofscience.com%2Fwos%2Fwoscc%2Ffull-record%2FWOS:000288519200018","View Full Record in Web of Science")</f>
        <v>View Full Record in Web of Science</v>
      </c>
      <c r="BU123" s="1" t="s">
        <v>2040</v>
      </c>
      <c r="BV123" s="1" t="s">
        <v>6080</v>
      </c>
      <c r="BW123" s="1" t="s">
        <v>6080</v>
      </c>
    </row>
    <row r="124" spans="1:75" ht="319" x14ac:dyDescent="0.35">
      <c r="A124" s="1" t="s">
        <v>72</v>
      </c>
      <c r="B124" s="1" t="s">
        <v>1287</v>
      </c>
      <c r="C124" s="1" t="s">
        <v>74</v>
      </c>
      <c r="D124" s="1" t="s">
        <v>74</v>
      </c>
      <c r="E124" s="1" t="s">
        <v>74</v>
      </c>
      <c r="F124" s="1" t="s">
        <v>1288</v>
      </c>
      <c r="G124" s="1" t="s">
        <v>74</v>
      </c>
      <c r="H124" s="1" t="s">
        <v>74</v>
      </c>
      <c r="I124" s="1" t="s">
        <v>1289</v>
      </c>
      <c r="J124" s="1" t="s">
        <v>136</v>
      </c>
      <c r="K124" s="1" t="s">
        <v>74</v>
      </c>
      <c r="L124" s="1" t="s">
        <v>74</v>
      </c>
      <c r="M124" s="1" t="s">
        <v>78</v>
      </c>
      <c r="N124" s="1" t="s">
        <v>79</v>
      </c>
      <c r="O124" s="1" t="s">
        <v>74</v>
      </c>
      <c r="P124" s="1" t="s">
        <v>74</v>
      </c>
      <c r="Q124" s="1" t="s">
        <v>74</v>
      </c>
      <c r="R124" s="1" t="s">
        <v>74</v>
      </c>
      <c r="S124" s="1" t="s">
        <v>74</v>
      </c>
      <c r="T124" s="1" t="s">
        <v>1290</v>
      </c>
      <c r="U124" s="1" t="s">
        <v>1291</v>
      </c>
      <c r="V124" s="1" t="s">
        <v>1292</v>
      </c>
      <c r="W124" s="1" t="s">
        <v>1293</v>
      </c>
      <c r="X124" s="1" t="s">
        <v>1294</v>
      </c>
      <c r="Y124" s="1" t="s">
        <v>1295</v>
      </c>
      <c r="Z124" s="1" t="s">
        <v>1296</v>
      </c>
      <c r="AA124" s="1" t="s">
        <v>74</v>
      </c>
      <c r="AB124" s="1" t="s">
        <v>74</v>
      </c>
      <c r="AC124" s="1" t="s">
        <v>74</v>
      </c>
      <c r="AD124" s="1" t="s">
        <v>74</v>
      </c>
      <c r="AE124" s="1" t="s">
        <v>74</v>
      </c>
      <c r="AF124" s="1" t="s">
        <v>74</v>
      </c>
      <c r="AG124" s="1">
        <v>21</v>
      </c>
      <c r="AH124" s="1">
        <v>358</v>
      </c>
      <c r="AI124" s="1">
        <v>363</v>
      </c>
      <c r="AJ124" s="1">
        <v>6</v>
      </c>
      <c r="AK124" s="1">
        <v>155</v>
      </c>
      <c r="AL124" s="1" t="s">
        <v>144</v>
      </c>
      <c r="AM124" s="1" t="s">
        <v>145</v>
      </c>
      <c r="AN124" s="1" t="s">
        <v>146</v>
      </c>
      <c r="AO124" s="1" t="s">
        <v>147</v>
      </c>
      <c r="AP124" s="1" t="s">
        <v>148</v>
      </c>
      <c r="AQ124" s="1" t="s">
        <v>74</v>
      </c>
      <c r="AR124" s="1" t="s">
        <v>149</v>
      </c>
      <c r="AS124" s="1" t="s">
        <v>150</v>
      </c>
      <c r="AT124" s="1" t="s">
        <v>151</v>
      </c>
      <c r="AU124" s="1">
        <v>2011</v>
      </c>
      <c r="AV124" s="1">
        <v>48</v>
      </c>
      <c r="AW124" s="1">
        <v>3</v>
      </c>
      <c r="AX124" s="1" t="s">
        <v>74</v>
      </c>
      <c r="AY124" s="1" t="s">
        <v>74</v>
      </c>
      <c r="AZ124" s="1" t="s">
        <v>74</v>
      </c>
      <c r="BA124" s="1" t="s">
        <v>74</v>
      </c>
      <c r="BB124" s="1">
        <v>444</v>
      </c>
      <c r="BC124" s="1">
        <v>456</v>
      </c>
      <c r="BD124" s="1" t="s">
        <v>74</v>
      </c>
      <c r="BE124" s="1" t="s">
        <v>1297</v>
      </c>
      <c r="BF124" s="1" t="str">
        <f>HYPERLINK("http://dx.doi.org/10.1509/jmkr.48.3.444","http://dx.doi.org/10.1509/jmkr.48.3.444")</f>
        <v>http://dx.doi.org/10.1509/jmkr.48.3.444</v>
      </c>
      <c r="BG124" s="1" t="s">
        <v>74</v>
      </c>
      <c r="BH124" s="1" t="s">
        <v>74</v>
      </c>
      <c r="BI124" s="1">
        <v>13</v>
      </c>
      <c r="BJ124" s="1" t="s">
        <v>153</v>
      </c>
      <c r="BK124" s="1" t="s">
        <v>101</v>
      </c>
      <c r="BL124" s="1" t="s">
        <v>154</v>
      </c>
      <c r="BM124" s="1" t="s">
        <v>1298</v>
      </c>
      <c r="BN124" s="1" t="s">
        <v>74</v>
      </c>
      <c r="BO124" s="1" t="s">
        <v>74</v>
      </c>
      <c r="BP124" s="1" t="s">
        <v>74</v>
      </c>
      <c r="BQ124" s="1" t="s">
        <v>74</v>
      </c>
      <c r="BR124" s="1" t="s">
        <v>104</v>
      </c>
      <c r="BS124" s="1" t="s">
        <v>1299</v>
      </c>
      <c r="BT124" s="1" t="str">
        <f>HYPERLINK("https%3A%2F%2Fwww.webofscience.com%2Fwos%2Fwoscc%2Ffull-record%2FWOS:000291076900003","View Full Record in Web of Science")</f>
        <v>View Full Record in Web of Science</v>
      </c>
      <c r="BU124" s="1" t="s">
        <v>2040</v>
      </c>
      <c r="BV124" s="1" t="s">
        <v>6080</v>
      </c>
      <c r="BW124" s="1" t="s">
        <v>10653</v>
      </c>
    </row>
    <row r="125" spans="1:75" ht="203" x14ac:dyDescent="0.35">
      <c r="A125" s="1" t="s">
        <v>72</v>
      </c>
      <c r="B125" s="1" t="s">
        <v>1300</v>
      </c>
      <c r="C125" s="1" t="s">
        <v>74</v>
      </c>
      <c r="D125" s="1" t="s">
        <v>74</v>
      </c>
      <c r="E125" s="1" t="s">
        <v>74</v>
      </c>
      <c r="F125" s="1" t="s">
        <v>1301</v>
      </c>
      <c r="G125" s="1" t="s">
        <v>74</v>
      </c>
      <c r="H125" s="1" t="s">
        <v>74</v>
      </c>
      <c r="I125" s="1" t="s">
        <v>1302</v>
      </c>
      <c r="J125" s="1" t="s">
        <v>1303</v>
      </c>
      <c r="K125" s="1" t="s">
        <v>74</v>
      </c>
      <c r="L125" s="1" t="s">
        <v>74</v>
      </c>
      <c r="M125" s="1" t="s">
        <v>78</v>
      </c>
      <c r="N125" s="1" t="s">
        <v>79</v>
      </c>
      <c r="O125" s="1" t="s">
        <v>74</v>
      </c>
      <c r="P125" s="1" t="s">
        <v>74</v>
      </c>
      <c r="Q125" s="1" t="s">
        <v>74</v>
      </c>
      <c r="R125" s="1" t="s">
        <v>74</v>
      </c>
      <c r="S125" s="1" t="s">
        <v>74</v>
      </c>
      <c r="T125" s="1" t="s">
        <v>1304</v>
      </c>
      <c r="U125" s="1" t="s">
        <v>1305</v>
      </c>
      <c r="V125" s="1" t="s">
        <v>1306</v>
      </c>
      <c r="W125" s="1" t="s">
        <v>1307</v>
      </c>
      <c r="X125" s="1" t="s">
        <v>1308</v>
      </c>
      <c r="Y125" s="1" t="s">
        <v>1309</v>
      </c>
      <c r="Z125" s="1" t="s">
        <v>1310</v>
      </c>
      <c r="AA125" s="1" t="s">
        <v>74</v>
      </c>
      <c r="AB125" s="1" t="s">
        <v>74</v>
      </c>
      <c r="AC125" s="1" t="s">
        <v>74</v>
      </c>
      <c r="AD125" s="1" t="s">
        <v>74</v>
      </c>
      <c r="AE125" s="1" t="s">
        <v>74</v>
      </c>
      <c r="AF125" s="1" t="s">
        <v>74</v>
      </c>
      <c r="AG125" s="1">
        <v>38</v>
      </c>
      <c r="AH125" s="1">
        <v>74</v>
      </c>
      <c r="AI125" s="1">
        <v>75</v>
      </c>
      <c r="AJ125" s="1">
        <v>2</v>
      </c>
      <c r="AK125" s="1">
        <v>37</v>
      </c>
      <c r="AL125" s="1" t="s">
        <v>144</v>
      </c>
      <c r="AM125" s="1" t="s">
        <v>145</v>
      </c>
      <c r="AN125" s="1" t="s">
        <v>146</v>
      </c>
      <c r="AO125" s="1" t="s">
        <v>1311</v>
      </c>
      <c r="AP125" s="1" t="s">
        <v>1312</v>
      </c>
      <c r="AQ125" s="1" t="s">
        <v>74</v>
      </c>
      <c r="AR125" s="1" t="s">
        <v>1313</v>
      </c>
      <c r="AS125" s="1" t="s">
        <v>1314</v>
      </c>
      <c r="AT125" s="1" t="s">
        <v>98</v>
      </c>
      <c r="AU125" s="1">
        <v>2011</v>
      </c>
      <c r="AV125" s="1">
        <v>2</v>
      </c>
      <c r="AW125" s="1">
        <v>4</v>
      </c>
      <c r="AX125" s="1" t="s">
        <v>74</v>
      </c>
      <c r="AY125" s="1" t="s">
        <v>74</v>
      </c>
      <c r="AZ125" s="1" t="s">
        <v>74</v>
      </c>
      <c r="BA125" s="1" t="s">
        <v>74</v>
      </c>
      <c r="BB125" s="1">
        <v>395</v>
      </c>
      <c r="BC125" s="1">
        <v>402</v>
      </c>
      <c r="BD125" s="1" t="s">
        <v>74</v>
      </c>
      <c r="BE125" s="1" t="s">
        <v>1315</v>
      </c>
      <c r="BF125" s="1" t="str">
        <f>HYPERLINK("http://dx.doi.org/10.1177/1948550610393987","http://dx.doi.org/10.1177/1948550610393987")</f>
        <v>http://dx.doi.org/10.1177/1948550610393987</v>
      </c>
      <c r="BG125" s="1" t="s">
        <v>74</v>
      </c>
      <c r="BH125" s="1" t="s">
        <v>74</v>
      </c>
      <c r="BI125" s="1">
        <v>8</v>
      </c>
      <c r="BJ125" s="1" t="s">
        <v>100</v>
      </c>
      <c r="BK125" s="1" t="s">
        <v>101</v>
      </c>
      <c r="BL125" s="1" t="s">
        <v>102</v>
      </c>
      <c r="BM125" s="1" t="s">
        <v>1316</v>
      </c>
      <c r="BN125" s="1" t="s">
        <v>74</v>
      </c>
      <c r="BO125" s="1" t="s">
        <v>74</v>
      </c>
      <c r="BP125" s="1" t="s">
        <v>74</v>
      </c>
      <c r="BQ125" s="1" t="s">
        <v>74</v>
      </c>
      <c r="BR125" s="1" t="s">
        <v>104</v>
      </c>
      <c r="BS125" s="1" t="s">
        <v>1317</v>
      </c>
      <c r="BT125" s="1" t="str">
        <f>HYPERLINK("https%3A%2F%2Fwww.webofscience.com%2Fwos%2Fwoscc%2Ffull-record%2FWOS:000208992300009","View Full Record in Web of Science")</f>
        <v>View Full Record in Web of Science</v>
      </c>
      <c r="BU125" s="1" t="s">
        <v>2040</v>
      </c>
      <c r="BV125" s="1" t="s">
        <v>10653</v>
      </c>
    </row>
    <row r="126" spans="1:75" ht="29" x14ac:dyDescent="0.35">
      <c r="A126" s="1" t="s">
        <v>72</v>
      </c>
      <c r="B126" s="1" t="s">
        <v>1485</v>
      </c>
      <c r="C126" s="1" t="s">
        <v>74</v>
      </c>
      <c r="D126" s="1" t="s">
        <v>74</v>
      </c>
      <c r="E126" s="1" t="s">
        <v>74</v>
      </c>
      <c r="F126" s="1" t="s">
        <v>1486</v>
      </c>
      <c r="G126" s="1" t="s">
        <v>74</v>
      </c>
      <c r="H126" s="1" t="s">
        <v>74</v>
      </c>
      <c r="I126" s="1" t="s">
        <v>1487</v>
      </c>
      <c r="J126" s="1" t="s">
        <v>1488</v>
      </c>
      <c r="K126" s="1" t="s">
        <v>74</v>
      </c>
      <c r="L126" s="1" t="s">
        <v>74</v>
      </c>
      <c r="M126" s="1" t="s">
        <v>78</v>
      </c>
      <c r="N126" s="1" t="s">
        <v>79</v>
      </c>
      <c r="O126" s="1" t="s">
        <v>74</v>
      </c>
      <c r="P126" s="1" t="s">
        <v>74</v>
      </c>
      <c r="Q126" s="1" t="s">
        <v>74</v>
      </c>
      <c r="R126" s="1" t="s">
        <v>74</v>
      </c>
      <c r="S126" s="1" t="s">
        <v>74</v>
      </c>
      <c r="T126" s="1" t="s">
        <v>74</v>
      </c>
      <c r="U126" s="1" t="s">
        <v>74</v>
      </c>
      <c r="V126" s="1" t="s">
        <v>74</v>
      </c>
      <c r="W126" s="1" t="s">
        <v>1489</v>
      </c>
      <c r="X126" s="1" t="s">
        <v>1490</v>
      </c>
      <c r="Y126" s="1" t="s">
        <v>1491</v>
      </c>
      <c r="Z126" s="1" t="s">
        <v>74</v>
      </c>
      <c r="AA126" s="1" t="s">
        <v>494</v>
      </c>
      <c r="AB126" s="1" t="s">
        <v>495</v>
      </c>
      <c r="AC126" s="1" t="s">
        <v>74</v>
      </c>
      <c r="AD126" s="1" t="s">
        <v>74</v>
      </c>
      <c r="AE126" s="1" t="s">
        <v>74</v>
      </c>
      <c r="AF126" s="1" t="s">
        <v>74</v>
      </c>
      <c r="AG126" s="1">
        <v>0</v>
      </c>
      <c r="AH126" s="1">
        <v>152</v>
      </c>
      <c r="AI126" s="1">
        <v>152</v>
      </c>
      <c r="AJ126" s="1">
        <v>1</v>
      </c>
      <c r="AK126" s="1">
        <v>29</v>
      </c>
      <c r="AL126" s="1" t="s">
        <v>1492</v>
      </c>
      <c r="AM126" s="1" t="s">
        <v>1493</v>
      </c>
      <c r="AN126" s="1" t="s">
        <v>1494</v>
      </c>
      <c r="AO126" s="1" t="s">
        <v>1495</v>
      </c>
      <c r="AP126" s="1" t="s">
        <v>74</v>
      </c>
      <c r="AQ126" s="1" t="s">
        <v>74</v>
      </c>
      <c r="AR126" s="1" t="s">
        <v>1496</v>
      </c>
      <c r="AS126" s="1" t="s">
        <v>1497</v>
      </c>
      <c r="AT126" s="1" t="s">
        <v>1498</v>
      </c>
      <c r="AU126" s="1">
        <v>2011</v>
      </c>
      <c r="AV126" s="1">
        <v>211</v>
      </c>
      <c r="AW126" s="1">
        <v>2828</v>
      </c>
      <c r="AX126" s="1" t="s">
        <v>74</v>
      </c>
      <c r="AY126" s="1" t="s">
        <v>74</v>
      </c>
      <c r="AZ126" s="1" t="s">
        <v>74</v>
      </c>
      <c r="BA126" s="1" t="s">
        <v>74</v>
      </c>
      <c r="BB126" s="1">
        <v>42</v>
      </c>
      <c r="BC126" s="1">
        <v>45</v>
      </c>
      <c r="BD126" s="1" t="s">
        <v>74</v>
      </c>
      <c r="BE126" s="1" t="s">
        <v>1499</v>
      </c>
      <c r="BF126" s="1" t="str">
        <f>HYPERLINK("http://dx.doi.org/10.1016/S0262-4079(11)62167-2","http://dx.doi.org/10.1016/S0262-4079(11)62167-2")</f>
        <v>http://dx.doi.org/10.1016/S0262-4079(11)62167-2</v>
      </c>
      <c r="BG126" s="1" t="s">
        <v>74</v>
      </c>
      <c r="BH126" s="1" t="s">
        <v>74</v>
      </c>
      <c r="BI126" s="1">
        <v>4</v>
      </c>
      <c r="BJ126" s="1" t="s">
        <v>561</v>
      </c>
      <c r="BK126" s="1" t="s">
        <v>129</v>
      </c>
      <c r="BL126" s="1" t="s">
        <v>562</v>
      </c>
      <c r="BM126" s="1" t="s">
        <v>1500</v>
      </c>
      <c r="BN126" s="1" t="s">
        <v>74</v>
      </c>
      <c r="BO126" s="1" t="s">
        <v>74</v>
      </c>
      <c r="BP126" s="1" t="s">
        <v>74</v>
      </c>
      <c r="BQ126" s="1" t="s">
        <v>74</v>
      </c>
      <c r="BR126" s="1" t="s">
        <v>104</v>
      </c>
      <c r="BS126" s="1" t="s">
        <v>1501</v>
      </c>
      <c r="BT126" s="1" t="str">
        <f>HYPERLINK("https%3A%2F%2Fwww.webofscience.com%2Fwos%2Fwoscc%2Ffull-record%2FWOS:000294703600033","View Full Record in Web of Science")</f>
        <v>View Full Record in Web of Science</v>
      </c>
      <c r="BU126" s="1" t="s">
        <v>2040</v>
      </c>
      <c r="BV126" s="1" t="s">
        <v>10653</v>
      </c>
    </row>
    <row r="127" spans="1:75" ht="246.5" x14ac:dyDescent="0.35">
      <c r="A127" s="1" t="s">
        <v>72</v>
      </c>
      <c r="B127" s="1" t="s">
        <v>2804</v>
      </c>
      <c r="C127" s="1" t="s">
        <v>74</v>
      </c>
      <c r="D127" s="1" t="s">
        <v>74</v>
      </c>
      <c r="E127" s="1" t="s">
        <v>74</v>
      </c>
      <c r="F127" s="1" t="s">
        <v>2805</v>
      </c>
      <c r="G127" s="1" t="s">
        <v>74</v>
      </c>
      <c r="H127" s="1" t="s">
        <v>74</v>
      </c>
      <c r="I127" s="1" t="s">
        <v>2806</v>
      </c>
      <c r="J127" s="1" t="s">
        <v>301</v>
      </c>
      <c r="K127" s="1" t="s">
        <v>74</v>
      </c>
      <c r="L127" s="1" t="s">
        <v>74</v>
      </c>
      <c r="M127" s="1" t="s">
        <v>78</v>
      </c>
      <c r="N127" s="1" t="s">
        <v>79</v>
      </c>
      <c r="O127" s="1" t="s">
        <v>74</v>
      </c>
      <c r="P127" s="1" t="s">
        <v>74</v>
      </c>
      <c r="Q127" s="1" t="s">
        <v>74</v>
      </c>
      <c r="R127" s="1" t="s">
        <v>74</v>
      </c>
      <c r="S127" s="1" t="s">
        <v>74</v>
      </c>
      <c r="T127" s="1" t="s">
        <v>2807</v>
      </c>
      <c r="U127" s="1" t="s">
        <v>2808</v>
      </c>
      <c r="V127" s="1" t="s">
        <v>2809</v>
      </c>
      <c r="W127" s="1" t="s">
        <v>2810</v>
      </c>
      <c r="X127" s="1" t="s">
        <v>2811</v>
      </c>
      <c r="Y127" s="1" t="s">
        <v>2812</v>
      </c>
      <c r="Z127" s="1" t="s">
        <v>2813</v>
      </c>
      <c r="AA127" s="1" t="s">
        <v>2814</v>
      </c>
      <c r="AB127" s="1" t="s">
        <v>74</v>
      </c>
      <c r="AC127" s="1" t="s">
        <v>74</v>
      </c>
      <c r="AD127" s="1" t="s">
        <v>74</v>
      </c>
      <c r="AE127" s="1" t="s">
        <v>74</v>
      </c>
      <c r="AF127" s="1" t="s">
        <v>74</v>
      </c>
      <c r="AG127" s="1">
        <v>30</v>
      </c>
      <c r="AH127" s="1">
        <v>137</v>
      </c>
      <c r="AI127" s="1">
        <v>143</v>
      </c>
      <c r="AJ127" s="1">
        <v>4</v>
      </c>
      <c r="AK127" s="1">
        <v>89</v>
      </c>
      <c r="AL127" s="1" t="s">
        <v>144</v>
      </c>
      <c r="AM127" s="1" t="s">
        <v>145</v>
      </c>
      <c r="AN127" s="1" t="s">
        <v>146</v>
      </c>
      <c r="AO127" s="1" t="s">
        <v>306</v>
      </c>
      <c r="AP127" s="1" t="s">
        <v>307</v>
      </c>
      <c r="AQ127" s="1" t="s">
        <v>74</v>
      </c>
      <c r="AR127" s="1" t="s">
        <v>308</v>
      </c>
      <c r="AS127" s="1" t="s">
        <v>309</v>
      </c>
      <c r="AT127" s="1" t="s">
        <v>348</v>
      </c>
      <c r="AU127" s="1">
        <v>2011</v>
      </c>
      <c r="AV127" s="1">
        <v>22</v>
      </c>
      <c r="AW127" s="1">
        <v>12</v>
      </c>
      <c r="AX127" s="1" t="s">
        <v>74</v>
      </c>
      <c r="AY127" s="1" t="s">
        <v>74</v>
      </c>
      <c r="AZ127" s="1" t="s">
        <v>74</v>
      </c>
      <c r="BA127" s="1" t="s">
        <v>74</v>
      </c>
      <c r="BB127" s="1">
        <v>1478</v>
      </c>
      <c r="BC127" s="1">
        <v>1483</v>
      </c>
      <c r="BD127" s="1" t="s">
        <v>74</v>
      </c>
      <c r="BE127" s="1" t="s">
        <v>2815</v>
      </c>
      <c r="BF127" s="1" t="str">
        <f>HYPERLINK("http://dx.doi.org/10.1177/0956797611418838","http://dx.doi.org/10.1177/0956797611418838")</f>
        <v>http://dx.doi.org/10.1177/0956797611418838</v>
      </c>
      <c r="BG127" s="1" t="s">
        <v>74</v>
      </c>
      <c r="BH127" s="1" t="s">
        <v>74</v>
      </c>
      <c r="BI127" s="1">
        <v>6</v>
      </c>
      <c r="BJ127" s="1" t="s">
        <v>311</v>
      </c>
      <c r="BK127" s="1" t="s">
        <v>101</v>
      </c>
      <c r="BL127" s="1" t="s">
        <v>102</v>
      </c>
      <c r="BM127" s="1" t="s">
        <v>2816</v>
      </c>
      <c r="BN127" s="1">
        <v>22042727</v>
      </c>
      <c r="BO127" s="1" t="s">
        <v>74</v>
      </c>
      <c r="BP127" s="1" t="s">
        <v>74</v>
      </c>
      <c r="BQ127" s="1" t="s">
        <v>74</v>
      </c>
      <c r="BR127" s="1" t="s">
        <v>104</v>
      </c>
      <c r="BS127" s="1" t="s">
        <v>2817</v>
      </c>
      <c r="BT127" s="1" t="str">
        <f>HYPERLINK("https%3A%2F%2Fwww.webofscience.com%2Fwos%2Fwoscc%2Ffull-record%2FWOS:000300954700003","View Full Record in Web of Science")</f>
        <v>View Full Record in Web of Science</v>
      </c>
      <c r="BU127" s="1" t="s">
        <v>3776</v>
      </c>
      <c r="BV127" s="1" t="s">
        <v>10653</v>
      </c>
    </row>
    <row r="128" spans="1:75" ht="409.5" x14ac:dyDescent="0.35">
      <c r="A128" s="1" t="s">
        <v>72</v>
      </c>
      <c r="B128" s="1" t="s">
        <v>1043</v>
      </c>
      <c r="C128" s="1" t="s">
        <v>74</v>
      </c>
      <c r="D128" s="1" t="s">
        <v>74</v>
      </c>
      <c r="E128" s="1" t="s">
        <v>74</v>
      </c>
      <c r="F128" s="1" t="s">
        <v>1044</v>
      </c>
      <c r="G128" s="1" t="s">
        <v>74</v>
      </c>
      <c r="H128" s="1" t="s">
        <v>74</v>
      </c>
      <c r="I128" s="1" t="s">
        <v>1045</v>
      </c>
      <c r="J128" s="1" t="s">
        <v>136</v>
      </c>
      <c r="K128" s="1" t="s">
        <v>74</v>
      </c>
      <c r="L128" s="1" t="s">
        <v>74</v>
      </c>
      <c r="M128" s="1" t="s">
        <v>78</v>
      </c>
      <c r="N128" s="1" t="s">
        <v>79</v>
      </c>
      <c r="O128" s="1" t="s">
        <v>74</v>
      </c>
      <c r="P128" s="1" t="s">
        <v>74</v>
      </c>
      <c r="Q128" s="1" t="s">
        <v>74</v>
      </c>
      <c r="R128" s="1" t="s">
        <v>74</v>
      </c>
      <c r="S128" s="1" t="s">
        <v>74</v>
      </c>
      <c r="T128" s="1" t="s">
        <v>1046</v>
      </c>
      <c r="U128" s="1" t="s">
        <v>1047</v>
      </c>
      <c r="V128" s="1" t="s">
        <v>1048</v>
      </c>
      <c r="W128" s="1" t="s">
        <v>1049</v>
      </c>
      <c r="X128" s="1" t="s">
        <v>1050</v>
      </c>
      <c r="Y128" s="1" t="s">
        <v>1051</v>
      </c>
      <c r="Z128" s="1" t="s">
        <v>1052</v>
      </c>
      <c r="AA128" s="1" t="s">
        <v>74</v>
      </c>
      <c r="AB128" s="1" t="s">
        <v>74</v>
      </c>
      <c r="AC128" s="1" t="s">
        <v>74</v>
      </c>
      <c r="AD128" s="1" t="s">
        <v>74</v>
      </c>
      <c r="AE128" s="1" t="s">
        <v>74</v>
      </c>
      <c r="AF128" s="1" t="s">
        <v>74</v>
      </c>
      <c r="AG128" s="1">
        <v>58</v>
      </c>
      <c r="AH128" s="1">
        <v>245</v>
      </c>
      <c r="AI128" s="1">
        <v>251</v>
      </c>
      <c r="AJ128" s="1">
        <v>18</v>
      </c>
      <c r="AK128" s="1">
        <v>205</v>
      </c>
      <c r="AL128" s="1" t="s">
        <v>144</v>
      </c>
      <c r="AM128" s="1" t="s">
        <v>145</v>
      </c>
      <c r="AN128" s="1" t="s">
        <v>146</v>
      </c>
      <c r="AO128" s="1" t="s">
        <v>147</v>
      </c>
      <c r="AP128" s="1" t="s">
        <v>148</v>
      </c>
      <c r="AQ128" s="1" t="s">
        <v>74</v>
      </c>
      <c r="AR128" s="1" t="s">
        <v>149</v>
      </c>
      <c r="AS128" s="1" t="s">
        <v>150</v>
      </c>
      <c r="AT128" s="1" t="s">
        <v>281</v>
      </c>
      <c r="AU128" s="1">
        <v>2011</v>
      </c>
      <c r="AV128" s="1">
        <v>48</v>
      </c>
      <c r="AW128" s="1">
        <v>5</v>
      </c>
      <c r="AX128" s="1" t="s">
        <v>74</v>
      </c>
      <c r="AY128" s="1" t="s">
        <v>74</v>
      </c>
      <c r="AZ128" s="1" t="s">
        <v>74</v>
      </c>
      <c r="BA128" s="1" t="s">
        <v>74</v>
      </c>
      <c r="BB128" s="1">
        <v>881</v>
      </c>
      <c r="BC128" s="1">
        <v>894</v>
      </c>
      <c r="BD128" s="1" t="s">
        <v>74</v>
      </c>
      <c r="BE128" s="1" t="s">
        <v>1053</v>
      </c>
      <c r="BF128" s="1" t="str">
        <f>HYPERLINK("http://dx.doi.org/10.1509/jmkr.48.5.881","http://dx.doi.org/10.1509/jmkr.48.5.881")</f>
        <v>http://dx.doi.org/10.1509/jmkr.48.5.881</v>
      </c>
      <c r="BG128" s="1" t="s">
        <v>74</v>
      </c>
      <c r="BH128" s="1" t="s">
        <v>74</v>
      </c>
      <c r="BI128" s="1">
        <v>14</v>
      </c>
      <c r="BJ128" s="1" t="s">
        <v>153</v>
      </c>
      <c r="BK128" s="1" t="s">
        <v>101</v>
      </c>
      <c r="BL128" s="1" t="s">
        <v>154</v>
      </c>
      <c r="BM128" s="1" t="s">
        <v>1054</v>
      </c>
      <c r="BN128" s="1" t="s">
        <v>74</v>
      </c>
      <c r="BO128" s="1" t="s">
        <v>334</v>
      </c>
      <c r="BP128" s="1" t="s">
        <v>74</v>
      </c>
      <c r="BQ128" s="1" t="s">
        <v>74</v>
      </c>
      <c r="BR128" s="1" t="s">
        <v>104</v>
      </c>
      <c r="BS128" s="1" t="s">
        <v>1055</v>
      </c>
      <c r="BT128" s="1" t="str">
        <f>HYPERLINK("https%3A%2F%2Fwww.webofscience.com%2Fwos%2Fwoscc%2Ffull-record%2FWOS:000294974500007","View Full Record in Web of Science")</f>
        <v>View Full Record in Web of Science</v>
      </c>
      <c r="BU128" s="1" t="s">
        <v>3776</v>
      </c>
      <c r="BV128" s="1" t="s">
        <v>6080</v>
      </c>
      <c r="BW128" s="1" t="s">
        <v>6080</v>
      </c>
    </row>
    <row r="129" spans="1:75" ht="43.5" x14ac:dyDescent="0.35">
      <c r="A129" s="1" t="s">
        <v>72</v>
      </c>
      <c r="B129" s="1" t="s">
        <v>1485</v>
      </c>
      <c r="C129" s="1" t="s">
        <v>74</v>
      </c>
      <c r="D129" s="1" t="s">
        <v>74</v>
      </c>
      <c r="E129" s="1" t="s">
        <v>74</v>
      </c>
      <c r="F129" s="1" t="s">
        <v>1486</v>
      </c>
      <c r="G129" s="1" t="s">
        <v>74</v>
      </c>
      <c r="H129" s="1" t="s">
        <v>74</v>
      </c>
      <c r="I129" s="1" t="s">
        <v>1487</v>
      </c>
      <c r="J129" s="1" t="s">
        <v>1488</v>
      </c>
      <c r="K129" s="1" t="s">
        <v>74</v>
      </c>
      <c r="L129" s="1" t="s">
        <v>74</v>
      </c>
      <c r="M129" s="1" t="s">
        <v>78</v>
      </c>
      <c r="N129" s="1" t="s">
        <v>79</v>
      </c>
      <c r="O129" s="1" t="s">
        <v>74</v>
      </c>
      <c r="P129" s="1" t="s">
        <v>74</v>
      </c>
      <c r="Q129" s="1" t="s">
        <v>74</v>
      </c>
      <c r="R129" s="1" t="s">
        <v>74</v>
      </c>
      <c r="S129" s="1" t="s">
        <v>74</v>
      </c>
      <c r="T129" s="1" t="s">
        <v>74</v>
      </c>
      <c r="U129" s="1" t="s">
        <v>74</v>
      </c>
      <c r="V129" s="1" t="s">
        <v>6074</v>
      </c>
      <c r="W129" s="1" t="s">
        <v>1489</v>
      </c>
      <c r="X129" s="1" t="s">
        <v>1490</v>
      </c>
      <c r="Y129" s="1" t="s">
        <v>1491</v>
      </c>
      <c r="Z129" s="1" t="s">
        <v>74</v>
      </c>
      <c r="AA129" s="1" t="s">
        <v>494</v>
      </c>
      <c r="AB129" s="1" t="s">
        <v>495</v>
      </c>
      <c r="AC129" s="1" t="s">
        <v>74</v>
      </c>
      <c r="AD129" s="1" t="s">
        <v>74</v>
      </c>
      <c r="AE129" s="1" t="s">
        <v>74</v>
      </c>
      <c r="AF129" s="1" t="s">
        <v>74</v>
      </c>
      <c r="AG129" s="1">
        <v>0</v>
      </c>
      <c r="AH129" s="1">
        <v>152</v>
      </c>
      <c r="AI129" s="1">
        <v>152</v>
      </c>
      <c r="AJ129" s="1">
        <v>1</v>
      </c>
      <c r="AK129" s="1">
        <v>29</v>
      </c>
      <c r="AL129" s="1" t="s">
        <v>1492</v>
      </c>
      <c r="AM129" s="1" t="s">
        <v>1493</v>
      </c>
      <c r="AN129" s="1" t="s">
        <v>1494</v>
      </c>
      <c r="AO129" s="1" t="s">
        <v>1495</v>
      </c>
      <c r="AP129" s="1" t="s">
        <v>74</v>
      </c>
      <c r="AQ129" s="1" t="s">
        <v>74</v>
      </c>
      <c r="AR129" s="1" t="s">
        <v>1496</v>
      </c>
      <c r="AS129" s="1" t="s">
        <v>1497</v>
      </c>
      <c r="AT129" s="1" t="s">
        <v>1498</v>
      </c>
      <c r="AU129" s="1">
        <v>2011</v>
      </c>
      <c r="AV129" s="1">
        <v>211</v>
      </c>
      <c r="AW129" s="1">
        <v>2828</v>
      </c>
      <c r="AX129" s="1" t="s">
        <v>74</v>
      </c>
      <c r="AY129" s="1" t="s">
        <v>74</v>
      </c>
      <c r="AZ129" s="1" t="s">
        <v>74</v>
      </c>
      <c r="BA129" s="1" t="s">
        <v>74</v>
      </c>
      <c r="BB129" s="1">
        <v>42</v>
      </c>
      <c r="BC129" s="1">
        <v>45</v>
      </c>
      <c r="BD129" s="1" t="s">
        <v>74</v>
      </c>
      <c r="BE129" s="1" t="s">
        <v>1499</v>
      </c>
      <c r="BF129" s="1" t="str">
        <f>HYPERLINK("http://dx.doi.org/10.1016/S0262-4079(11)62167-2","http://dx.doi.org/10.1016/S0262-4079(11)62167-2")</f>
        <v>http://dx.doi.org/10.1016/S0262-4079(11)62167-2</v>
      </c>
      <c r="BG129" s="1" t="s">
        <v>74</v>
      </c>
      <c r="BH129" s="1" t="s">
        <v>74</v>
      </c>
      <c r="BI129" s="1">
        <v>4</v>
      </c>
      <c r="BJ129" s="1" t="s">
        <v>561</v>
      </c>
      <c r="BK129" s="1" t="s">
        <v>129</v>
      </c>
      <c r="BL129" s="1" t="s">
        <v>562</v>
      </c>
      <c r="BM129" s="1" t="s">
        <v>1500</v>
      </c>
      <c r="BN129" s="1" t="s">
        <v>74</v>
      </c>
      <c r="BO129" s="1" t="s">
        <v>74</v>
      </c>
      <c r="BP129" s="1" t="s">
        <v>74</v>
      </c>
      <c r="BQ129" s="1" t="s">
        <v>74</v>
      </c>
      <c r="BR129" s="1" t="s">
        <v>104</v>
      </c>
      <c r="BS129" s="1" t="s">
        <v>1501</v>
      </c>
      <c r="BT129" s="1" t="str">
        <f>HYPERLINK("https%3A%2F%2Fwww.webofscience.com%2Fwos%2Fwoscc%2Ffull-record%2FWOS:000294703600033","View Full Record in Web of Science")</f>
        <v>View Full Record in Web of Science</v>
      </c>
      <c r="BU129" s="1" t="s">
        <v>3776</v>
      </c>
      <c r="BV129" s="1" t="s">
        <v>10653</v>
      </c>
    </row>
    <row r="130" spans="1:75" ht="217.5" x14ac:dyDescent="0.35">
      <c r="A130" s="1" t="s">
        <v>72</v>
      </c>
      <c r="B130" s="1" t="s">
        <v>2818</v>
      </c>
      <c r="C130" s="1" t="s">
        <v>74</v>
      </c>
      <c r="D130" s="1" t="s">
        <v>74</v>
      </c>
      <c r="E130" s="1" t="s">
        <v>74</v>
      </c>
      <c r="F130" s="1" t="s">
        <v>2819</v>
      </c>
      <c r="G130" s="1" t="s">
        <v>74</v>
      </c>
      <c r="H130" s="1" t="s">
        <v>74</v>
      </c>
      <c r="I130" s="1" t="s">
        <v>2820</v>
      </c>
      <c r="J130" s="1" t="s">
        <v>2821</v>
      </c>
      <c r="K130" s="1" t="s">
        <v>74</v>
      </c>
      <c r="L130" s="1" t="s">
        <v>74</v>
      </c>
      <c r="M130" s="1" t="s">
        <v>78</v>
      </c>
      <c r="N130" s="1" t="s">
        <v>79</v>
      </c>
      <c r="O130" s="1" t="s">
        <v>74</v>
      </c>
      <c r="P130" s="1" t="s">
        <v>74</v>
      </c>
      <c r="Q130" s="1" t="s">
        <v>74</v>
      </c>
      <c r="R130" s="1" t="s">
        <v>74</v>
      </c>
      <c r="S130" s="1" t="s">
        <v>74</v>
      </c>
      <c r="T130" s="1" t="s">
        <v>2822</v>
      </c>
      <c r="U130" s="1" t="s">
        <v>2823</v>
      </c>
      <c r="V130" s="1" t="s">
        <v>2824</v>
      </c>
      <c r="W130" s="1" t="s">
        <v>2825</v>
      </c>
      <c r="X130" s="1" t="s">
        <v>2826</v>
      </c>
      <c r="Y130" s="1" t="s">
        <v>2827</v>
      </c>
      <c r="Z130" s="1" t="s">
        <v>2828</v>
      </c>
      <c r="AA130" s="1" t="s">
        <v>2829</v>
      </c>
      <c r="AB130" s="1" t="s">
        <v>2830</v>
      </c>
      <c r="AC130" s="1" t="s">
        <v>74</v>
      </c>
      <c r="AD130" s="1" t="s">
        <v>74</v>
      </c>
      <c r="AE130" s="1" t="s">
        <v>74</v>
      </c>
      <c r="AF130" s="1" t="s">
        <v>74</v>
      </c>
      <c r="AG130" s="1">
        <v>112</v>
      </c>
      <c r="AH130" s="1">
        <v>87</v>
      </c>
      <c r="AI130" s="1">
        <v>87</v>
      </c>
      <c r="AJ130" s="1">
        <v>2</v>
      </c>
      <c r="AK130" s="1">
        <v>54</v>
      </c>
      <c r="AL130" s="1" t="s">
        <v>144</v>
      </c>
      <c r="AM130" s="1" t="s">
        <v>145</v>
      </c>
      <c r="AN130" s="1" t="s">
        <v>146</v>
      </c>
      <c r="AO130" s="1" t="s">
        <v>2831</v>
      </c>
      <c r="AP130" s="1" t="s">
        <v>2832</v>
      </c>
      <c r="AQ130" s="1" t="s">
        <v>74</v>
      </c>
      <c r="AR130" s="1" t="s">
        <v>2833</v>
      </c>
      <c r="AS130" s="1" t="s">
        <v>2834</v>
      </c>
      <c r="AT130" s="1" t="s">
        <v>517</v>
      </c>
      <c r="AU130" s="1">
        <v>2011</v>
      </c>
      <c r="AV130" s="1">
        <v>24</v>
      </c>
      <c r="AW130" s="1">
        <v>3</v>
      </c>
      <c r="AX130" s="1" t="s">
        <v>74</v>
      </c>
      <c r="AY130" s="1" t="s">
        <v>74</v>
      </c>
      <c r="AZ130" s="1" t="s">
        <v>259</v>
      </c>
      <c r="BA130" s="1" t="s">
        <v>74</v>
      </c>
      <c r="BB130" s="1">
        <v>233</v>
      </c>
      <c r="BC130" s="1">
        <v>251</v>
      </c>
      <c r="BD130" s="1" t="s">
        <v>74</v>
      </c>
      <c r="BE130" s="1" t="s">
        <v>2835</v>
      </c>
      <c r="BF130" s="1" t="str">
        <f>HYPERLINK("http://dx.doi.org/10.1177/0894486510396871","http://dx.doi.org/10.1177/0894486510396871")</f>
        <v>http://dx.doi.org/10.1177/0894486510396871</v>
      </c>
      <c r="BG130" s="1" t="s">
        <v>74</v>
      </c>
      <c r="BH130" s="1" t="s">
        <v>74</v>
      </c>
      <c r="BI130" s="1">
        <v>19</v>
      </c>
      <c r="BJ130" s="1" t="s">
        <v>153</v>
      </c>
      <c r="BK130" s="1" t="s">
        <v>101</v>
      </c>
      <c r="BL130" s="1" t="s">
        <v>154</v>
      </c>
      <c r="BM130" s="1" t="s">
        <v>2836</v>
      </c>
      <c r="BN130" s="1" t="s">
        <v>74</v>
      </c>
      <c r="BO130" s="1" t="s">
        <v>74</v>
      </c>
      <c r="BP130" s="1" t="s">
        <v>74</v>
      </c>
      <c r="BQ130" s="1" t="s">
        <v>74</v>
      </c>
      <c r="BR130" s="1" t="s">
        <v>104</v>
      </c>
      <c r="BS130" s="1" t="s">
        <v>2837</v>
      </c>
      <c r="BT130" s="1" t="str">
        <f>HYPERLINK("https%3A%2F%2Fwww.webofscience.com%2Fwos%2Fwoscc%2Ffull-record%2FWOS:000293797300004","View Full Record in Web of Science")</f>
        <v>View Full Record in Web of Science</v>
      </c>
      <c r="BU130" s="1" t="s">
        <v>3776</v>
      </c>
      <c r="BV130" s="1" t="s">
        <v>10653</v>
      </c>
    </row>
    <row r="131" spans="1:75" ht="275.5" x14ac:dyDescent="0.35">
      <c r="A131" s="1" t="s">
        <v>72</v>
      </c>
      <c r="B131" s="1" t="s">
        <v>2838</v>
      </c>
      <c r="C131" s="1" t="s">
        <v>74</v>
      </c>
      <c r="D131" s="1" t="s">
        <v>74</v>
      </c>
      <c r="E131" s="1" t="s">
        <v>74</v>
      </c>
      <c r="F131" s="1" t="s">
        <v>2839</v>
      </c>
      <c r="G131" s="1" t="s">
        <v>74</v>
      </c>
      <c r="H131" s="1" t="s">
        <v>74</v>
      </c>
      <c r="I131" s="1" t="s">
        <v>2840</v>
      </c>
      <c r="J131" s="1" t="s">
        <v>2841</v>
      </c>
      <c r="K131" s="1" t="s">
        <v>74</v>
      </c>
      <c r="L131" s="1" t="s">
        <v>74</v>
      </c>
      <c r="M131" s="1" t="s">
        <v>78</v>
      </c>
      <c r="N131" s="1" t="s">
        <v>79</v>
      </c>
      <c r="O131" s="1" t="s">
        <v>74</v>
      </c>
      <c r="P131" s="1" t="s">
        <v>74</v>
      </c>
      <c r="Q131" s="1" t="s">
        <v>74</v>
      </c>
      <c r="R131" s="1" t="s">
        <v>74</v>
      </c>
      <c r="S131" s="1" t="s">
        <v>74</v>
      </c>
      <c r="T131" s="1" t="s">
        <v>2842</v>
      </c>
      <c r="U131" s="1" t="s">
        <v>2843</v>
      </c>
      <c r="V131" s="1" t="s">
        <v>2844</v>
      </c>
      <c r="W131" s="1" t="s">
        <v>2845</v>
      </c>
      <c r="X131" s="1" t="s">
        <v>2846</v>
      </c>
      <c r="Y131" s="1" t="s">
        <v>2847</v>
      </c>
      <c r="Z131" s="1" t="s">
        <v>2848</v>
      </c>
      <c r="AA131" s="1" t="s">
        <v>2645</v>
      </c>
      <c r="AB131" s="1" t="s">
        <v>2849</v>
      </c>
      <c r="AC131" s="1" t="s">
        <v>74</v>
      </c>
      <c r="AD131" s="1" t="s">
        <v>74</v>
      </c>
      <c r="AE131" s="1" t="s">
        <v>74</v>
      </c>
      <c r="AF131" s="1" t="s">
        <v>74</v>
      </c>
      <c r="AG131" s="1">
        <v>44</v>
      </c>
      <c r="AH131" s="1">
        <v>123</v>
      </c>
      <c r="AI131" s="1">
        <v>127</v>
      </c>
      <c r="AJ131" s="1">
        <v>1</v>
      </c>
      <c r="AK131" s="1">
        <v>44</v>
      </c>
      <c r="AL131" s="1" t="s">
        <v>2850</v>
      </c>
      <c r="AM131" s="1" t="s">
        <v>92</v>
      </c>
      <c r="AN131" s="1" t="s">
        <v>2851</v>
      </c>
      <c r="AO131" s="1" t="s">
        <v>2852</v>
      </c>
      <c r="AP131" s="1" t="s">
        <v>2853</v>
      </c>
      <c r="AQ131" s="1" t="s">
        <v>74</v>
      </c>
      <c r="AR131" s="1" t="s">
        <v>2854</v>
      </c>
      <c r="AS131" s="1" t="s">
        <v>2855</v>
      </c>
      <c r="AT131" s="1" t="s">
        <v>469</v>
      </c>
      <c r="AU131" s="1">
        <v>2011</v>
      </c>
      <c r="AV131" s="1">
        <v>5</v>
      </c>
      <c r="AW131" s="1">
        <v>3</v>
      </c>
      <c r="AX131" s="1" t="s">
        <v>74</v>
      </c>
      <c r="AY131" s="1" t="s">
        <v>74</v>
      </c>
      <c r="AZ131" s="1" t="s">
        <v>74</v>
      </c>
      <c r="BA131" s="1" t="s">
        <v>74</v>
      </c>
      <c r="BB131" s="1">
        <v>200</v>
      </c>
      <c r="BC131" s="1">
        <v>207</v>
      </c>
      <c r="BD131" s="1" t="s">
        <v>74</v>
      </c>
      <c r="BE131" s="1" t="s">
        <v>2856</v>
      </c>
      <c r="BF131" s="1" t="str">
        <f>HYPERLINK("http://dx.doi.org/10.1037/a0023195","http://dx.doi.org/10.1037/a0023195")</f>
        <v>http://dx.doi.org/10.1037/a0023195</v>
      </c>
      <c r="BG131" s="1" t="s">
        <v>74</v>
      </c>
      <c r="BH131" s="1" t="s">
        <v>74</v>
      </c>
      <c r="BI131" s="1">
        <v>8</v>
      </c>
      <c r="BJ131" s="1" t="s">
        <v>2857</v>
      </c>
      <c r="BK131" s="1" t="s">
        <v>1532</v>
      </c>
      <c r="BL131" s="1" t="s">
        <v>2858</v>
      </c>
      <c r="BM131" s="1" t="s">
        <v>2859</v>
      </c>
      <c r="BN131" s="1" t="s">
        <v>74</v>
      </c>
      <c r="BO131" s="1" t="s">
        <v>367</v>
      </c>
      <c r="BP131" s="1" t="s">
        <v>74</v>
      </c>
      <c r="BQ131" s="1" t="s">
        <v>74</v>
      </c>
      <c r="BR131" s="1" t="s">
        <v>104</v>
      </c>
      <c r="BS131" s="1" t="s">
        <v>2860</v>
      </c>
      <c r="BT131" s="1" t="str">
        <f>HYPERLINK("https%3A%2F%2Fwww.webofscience.com%2Fwos%2Fwoscc%2Ffull-record%2FWOS:000294316300002","View Full Record in Web of Science")</f>
        <v>View Full Record in Web of Science</v>
      </c>
      <c r="BU131" s="1" t="s">
        <v>3776</v>
      </c>
      <c r="BV131" s="1" t="s">
        <v>10653</v>
      </c>
    </row>
    <row r="132" spans="1:75" ht="203" x14ac:dyDescent="0.35">
      <c r="A132" s="1" t="s">
        <v>72</v>
      </c>
      <c r="B132" s="1" t="s">
        <v>1300</v>
      </c>
      <c r="C132" s="1" t="s">
        <v>74</v>
      </c>
      <c r="D132" s="1" t="s">
        <v>74</v>
      </c>
      <c r="E132" s="1" t="s">
        <v>74</v>
      </c>
      <c r="F132" s="1" t="s">
        <v>1301</v>
      </c>
      <c r="G132" s="1" t="s">
        <v>74</v>
      </c>
      <c r="H132" s="1" t="s">
        <v>74</v>
      </c>
      <c r="I132" s="1" t="s">
        <v>1302</v>
      </c>
      <c r="J132" s="1" t="s">
        <v>1303</v>
      </c>
      <c r="K132" s="1" t="s">
        <v>74</v>
      </c>
      <c r="L132" s="1" t="s">
        <v>74</v>
      </c>
      <c r="M132" s="1" t="s">
        <v>78</v>
      </c>
      <c r="N132" s="1" t="s">
        <v>79</v>
      </c>
      <c r="O132" s="1" t="s">
        <v>74</v>
      </c>
      <c r="P132" s="1" t="s">
        <v>74</v>
      </c>
      <c r="Q132" s="1" t="s">
        <v>74</v>
      </c>
      <c r="R132" s="1" t="s">
        <v>74</v>
      </c>
      <c r="S132" s="1" t="s">
        <v>74</v>
      </c>
      <c r="T132" s="1" t="s">
        <v>1304</v>
      </c>
      <c r="U132" s="1" t="s">
        <v>1305</v>
      </c>
      <c r="V132" s="1" t="s">
        <v>1306</v>
      </c>
      <c r="W132" s="1" t="s">
        <v>1307</v>
      </c>
      <c r="X132" s="1" t="s">
        <v>1308</v>
      </c>
      <c r="Y132" s="1" t="s">
        <v>1309</v>
      </c>
      <c r="Z132" s="1" t="s">
        <v>1310</v>
      </c>
      <c r="AA132" s="1" t="s">
        <v>74</v>
      </c>
      <c r="AB132" s="1" t="s">
        <v>74</v>
      </c>
      <c r="AC132" s="1" t="s">
        <v>74</v>
      </c>
      <c r="AD132" s="1" t="s">
        <v>74</v>
      </c>
      <c r="AE132" s="1" t="s">
        <v>74</v>
      </c>
      <c r="AF132" s="1" t="s">
        <v>74</v>
      </c>
      <c r="AG132" s="1">
        <v>38</v>
      </c>
      <c r="AH132" s="1">
        <v>74</v>
      </c>
      <c r="AI132" s="1">
        <v>75</v>
      </c>
      <c r="AJ132" s="1">
        <v>2</v>
      </c>
      <c r="AK132" s="1">
        <v>37</v>
      </c>
      <c r="AL132" s="1" t="s">
        <v>144</v>
      </c>
      <c r="AM132" s="1" t="s">
        <v>145</v>
      </c>
      <c r="AN132" s="1" t="s">
        <v>146</v>
      </c>
      <c r="AO132" s="1" t="s">
        <v>1311</v>
      </c>
      <c r="AP132" s="1" t="s">
        <v>1312</v>
      </c>
      <c r="AQ132" s="1" t="s">
        <v>74</v>
      </c>
      <c r="AR132" s="1" t="s">
        <v>1313</v>
      </c>
      <c r="AS132" s="1" t="s">
        <v>1314</v>
      </c>
      <c r="AT132" s="1" t="s">
        <v>98</v>
      </c>
      <c r="AU132" s="1">
        <v>2011</v>
      </c>
      <c r="AV132" s="1">
        <v>2</v>
      </c>
      <c r="AW132" s="1">
        <v>4</v>
      </c>
      <c r="AX132" s="1" t="s">
        <v>74</v>
      </c>
      <c r="AY132" s="1" t="s">
        <v>74</v>
      </c>
      <c r="AZ132" s="1" t="s">
        <v>74</v>
      </c>
      <c r="BA132" s="1" t="s">
        <v>74</v>
      </c>
      <c r="BB132" s="1">
        <v>395</v>
      </c>
      <c r="BC132" s="1">
        <v>402</v>
      </c>
      <c r="BD132" s="1" t="s">
        <v>74</v>
      </c>
      <c r="BE132" s="1" t="s">
        <v>1315</v>
      </c>
      <c r="BF132" s="1" t="str">
        <f>HYPERLINK("http://dx.doi.org/10.1177/1948550610393987","http://dx.doi.org/10.1177/1948550610393987")</f>
        <v>http://dx.doi.org/10.1177/1948550610393987</v>
      </c>
      <c r="BG132" s="1" t="s">
        <v>74</v>
      </c>
      <c r="BH132" s="1" t="s">
        <v>74</v>
      </c>
      <c r="BI132" s="1">
        <v>8</v>
      </c>
      <c r="BJ132" s="1" t="s">
        <v>100</v>
      </c>
      <c r="BK132" s="1" t="s">
        <v>101</v>
      </c>
      <c r="BL132" s="1" t="s">
        <v>102</v>
      </c>
      <c r="BM132" s="1" t="s">
        <v>1316</v>
      </c>
      <c r="BN132" s="1" t="s">
        <v>74</v>
      </c>
      <c r="BO132" s="1" t="s">
        <v>74</v>
      </c>
      <c r="BP132" s="1" t="s">
        <v>74</v>
      </c>
      <c r="BQ132" s="1" t="s">
        <v>74</v>
      </c>
      <c r="BR132" s="1" t="s">
        <v>104</v>
      </c>
      <c r="BS132" s="1" t="s">
        <v>1317</v>
      </c>
      <c r="BT132" s="1" t="str">
        <f>HYPERLINK("https%3A%2F%2Fwww.webofscience.com%2Fwos%2Fwoscc%2Ffull-record%2FWOS:000208992300009","View Full Record in Web of Science")</f>
        <v>View Full Record in Web of Science</v>
      </c>
      <c r="BU132" s="1" t="s">
        <v>3776</v>
      </c>
      <c r="BV132" s="1" t="s">
        <v>10653</v>
      </c>
    </row>
    <row r="133" spans="1:75" ht="391.5" x14ac:dyDescent="0.35">
      <c r="A133" s="1" t="s">
        <v>72</v>
      </c>
      <c r="B133" s="1" t="s">
        <v>2861</v>
      </c>
      <c r="C133" s="1" t="s">
        <v>74</v>
      </c>
      <c r="D133" s="1" t="s">
        <v>74</v>
      </c>
      <c r="E133" s="1" t="s">
        <v>74</v>
      </c>
      <c r="F133" s="1" t="s">
        <v>2862</v>
      </c>
      <c r="G133" s="1" t="s">
        <v>74</v>
      </c>
      <c r="H133" s="1" t="s">
        <v>74</v>
      </c>
      <c r="I133" s="1" t="s">
        <v>2863</v>
      </c>
      <c r="J133" s="1" t="s">
        <v>301</v>
      </c>
      <c r="K133" s="1" t="s">
        <v>74</v>
      </c>
      <c r="L133" s="1" t="s">
        <v>74</v>
      </c>
      <c r="M133" s="1" t="s">
        <v>78</v>
      </c>
      <c r="N133" s="1" t="s">
        <v>2864</v>
      </c>
      <c r="O133" s="1" t="s">
        <v>74</v>
      </c>
      <c r="P133" s="1" t="s">
        <v>74</v>
      </c>
      <c r="Q133" s="1" t="s">
        <v>74</v>
      </c>
      <c r="R133" s="1" t="s">
        <v>74</v>
      </c>
      <c r="S133" s="1" t="s">
        <v>74</v>
      </c>
      <c r="T133" s="1" t="s">
        <v>74</v>
      </c>
      <c r="U133" s="1" t="s">
        <v>74</v>
      </c>
      <c r="V133" s="1" t="s">
        <v>6073</v>
      </c>
      <c r="W133" s="1" t="s">
        <v>2865</v>
      </c>
      <c r="X133" s="1" t="s">
        <v>2866</v>
      </c>
      <c r="Y133" s="1" t="s">
        <v>2867</v>
      </c>
      <c r="Z133" s="1" t="s">
        <v>2868</v>
      </c>
      <c r="AA133" s="1" t="s">
        <v>74</v>
      </c>
      <c r="AB133" s="1" t="s">
        <v>2869</v>
      </c>
      <c r="AC133" s="1" t="s">
        <v>74</v>
      </c>
      <c r="AD133" s="1" t="s">
        <v>74</v>
      </c>
      <c r="AE133" s="1" t="s">
        <v>74</v>
      </c>
      <c r="AF133" s="1" t="s">
        <v>74</v>
      </c>
      <c r="AG133" s="1">
        <v>2</v>
      </c>
      <c r="AH133" s="1">
        <v>11</v>
      </c>
      <c r="AI133" s="1">
        <v>11</v>
      </c>
      <c r="AJ133" s="1">
        <v>1</v>
      </c>
      <c r="AK133" s="1">
        <v>7</v>
      </c>
      <c r="AL133" s="1" t="s">
        <v>144</v>
      </c>
      <c r="AM133" s="1" t="s">
        <v>145</v>
      </c>
      <c r="AN133" s="1" t="s">
        <v>146</v>
      </c>
      <c r="AO133" s="1" t="s">
        <v>306</v>
      </c>
      <c r="AP133" s="1" t="s">
        <v>74</v>
      </c>
      <c r="AQ133" s="1" t="s">
        <v>74</v>
      </c>
      <c r="AR133" s="1" t="s">
        <v>308</v>
      </c>
      <c r="AS133" s="1" t="s">
        <v>309</v>
      </c>
      <c r="AT133" s="1" t="s">
        <v>151</v>
      </c>
      <c r="AU133" s="1">
        <v>2011</v>
      </c>
      <c r="AV133" s="1">
        <v>22</v>
      </c>
      <c r="AW133" s="1">
        <v>6</v>
      </c>
      <c r="AX133" s="1" t="s">
        <v>74</v>
      </c>
      <c r="AY133" s="1" t="s">
        <v>74</v>
      </c>
      <c r="AZ133" s="1" t="s">
        <v>74</v>
      </c>
      <c r="BA133" s="1" t="s">
        <v>74</v>
      </c>
      <c r="BB133" s="1">
        <v>835</v>
      </c>
      <c r="BC133" s="1">
        <v>836</v>
      </c>
      <c r="BD133" s="1" t="s">
        <v>74</v>
      </c>
      <c r="BE133" s="1" t="s">
        <v>2870</v>
      </c>
      <c r="BF133" s="1" t="str">
        <f>HYPERLINK("http://dx.doi.org/10.1177/0956797611408735","http://dx.doi.org/10.1177/0956797611408735")</f>
        <v>http://dx.doi.org/10.1177/0956797611408735</v>
      </c>
      <c r="BG133" s="1" t="s">
        <v>74</v>
      </c>
      <c r="BH133" s="1" t="s">
        <v>74</v>
      </c>
      <c r="BI133" s="1">
        <v>2</v>
      </c>
      <c r="BJ133" s="1" t="s">
        <v>311</v>
      </c>
      <c r="BK133" s="1" t="s">
        <v>101</v>
      </c>
      <c r="BL133" s="1" t="s">
        <v>102</v>
      </c>
      <c r="BM133" s="1" t="s">
        <v>2871</v>
      </c>
      <c r="BN133" s="1">
        <v>21555523</v>
      </c>
      <c r="BO133" s="1" t="s">
        <v>74</v>
      </c>
      <c r="BP133" s="1" t="s">
        <v>74</v>
      </c>
      <c r="BQ133" s="1" t="s">
        <v>74</v>
      </c>
      <c r="BR133" s="1" t="s">
        <v>104</v>
      </c>
      <c r="BS133" s="1" t="s">
        <v>2872</v>
      </c>
      <c r="BT133" s="1" t="str">
        <f>HYPERLINK("https%3A%2F%2Fwww.webofscience.com%2Fwos%2Fwoscc%2Ffull-record%2FWOS:000294709200019","View Full Record in Web of Science")</f>
        <v>View Full Record in Web of Science</v>
      </c>
      <c r="BU133" s="1" t="s">
        <v>3776</v>
      </c>
      <c r="BV133" s="1" t="s">
        <v>10653</v>
      </c>
    </row>
    <row r="134" spans="1:75" ht="232" x14ac:dyDescent="0.35">
      <c r="A134" s="1" t="s">
        <v>72</v>
      </c>
      <c r="B134" s="1" t="s">
        <v>2873</v>
      </c>
      <c r="C134" s="1" t="s">
        <v>74</v>
      </c>
      <c r="D134" s="1" t="s">
        <v>74</v>
      </c>
      <c r="E134" s="1" t="s">
        <v>74</v>
      </c>
      <c r="F134" s="1" t="s">
        <v>2874</v>
      </c>
      <c r="G134" s="1" t="s">
        <v>74</v>
      </c>
      <c r="H134" s="1" t="s">
        <v>74</v>
      </c>
      <c r="I134" s="1" t="s">
        <v>2875</v>
      </c>
      <c r="J134" s="1" t="s">
        <v>1769</v>
      </c>
      <c r="K134" s="1" t="s">
        <v>74</v>
      </c>
      <c r="L134" s="1" t="s">
        <v>74</v>
      </c>
      <c r="M134" s="1" t="s">
        <v>78</v>
      </c>
      <c r="N134" s="1" t="s">
        <v>79</v>
      </c>
      <c r="O134" s="1" t="s">
        <v>74</v>
      </c>
      <c r="P134" s="1" t="s">
        <v>74</v>
      </c>
      <c r="Q134" s="1" t="s">
        <v>74</v>
      </c>
      <c r="R134" s="1" t="s">
        <v>74</v>
      </c>
      <c r="S134" s="1" t="s">
        <v>74</v>
      </c>
      <c r="T134" s="1" t="s">
        <v>2876</v>
      </c>
      <c r="U134" s="1" t="s">
        <v>2877</v>
      </c>
      <c r="V134" s="1" t="s">
        <v>2878</v>
      </c>
      <c r="W134" s="1" t="s">
        <v>2879</v>
      </c>
      <c r="X134" s="1" t="s">
        <v>2880</v>
      </c>
      <c r="Y134" s="1" t="s">
        <v>2881</v>
      </c>
      <c r="Z134" s="1" t="s">
        <v>2882</v>
      </c>
      <c r="AA134" s="1" t="s">
        <v>74</v>
      </c>
      <c r="AB134" s="1" t="s">
        <v>74</v>
      </c>
      <c r="AC134" s="1" t="s">
        <v>74</v>
      </c>
      <c r="AD134" s="1" t="s">
        <v>74</v>
      </c>
      <c r="AE134" s="1" t="s">
        <v>74</v>
      </c>
      <c r="AF134" s="1" t="s">
        <v>74</v>
      </c>
      <c r="AG134" s="1">
        <v>36</v>
      </c>
      <c r="AH134" s="1">
        <v>36</v>
      </c>
      <c r="AI134" s="1">
        <v>37</v>
      </c>
      <c r="AJ134" s="1">
        <v>1</v>
      </c>
      <c r="AK134" s="1">
        <v>20</v>
      </c>
      <c r="AL134" s="1" t="s">
        <v>144</v>
      </c>
      <c r="AM134" s="1" t="s">
        <v>145</v>
      </c>
      <c r="AN134" s="1" t="s">
        <v>146</v>
      </c>
      <c r="AO134" s="1" t="s">
        <v>1775</v>
      </c>
      <c r="AP134" s="1" t="s">
        <v>74</v>
      </c>
      <c r="AQ134" s="1" t="s">
        <v>74</v>
      </c>
      <c r="AR134" s="1" t="s">
        <v>1777</v>
      </c>
      <c r="AS134" s="1" t="s">
        <v>1778</v>
      </c>
      <c r="AT134" s="1" t="s">
        <v>151</v>
      </c>
      <c r="AU134" s="1">
        <v>2011</v>
      </c>
      <c r="AV134" s="1">
        <v>30</v>
      </c>
      <c r="AW134" s="1">
        <v>2</v>
      </c>
      <c r="AX134" s="1" t="s">
        <v>74</v>
      </c>
      <c r="AY134" s="1" t="s">
        <v>74</v>
      </c>
      <c r="AZ134" s="1" t="s">
        <v>74</v>
      </c>
      <c r="BA134" s="1" t="s">
        <v>74</v>
      </c>
      <c r="BB134" s="1">
        <v>212</v>
      </c>
      <c r="BC134" s="1">
        <v>223</v>
      </c>
      <c r="BD134" s="1" t="s">
        <v>74</v>
      </c>
      <c r="BE134" s="1" t="s">
        <v>2883</v>
      </c>
      <c r="BF134" s="1" t="str">
        <f>HYPERLINK("http://dx.doi.org/10.1177/0261927X10397152","http://dx.doi.org/10.1177/0261927X10397152")</f>
        <v>http://dx.doi.org/10.1177/0261927X10397152</v>
      </c>
      <c r="BG134" s="1" t="s">
        <v>74</v>
      </c>
      <c r="BH134" s="1" t="s">
        <v>74</v>
      </c>
      <c r="BI134" s="1">
        <v>12</v>
      </c>
      <c r="BJ134" s="1" t="s">
        <v>1780</v>
      </c>
      <c r="BK134" s="1" t="s">
        <v>101</v>
      </c>
      <c r="BL134" s="1" t="s">
        <v>1781</v>
      </c>
      <c r="BM134" s="1" t="s">
        <v>2884</v>
      </c>
      <c r="BN134" s="1" t="s">
        <v>74</v>
      </c>
      <c r="BO134" s="1" t="s">
        <v>74</v>
      </c>
      <c r="BP134" s="1" t="s">
        <v>74</v>
      </c>
      <c r="BQ134" s="1" t="s">
        <v>74</v>
      </c>
      <c r="BR134" s="1" t="s">
        <v>104</v>
      </c>
      <c r="BS134" s="1" t="s">
        <v>2885</v>
      </c>
      <c r="BT134" s="1" t="str">
        <f>HYPERLINK("https%3A%2F%2Fwww.webofscience.com%2Fwos%2Fwoscc%2Ffull-record%2FWOS:000290277100006","View Full Record in Web of Science")</f>
        <v>View Full Record in Web of Science</v>
      </c>
      <c r="BU134" s="1" t="s">
        <v>3776</v>
      </c>
      <c r="BV134" s="1" t="s">
        <v>10653</v>
      </c>
    </row>
    <row r="135" spans="1:75" ht="43.5" x14ac:dyDescent="0.35">
      <c r="A135" s="1" t="s">
        <v>72</v>
      </c>
      <c r="B135" s="1" t="s">
        <v>2886</v>
      </c>
      <c r="C135" s="1" t="s">
        <v>74</v>
      </c>
      <c r="D135" s="1" t="s">
        <v>74</v>
      </c>
      <c r="E135" s="1" t="s">
        <v>74</v>
      </c>
      <c r="F135" s="1" t="s">
        <v>2887</v>
      </c>
      <c r="G135" s="1" t="s">
        <v>74</v>
      </c>
      <c r="H135" s="1" t="s">
        <v>74</v>
      </c>
      <c r="I135" s="1" t="s">
        <v>2888</v>
      </c>
      <c r="J135" s="1" t="s">
        <v>301</v>
      </c>
      <c r="K135" s="1" t="s">
        <v>74</v>
      </c>
      <c r="L135" s="1" t="s">
        <v>74</v>
      </c>
      <c r="M135" s="1" t="s">
        <v>78</v>
      </c>
      <c r="N135" s="1" t="s">
        <v>1352</v>
      </c>
      <c r="O135" s="1" t="s">
        <v>74</v>
      </c>
      <c r="P135" s="1" t="s">
        <v>74</v>
      </c>
      <c r="Q135" s="1" t="s">
        <v>74</v>
      </c>
      <c r="R135" s="1" t="s">
        <v>74</v>
      </c>
      <c r="S135" s="1" t="s">
        <v>74</v>
      </c>
      <c r="T135" s="1" t="s">
        <v>74</v>
      </c>
      <c r="U135" s="1" t="s">
        <v>74</v>
      </c>
      <c r="V135" s="1" t="s">
        <v>74</v>
      </c>
      <c r="W135" s="1" t="s">
        <v>2889</v>
      </c>
      <c r="X135" s="1" t="s">
        <v>2890</v>
      </c>
      <c r="Y135" s="1" t="s">
        <v>2891</v>
      </c>
      <c r="Z135" s="1" t="s">
        <v>2892</v>
      </c>
      <c r="AA135" s="1" t="s">
        <v>2893</v>
      </c>
      <c r="AB135" s="1" t="s">
        <v>2894</v>
      </c>
      <c r="AC135" s="1" t="s">
        <v>74</v>
      </c>
      <c r="AD135" s="1" t="s">
        <v>74</v>
      </c>
      <c r="AE135" s="1" t="s">
        <v>74</v>
      </c>
      <c r="AF135" s="1" t="s">
        <v>74</v>
      </c>
      <c r="AG135" s="1">
        <v>4</v>
      </c>
      <c r="AH135" s="1">
        <v>24</v>
      </c>
      <c r="AI135" s="1">
        <v>24</v>
      </c>
      <c r="AJ135" s="1">
        <v>0</v>
      </c>
      <c r="AK135" s="1">
        <v>6</v>
      </c>
      <c r="AL135" s="1" t="s">
        <v>144</v>
      </c>
      <c r="AM135" s="1" t="s">
        <v>145</v>
      </c>
      <c r="AN135" s="1" t="s">
        <v>146</v>
      </c>
      <c r="AO135" s="1" t="s">
        <v>306</v>
      </c>
      <c r="AP135" s="1" t="s">
        <v>307</v>
      </c>
      <c r="AQ135" s="1" t="s">
        <v>74</v>
      </c>
      <c r="AR135" s="1" t="s">
        <v>308</v>
      </c>
      <c r="AS135" s="1" t="s">
        <v>309</v>
      </c>
      <c r="AT135" s="1" t="s">
        <v>151</v>
      </c>
      <c r="AU135" s="1">
        <v>2011</v>
      </c>
      <c r="AV135" s="1">
        <v>22</v>
      </c>
      <c r="AW135" s="1">
        <v>6</v>
      </c>
      <c r="AX135" s="1" t="s">
        <v>74</v>
      </c>
      <c r="AY135" s="1" t="s">
        <v>74</v>
      </c>
      <c r="AZ135" s="1" t="s">
        <v>74</v>
      </c>
      <c r="BA135" s="1" t="s">
        <v>74</v>
      </c>
      <c r="BB135" s="1">
        <v>837</v>
      </c>
      <c r="BC135" s="1">
        <v>838</v>
      </c>
      <c r="BD135" s="1" t="s">
        <v>74</v>
      </c>
      <c r="BE135" s="1" t="s">
        <v>2895</v>
      </c>
      <c r="BF135" s="1" t="str">
        <f>HYPERLINK("http://dx.doi.org/10.1177/0956797611409592","http://dx.doi.org/10.1177/0956797611409592")</f>
        <v>http://dx.doi.org/10.1177/0956797611409592</v>
      </c>
      <c r="BG135" s="1" t="s">
        <v>74</v>
      </c>
      <c r="BH135" s="1" t="s">
        <v>74</v>
      </c>
      <c r="BI135" s="1">
        <v>2</v>
      </c>
      <c r="BJ135" s="1" t="s">
        <v>311</v>
      </c>
      <c r="BK135" s="1" t="s">
        <v>101</v>
      </c>
      <c r="BL135" s="1" t="s">
        <v>102</v>
      </c>
      <c r="BM135" s="1" t="s">
        <v>2871</v>
      </c>
      <c r="BN135" s="1" t="s">
        <v>74</v>
      </c>
      <c r="BO135" s="1" t="s">
        <v>74</v>
      </c>
      <c r="BP135" s="1" t="s">
        <v>74</v>
      </c>
      <c r="BQ135" s="1" t="s">
        <v>74</v>
      </c>
      <c r="BR135" s="1" t="s">
        <v>104</v>
      </c>
      <c r="BS135" s="1" t="s">
        <v>2896</v>
      </c>
      <c r="BT135" s="1" t="str">
        <f>HYPERLINK("https%3A%2F%2Fwww.webofscience.com%2Fwos%2Fwoscc%2Ffull-record%2FWOS:000294709200020","View Full Record in Web of Science")</f>
        <v>View Full Record in Web of Science</v>
      </c>
      <c r="BU135" s="1" t="s">
        <v>3776</v>
      </c>
      <c r="BV135" s="1" t="s">
        <v>10653</v>
      </c>
    </row>
    <row r="136" spans="1:75" ht="348" x14ac:dyDescent="0.35">
      <c r="A136" s="1" t="s">
        <v>72</v>
      </c>
      <c r="B136" s="1" t="s">
        <v>2897</v>
      </c>
      <c r="C136" s="1" t="s">
        <v>74</v>
      </c>
      <c r="D136" s="1" t="s">
        <v>74</v>
      </c>
      <c r="E136" s="1" t="s">
        <v>74</v>
      </c>
      <c r="F136" s="1" t="s">
        <v>2898</v>
      </c>
      <c r="G136" s="1" t="s">
        <v>74</v>
      </c>
      <c r="H136" s="1" t="s">
        <v>74</v>
      </c>
      <c r="I136" s="1" t="s">
        <v>2899</v>
      </c>
      <c r="J136" s="1" t="s">
        <v>2900</v>
      </c>
      <c r="K136" s="1" t="s">
        <v>74</v>
      </c>
      <c r="L136" s="1" t="s">
        <v>74</v>
      </c>
      <c r="M136" s="1" t="s">
        <v>78</v>
      </c>
      <c r="N136" s="1" t="s">
        <v>79</v>
      </c>
      <c r="O136" s="1" t="s">
        <v>74</v>
      </c>
      <c r="P136" s="1" t="s">
        <v>74</v>
      </c>
      <c r="Q136" s="1" t="s">
        <v>74</v>
      </c>
      <c r="R136" s="1" t="s">
        <v>74</v>
      </c>
      <c r="S136" s="1" t="s">
        <v>74</v>
      </c>
      <c r="T136" s="1" t="s">
        <v>74</v>
      </c>
      <c r="U136" s="1" t="s">
        <v>74</v>
      </c>
      <c r="V136" s="1" t="s">
        <v>2901</v>
      </c>
      <c r="W136" s="1" t="s">
        <v>2902</v>
      </c>
      <c r="X136" s="1" t="s">
        <v>2903</v>
      </c>
      <c r="Y136" s="1" t="s">
        <v>2904</v>
      </c>
      <c r="Z136" s="1" t="s">
        <v>2905</v>
      </c>
      <c r="AA136" s="1" t="s">
        <v>74</v>
      </c>
      <c r="AB136" s="1" t="s">
        <v>74</v>
      </c>
      <c r="AC136" s="1" t="s">
        <v>74</v>
      </c>
      <c r="AD136" s="1" t="s">
        <v>74</v>
      </c>
      <c r="AE136" s="1" t="s">
        <v>74</v>
      </c>
      <c r="AF136" s="1" t="s">
        <v>74</v>
      </c>
      <c r="AG136" s="1">
        <v>124</v>
      </c>
      <c r="AH136" s="1">
        <v>143</v>
      </c>
      <c r="AI136" s="1">
        <v>144</v>
      </c>
      <c r="AJ136" s="1">
        <v>0</v>
      </c>
      <c r="AK136" s="1">
        <v>40</v>
      </c>
      <c r="AL136" s="1" t="s">
        <v>144</v>
      </c>
      <c r="AM136" s="1" t="s">
        <v>145</v>
      </c>
      <c r="AN136" s="1" t="s">
        <v>146</v>
      </c>
      <c r="AO136" s="1" t="s">
        <v>2906</v>
      </c>
      <c r="AP136" s="1" t="s">
        <v>2907</v>
      </c>
      <c r="AQ136" s="1" t="s">
        <v>74</v>
      </c>
      <c r="AR136" s="1" t="s">
        <v>2908</v>
      </c>
      <c r="AS136" s="1" t="s">
        <v>2909</v>
      </c>
      <c r="AT136" s="1" t="s">
        <v>363</v>
      </c>
      <c r="AU136" s="1">
        <v>2011</v>
      </c>
      <c r="AV136" s="1">
        <v>29</v>
      </c>
      <c r="AW136" s="1">
        <v>1</v>
      </c>
      <c r="AX136" s="1" t="s">
        <v>74</v>
      </c>
      <c r="AY136" s="1" t="s">
        <v>74</v>
      </c>
      <c r="AZ136" s="1" t="s">
        <v>74</v>
      </c>
      <c r="BA136" s="1" t="s">
        <v>74</v>
      </c>
      <c r="BB136" s="1">
        <v>54</v>
      </c>
      <c r="BC136" s="1">
        <v>73</v>
      </c>
      <c r="BD136" s="1" t="s">
        <v>74</v>
      </c>
      <c r="BE136" s="1" t="s">
        <v>2910</v>
      </c>
      <c r="BF136" s="1" t="str">
        <f>HYPERLINK("http://dx.doi.org/10.1111/j.1467-9558.2010.01387.x","http://dx.doi.org/10.1111/j.1467-9558.2010.01387.x")</f>
        <v>http://dx.doi.org/10.1111/j.1467-9558.2010.01387.x</v>
      </c>
      <c r="BG136" s="1" t="s">
        <v>74</v>
      </c>
      <c r="BH136" s="1" t="s">
        <v>74</v>
      </c>
      <c r="BI136" s="1">
        <v>20</v>
      </c>
      <c r="BJ136" s="1" t="s">
        <v>365</v>
      </c>
      <c r="BK136" s="1" t="s">
        <v>101</v>
      </c>
      <c r="BL136" s="1" t="s">
        <v>365</v>
      </c>
      <c r="BM136" s="1" t="s">
        <v>2911</v>
      </c>
      <c r="BN136" s="1" t="s">
        <v>74</v>
      </c>
      <c r="BO136" s="1" t="s">
        <v>156</v>
      </c>
      <c r="BP136" s="1" t="s">
        <v>74</v>
      </c>
      <c r="BQ136" s="1" t="s">
        <v>74</v>
      </c>
      <c r="BR136" s="1" t="s">
        <v>104</v>
      </c>
      <c r="BS136" s="1" t="s">
        <v>2912</v>
      </c>
      <c r="BT136" s="1" t="str">
        <f>HYPERLINK("https%3A%2F%2Fwww.webofscience.com%2Fwos%2Fwoscc%2Ffull-record%2FWOS:000287530200003","View Full Record in Web of Science")</f>
        <v>View Full Record in Web of Science</v>
      </c>
      <c r="BU136" s="1" t="s">
        <v>3776</v>
      </c>
      <c r="BV136" s="1" t="s">
        <v>10653</v>
      </c>
    </row>
    <row r="137" spans="1:75" ht="409.5" x14ac:dyDescent="0.35">
      <c r="A137" s="1" t="s">
        <v>72</v>
      </c>
      <c r="B137" s="1" t="s">
        <v>396</v>
      </c>
      <c r="C137" s="1" t="s">
        <v>74</v>
      </c>
      <c r="D137" s="1" t="s">
        <v>74</v>
      </c>
      <c r="E137" s="1" t="s">
        <v>74</v>
      </c>
      <c r="F137" s="1" t="s">
        <v>397</v>
      </c>
      <c r="G137" s="1" t="s">
        <v>74</v>
      </c>
      <c r="H137" s="1" t="s">
        <v>74</v>
      </c>
      <c r="I137" s="1" t="s">
        <v>398</v>
      </c>
      <c r="J137" s="1" t="s">
        <v>399</v>
      </c>
      <c r="K137" s="1" t="s">
        <v>74</v>
      </c>
      <c r="L137" s="1" t="s">
        <v>74</v>
      </c>
      <c r="M137" s="1" t="s">
        <v>78</v>
      </c>
      <c r="N137" s="1" t="s">
        <v>79</v>
      </c>
      <c r="O137" s="1" t="s">
        <v>74</v>
      </c>
      <c r="P137" s="1" t="s">
        <v>74</v>
      </c>
      <c r="Q137" s="1" t="s">
        <v>74</v>
      </c>
      <c r="R137" s="1" t="s">
        <v>74</v>
      </c>
      <c r="S137" s="1" t="s">
        <v>74</v>
      </c>
      <c r="T137" s="1" t="s">
        <v>400</v>
      </c>
      <c r="U137" s="1" t="s">
        <v>401</v>
      </c>
      <c r="V137" s="1" t="s">
        <v>402</v>
      </c>
      <c r="W137" s="1" t="s">
        <v>403</v>
      </c>
      <c r="X137" s="1" t="s">
        <v>404</v>
      </c>
      <c r="Y137" s="1" t="s">
        <v>405</v>
      </c>
      <c r="Z137" s="1" t="s">
        <v>406</v>
      </c>
      <c r="AA137" s="1" t="s">
        <v>407</v>
      </c>
      <c r="AB137" s="1" t="s">
        <v>408</v>
      </c>
      <c r="AC137" s="1" t="s">
        <v>74</v>
      </c>
      <c r="AD137" s="1" t="s">
        <v>74</v>
      </c>
      <c r="AE137" s="1" t="s">
        <v>74</v>
      </c>
      <c r="AF137" s="1" t="s">
        <v>74</v>
      </c>
      <c r="AG137" s="1">
        <v>51</v>
      </c>
      <c r="AH137" s="1">
        <v>1220</v>
      </c>
      <c r="AI137" s="1">
        <v>1275</v>
      </c>
      <c r="AJ137" s="1">
        <v>25</v>
      </c>
      <c r="AK137" s="1">
        <v>184</v>
      </c>
      <c r="AL137" s="1" t="s">
        <v>409</v>
      </c>
      <c r="AM137" s="1" t="s">
        <v>410</v>
      </c>
      <c r="AN137" s="1" t="s">
        <v>411</v>
      </c>
      <c r="AO137" s="1" t="s">
        <v>412</v>
      </c>
      <c r="AP137" s="1" t="s">
        <v>74</v>
      </c>
      <c r="AQ137" s="1" t="s">
        <v>74</v>
      </c>
      <c r="AR137" s="1" t="s">
        <v>413</v>
      </c>
      <c r="AS137" s="1" t="s">
        <v>414</v>
      </c>
      <c r="AT137" s="1" t="s">
        <v>363</v>
      </c>
      <c r="AU137" s="1">
        <v>2011</v>
      </c>
      <c r="AV137" s="1">
        <v>2</v>
      </c>
      <c r="AW137" s="1">
        <v>1</v>
      </c>
      <c r="AX137" s="1" t="s">
        <v>74</v>
      </c>
      <c r="AY137" s="1" t="s">
        <v>74</v>
      </c>
      <c r="AZ137" s="1" t="s">
        <v>74</v>
      </c>
      <c r="BA137" s="1" t="s">
        <v>74</v>
      </c>
      <c r="BB137" s="1">
        <v>1</v>
      </c>
      <c r="BC137" s="1">
        <v>8</v>
      </c>
      <c r="BD137" s="1" t="s">
        <v>74</v>
      </c>
      <c r="BE137" s="1" t="s">
        <v>415</v>
      </c>
      <c r="BF137" s="1" t="str">
        <f>HYPERLINK("http://dx.doi.org/10.1016/j.jocs.2010.12.007","http://dx.doi.org/10.1016/j.jocs.2010.12.007")</f>
        <v>http://dx.doi.org/10.1016/j.jocs.2010.12.007</v>
      </c>
      <c r="BG137" s="1" t="s">
        <v>74</v>
      </c>
      <c r="BH137" s="1" t="s">
        <v>74</v>
      </c>
      <c r="BI137" s="1">
        <v>8</v>
      </c>
      <c r="BJ137" s="1" t="s">
        <v>416</v>
      </c>
      <c r="BK137" s="1" t="s">
        <v>129</v>
      </c>
      <c r="BL137" s="1" t="s">
        <v>417</v>
      </c>
      <c r="BM137" s="1" t="s">
        <v>418</v>
      </c>
      <c r="BN137" s="1" t="s">
        <v>74</v>
      </c>
      <c r="BO137" s="1" t="s">
        <v>156</v>
      </c>
      <c r="BP137" s="1" t="s">
        <v>74</v>
      </c>
      <c r="BQ137" s="1" t="s">
        <v>74</v>
      </c>
      <c r="BR137" s="1" t="s">
        <v>104</v>
      </c>
      <c r="BS137" s="1" t="s">
        <v>419</v>
      </c>
      <c r="BT137" s="1" t="str">
        <f>HYPERLINK("https%3A%2F%2Fwww.webofscience.com%2Fwos%2Fwoscc%2Ffull-record%2FWOS:000208808100001","View Full Record in Web of Science")</f>
        <v>View Full Record in Web of Science</v>
      </c>
      <c r="BU137" s="1" t="s">
        <v>3776</v>
      </c>
      <c r="BV137" s="1" t="s">
        <v>10653</v>
      </c>
    </row>
    <row r="138" spans="1:75" ht="246.5" x14ac:dyDescent="0.35">
      <c r="A138" s="1" t="s">
        <v>72</v>
      </c>
      <c r="B138" s="1" t="s">
        <v>2913</v>
      </c>
      <c r="C138" s="1" t="s">
        <v>74</v>
      </c>
      <c r="D138" s="1" t="s">
        <v>74</v>
      </c>
      <c r="E138" s="1" t="s">
        <v>74</v>
      </c>
      <c r="F138" s="1" t="s">
        <v>2914</v>
      </c>
      <c r="G138" s="1" t="s">
        <v>74</v>
      </c>
      <c r="H138" s="1" t="s">
        <v>74</v>
      </c>
      <c r="I138" s="1" t="s">
        <v>2915</v>
      </c>
      <c r="J138" s="1" t="s">
        <v>2916</v>
      </c>
      <c r="K138" s="1" t="s">
        <v>74</v>
      </c>
      <c r="L138" s="1" t="s">
        <v>74</v>
      </c>
      <c r="M138" s="1" t="s">
        <v>78</v>
      </c>
      <c r="N138" s="1" t="s">
        <v>79</v>
      </c>
      <c r="O138" s="1" t="s">
        <v>74</v>
      </c>
      <c r="P138" s="1" t="s">
        <v>74</v>
      </c>
      <c r="Q138" s="1" t="s">
        <v>74</v>
      </c>
      <c r="R138" s="1" t="s">
        <v>74</v>
      </c>
      <c r="S138" s="1" t="s">
        <v>74</v>
      </c>
      <c r="T138" s="1" t="s">
        <v>2917</v>
      </c>
      <c r="U138" s="1" t="s">
        <v>2918</v>
      </c>
      <c r="V138" s="1" t="s">
        <v>2919</v>
      </c>
      <c r="W138" s="1" t="s">
        <v>2920</v>
      </c>
      <c r="X138" s="1" t="s">
        <v>716</v>
      </c>
      <c r="Y138" s="1" t="s">
        <v>2921</v>
      </c>
      <c r="Z138" s="1" t="s">
        <v>2922</v>
      </c>
      <c r="AA138" s="1" t="s">
        <v>74</v>
      </c>
      <c r="AB138" s="1" t="s">
        <v>2923</v>
      </c>
      <c r="AC138" s="1" t="s">
        <v>74</v>
      </c>
      <c r="AD138" s="1" t="s">
        <v>74</v>
      </c>
      <c r="AE138" s="1" t="s">
        <v>74</v>
      </c>
      <c r="AF138" s="1" t="s">
        <v>74</v>
      </c>
      <c r="AG138" s="1">
        <v>51</v>
      </c>
      <c r="AH138" s="1">
        <v>1843</v>
      </c>
      <c r="AI138" s="1">
        <v>1870</v>
      </c>
      <c r="AJ138" s="1">
        <v>54</v>
      </c>
      <c r="AK138" s="1">
        <v>748</v>
      </c>
      <c r="AL138" s="1" t="s">
        <v>1886</v>
      </c>
      <c r="AM138" s="1" t="s">
        <v>121</v>
      </c>
      <c r="AN138" s="1" t="s">
        <v>1887</v>
      </c>
      <c r="AO138" s="1" t="s">
        <v>2924</v>
      </c>
      <c r="AP138" s="1" t="s">
        <v>2925</v>
      </c>
      <c r="AQ138" s="1" t="s">
        <v>74</v>
      </c>
      <c r="AR138" s="1" t="s">
        <v>2926</v>
      </c>
      <c r="AS138" s="1" t="s">
        <v>2927</v>
      </c>
      <c r="AT138" s="1" t="s">
        <v>177</v>
      </c>
      <c r="AU138" s="1">
        <v>2011</v>
      </c>
      <c r="AV138" s="1">
        <v>13</v>
      </c>
      <c r="AW138" s="1">
        <v>1</v>
      </c>
      <c r="AX138" s="1" t="s">
        <v>74</v>
      </c>
      <c r="AY138" s="1" t="s">
        <v>74</v>
      </c>
      <c r="AZ138" s="1" t="s">
        <v>74</v>
      </c>
      <c r="BA138" s="1" t="s">
        <v>74</v>
      </c>
      <c r="BB138" s="1">
        <v>114</v>
      </c>
      <c r="BC138" s="1">
        <v>133</v>
      </c>
      <c r="BD138" s="1" t="s">
        <v>74</v>
      </c>
      <c r="BE138" s="1" t="s">
        <v>2928</v>
      </c>
      <c r="BF138" s="1" t="str">
        <f>HYPERLINK("http://dx.doi.org/10.1177/1461444810365313","http://dx.doi.org/10.1177/1461444810365313")</f>
        <v>http://dx.doi.org/10.1177/1461444810365313</v>
      </c>
      <c r="BG138" s="1" t="s">
        <v>74</v>
      </c>
      <c r="BH138" s="1" t="s">
        <v>74</v>
      </c>
      <c r="BI138" s="1">
        <v>20</v>
      </c>
      <c r="BJ138" s="1" t="s">
        <v>1016</v>
      </c>
      <c r="BK138" s="1" t="s">
        <v>101</v>
      </c>
      <c r="BL138" s="1" t="s">
        <v>1016</v>
      </c>
      <c r="BM138" s="1" t="s">
        <v>2929</v>
      </c>
      <c r="BN138" s="1" t="s">
        <v>74</v>
      </c>
      <c r="BO138" s="1" t="s">
        <v>74</v>
      </c>
      <c r="BP138" s="1" t="s">
        <v>74</v>
      </c>
      <c r="BQ138" s="1" t="s">
        <v>74</v>
      </c>
      <c r="BR138" s="1" t="s">
        <v>104</v>
      </c>
      <c r="BS138" s="1" t="s">
        <v>2930</v>
      </c>
      <c r="BT138" s="1" t="str">
        <f>HYPERLINK("https%3A%2F%2Fwww.webofscience.com%2Fwos%2Fwoscc%2Ffull-record%2FWOS:000287517600008","View Full Record in Web of Science")</f>
        <v>View Full Record in Web of Science</v>
      </c>
      <c r="BU138" s="1" t="s">
        <v>3776</v>
      </c>
      <c r="BV138" s="1" t="s">
        <v>10653</v>
      </c>
    </row>
    <row r="139" spans="1:75" ht="333.5" x14ac:dyDescent="0.35">
      <c r="A139" s="1" t="s">
        <v>72</v>
      </c>
      <c r="B139" s="1" t="s">
        <v>2931</v>
      </c>
      <c r="C139" s="1" t="s">
        <v>74</v>
      </c>
      <c r="D139" s="1" t="s">
        <v>74</v>
      </c>
      <c r="E139" s="1" t="s">
        <v>74</v>
      </c>
      <c r="F139" s="1" t="s">
        <v>2932</v>
      </c>
      <c r="G139" s="1" t="s">
        <v>74</v>
      </c>
      <c r="H139" s="1" t="s">
        <v>74</v>
      </c>
      <c r="I139" s="1" t="s">
        <v>2933</v>
      </c>
      <c r="J139" s="1" t="s">
        <v>161</v>
      </c>
      <c r="K139" s="1" t="s">
        <v>74</v>
      </c>
      <c r="L139" s="1" t="s">
        <v>74</v>
      </c>
      <c r="M139" s="1" t="s">
        <v>78</v>
      </c>
      <c r="N139" s="1" t="s">
        <v>79</v>
      </c>
      <c r="O139" s="1" t="s">
        <v>74</v>
      </c>
      <c r="P139" s="1" t="s">
        <v>74</v>
      </c>
      <c r="Q139" s="1" t="s">
        <v>74</v>
      </c>
      <c r="R139" s="1" t="s">
        <v>74</v>
      </c>
      <c r="S139" s="1" t="s">
        <v>74</v>
      </c>
      <c r="T139" s="1" t="s">
        <v>74</v>
      </c>
      <c r="U139" s="1" t="s">
        <v>2934</v>
      </c>
      <c r="V139" s="1" t="s">
        <v>2935</v>
      </c>
      <c r="W139" s="1" t="s">
        <v>2936</v>
      </c>
      <c r="X139" s="1" t="s">
        <v>2937</v>
      </c>
      <c r="Y139" s="1" t="s">
        <v>2938</v>
      </c>
      <c r="Z139" s="1" t="s">
        <v>2939</v>
      </c>
      <c r="AA139" s="1" t="s">
        <v>2940</v>
      </c>
      <c r="AB139" s="1" t="s">
        <v>2941</v>
      </c>
      <c r="AC139" s="1" t="s">
        <v>74</v>
      </c>
      <c r="AD139" s="1" t="s">
        <v>74</v>
      </c>
      <c r="AE139" s="1" t="s">
        <v>74</v>
      </c>
      <c r="AF139" s="1" t="s">
        <v>74</v>
      </c>
      <c r="AG139" s="1">
        <v>78</v>
      </c>
      <c r="AH139" s="1">
        <v>191</v>
      </c>
      <c r="AI139" s="1">
        <v>196</v>
      </c>
      <c r="AJ139" s="1">
        <v>1</v>
      </c>
      <c r="AK139" s="1">
        <v>44</v>
      </c>
      <c r="AL139" s="1" t="s">
        <v>170</v>
      </c>
      <c r="AM139" s="1" t="s">
        <v>171</v>
      </c>
      <c r="AN139" s="1" t="s">
        <v>172</v>
      </c>
      <c r="AO139" s="1" t="s">
        <v>173</v>
      </c>
      <c r="AP139" s="1" t="s">
        <v>174</v>
      </c>
      <c r="AQ139" s="1" t="s">
        <v>74</v>
      </c>
      <c r="AR139" s="1" t="s">
        <v>175</v>
      </c>
      <c r="AS139" s="1" t="s">
        <v>176</v>
      </c>
      <c r="AT139" s="1" t="s">
        <v>177</v>
      </c>
      <c r="AU139" s="1">
        <v>2011</v>
      </c>
      <c r="AV139" s="1">
        <v>37</v>
      </c>
      <c r="AW139" s="1">
        <v>5</v>
      </c>
      <c r="AX139" s="1" t="s">
        <v>74</v>
      </c>
      <c r="AY139" s="1" t="s">
        <v>74</v>
      </c>
      <c r="AZ139" s="1" t="s">
        <v>74</v>
      </c>
      <c r="BA139" s="1" t="s">
        <v>74</v>
      </c>
      <c r="BB139" s="1">
        <v>791</v>
      </c>
      <c r="BC139" s="1">
        <v>806</v>
      </c>
      <c r="BD139" s="1" t="s">
        <v>74</v>
      </c>
      <c r="BE139" s="1" t="s">
        <v>2942</v>
      </c>
      <c r="BF139" s="1" t="str">
        <f>HYPERLINK("http://dx.doi.org/10.1086/656389","http://dx.doi.org/10.1086/656389")</f>
        <v>http://dx.doi.org/10.1086/656389</v>
      </c>
      <c r="BG139" s="1" t="s">
        <v>74</v>
      </c>
      <c r="BH139" s="1" t="s">
        <v>74</v>
      </c>
      <c r="BI139" s="1">
        <v>16</v>
      </c>
      <c r="BJ139" s="1" t="s">
        <v>153</v>
      </c>
      <c r="BK139" s="1" t="s">
        <v>101</v>
      </c>
      <c r="BL139" s="1" t="s">
        <v>154</v>
      </c>
      <c r="BM139" s="1" t="s">
        <v>2943</v>
      </c>
      <c r="BN139" s="1" t="s">
        <v>74</v>
      </c>
      <c r="BO139" s="1" t="s">
        <v>74</v>
      </c>
      <c r="BP139" s="1" t="s">
        <v>74</v>
      </c>
      <c r="BQ139" s="1" t="s">
        <v>74</v>
      </c>
      <c r="BR139" s="1" t="s">
        <v>104</v>
      </c>
      <c r="BS139" s="1" t="s">
        <v>2944</v>
      </c>
      <c r="BT139" s="1" t="str">
        <f>HYPERLINK("https%3A%2F%2Fwww.webofscience.com%2Fwos%2Fwoscc%2Ffull-record%2FWOS:000286373300005","View Full Record in Web of Science")</f>
        <v>View Full Record in Web of Science</v>
      </c>
      <c r="BU139" s="1" t="s">
        <v>3776</v>
      </c>
      <c r="BV139" s="1" t="s">
        <v>6080</v>
      </c>
      <c r="BW139" s="1" t="s">
        <v>10653</v>
      </c>
    </row>
    <row r="140" spans="1:75" ht="409.5" x14ac:dyDescent="0.35">
      <c r="A140" s="1" t="s">
        <v>72</v>
      </c>
      <c r="B140" s="1" t="s">
        <v>2945</v>
      </c>
      <c r="C140" s="1" t="s">
        <v>74</v>
      </c>
      <c r="D140" s="1" t="s">
        <v>74</v>
      </c>
      <c r="E140" s="1" t="s">
        <v>74</v>
      </c>
      <c r="F140" s="1" t="s">
        <v>2946</v>
      </c>
      <c r="G140" s="1" t="s">
        <v>74</v>
      </c>
      <c r="H140" s="1" t="s">
        <v>2947</v>
      </c>
      <c r="I140" s="1" t="s">
        <v>2948</v>
      </c>
      <c r="J140" s="1" t="s">
        <v>1685</v>
      </c>
      <c r="K140" s="1" t="s">
        <v>74</v>
      </c>
      <c r="L140" s="1" t="s">
        <v>74</v>
      </c>
      <c r="M140" s="1" t="s">
        <v>78</v>
      </c>
      <c r="N140" s="1" t="s">
        <v>79</v>
      </c>
      <c r="O140" s="1" t="s">
        <v>74</v>
      </c>
      <c r="P140" s="1" t="s">
        <v>74</v>
      </c>
      <c r="Q140" s="1" t="s">
        <v>74</v>
      </c>
      <c r="R140" s="1" t="s">
        <v>74</v>
      </c>
      <c r="S140" s="1" t="s">
        <v>74</v>
      </c>
      <c r="T140" s="1" t="s">
        <v>74</v>
      </c>
      <c r="U140" s="1" t="s">
        <v>74</v>
      </c>
      <c r="V140" s="1" t="s">
        <v>2949</v>
      </c>
      <c r="W140" s="1" t="s">
        <v>2950</v>
      </c>
      <c r="X140" s="1" t="s">
        <v>2951</v>
      </c>
      <c r="Y140" s="1" t="s">
        <v>2952</v>
      </c>
      <c r="Z140" s="1" t="s">
        <v>2953</v>
      </c>
      <c r="AA140" s="1" t="s">
        <v>2954</v>
      </c>
      <c r="AB140" s="1" t="s">
        <v>2955</v>
      </c>
      <c r="AC140" s="1" t="s">
        <v>2956</v>
      </c>
      <c r="AD140" s="1" t="s">
        <v>2957</v>
      </c>
      <c r="AE140" s="1" t="s">
        <v>2958</v>
      </c>
      <c r="AF140" s="1" t="s">
        <v>74</v>
      </c>
      <c r="AG140" s="1">
        <v>28</v>
      </c>
      <c r="AH140" s="1">
        <v>1378</v>
      </c>
      <c r="AI140" s="1">
        <v>1408</v>
      </c>
      <c r="AJ140" s="1">
        <v>22</v>
      </c>
      <c r="AK140" s="1">
        <v>441</v>
      </c>
      <c r="AL140" s="1" t="s">
        <v>1694</v>
      </c>
      <c r="AM140" s="1" t="s">
        <v>92</v>
      </c>
      <c r="AN140" s="1" t="s">
        <v>1695</v>
      </c>
      <c r="AO140" s="1" t="s">
        <v>1696</v>
      </c>
      <c r="AP140" s="1" t="s">
        <v>74</v>
      </c>
      <c r="AQ140" s="1" t="s">
        <v>74</v>
      </c>
      <c r="AR140" s="1" t="s">
        <v>1685</v>
      </c>
      <c r="AS140" s="1" t="s">
        <v>1698</v>
      </c>
      <c r="AT140" s="1" t="s">
        <v>2959</v>
      </c>
      <c r="AU140" s="1">
        <v>2011</v>
      </c>
      <c r="AV140" s="1">
        <v>331</v>
      </c>
      <c r="AW140" s="1">
        <v>6014</v>
      </c>
      <c r="AX140" s="1" t="s">
        <v>74</v>
      </c>
      <c r="AY140" s="1" t="s">
        <v>74</v>
      </c>
      <c r="AZ140" s="1" t="s">
        <v>74</v>
      </c>
      <c r="BA140" s="1" t="s">
        <v>74</v>
      </c>
      <c r="BB140" s="1">
        <v>176</v>
      </c>
      <c r="BC140" s="1">
        <v>182</v>
      </c>
      <c r="BD140" s="1" t="s">
        <v>74</v>
      </c>
      <c r="BE140" s="1" t="s">
        <v>2960</v>
      </c>
      <c r="BF140" s="1" t="str">
        <f>HYPERLINK("http://dx.doi.org/10.1126/science.1199644","http://dx.doi.org/10.1126/science.1199644")</f>
        <v>http://dx.doi.org/10.1126/science.1199644</v>
      </c>
      <c r="BG140" s="1" t="s">
        <v>74</v>
      </c>
      <c r="BH140" s="1" t="s">
        <v>74</v>
      </c>
      <c r="BI140" s="1">
        <v>7</v>
      </c>
      <c r="BJ140" s="1" t="s">
        <v>561</v>
      </c>
      <c r="BK140" s="1" t="s">
        <v>129</v>
      </c>
      <c r="BL140" s="1" t="s">
        <v>562</v>
      </c>
      <c r="BM140" s="1" t="s">
        <v>2961</v>
      </c>
      <c r="BN140" s="1">
        <v>21163965</v>
      </c>
      <c r="BO140" s="1" t="s">
        <v>828</v>
      </c>
      <c r="BP140" s="1" t="s">
        <v>74</v>
      </c>
      <c r="BQ140" s="1" t="s">
        <v>74</v>
      </c>
      <c r="BR140" s="1" t="s">
        <v>104</v>
      </c>
      <c r="BS140" s="1" t="s">
        <v>2962</v>
      </c>
      <c r="BT140" s="1" t="str">
        <f>HYPERLINK("https%3A%2F%2Fwww.webofscience.com%2Fwos%2Fwoscc%2Ffull-record%2FWOS:000286433100032","View Full Record in Web of Science")</f>
        <v>View Full Record in Web of Science</v>
      </c>
      <c r="BU140" s="1" t="s">
        <v>3776</v>
      </c>
      <c r="BV140" s="1" t="s">
        <v>10653</v>
      </c>
    </row>
    <row r="141" spans="1:75" ht="290" x14ac:dyDescent="0.35">
      <c r="A141" s="1" t="s">
        <v>72</v>
      </c>
      <c r="B141" s="1" t="s">
        <v>2963</v>
      </c>
      <c r="C141" s="1" t="s">
        <v>74</v>
      </c>
      <c r="D141" s="1" t="s">
        <v>74</v>
      </c>
      <c r="E141" s="1" t="s">
        <v>74</v>
      </c>
      <c r="F141" s="1" t="s">
        <v>2964</v>
      </c>
      <c r="G141" s="1" t="s">
        <v>74</v>
      </c>
      <c r="H141" s="1" t="s">
        <v>74</v>
      </c>
      <c r="I141" s="1" t="s">
        <v>2965</v>
      </c>
      <c r="J141" s="1" t="s">
        <v>301</v>
      </c>
      <c r="K141" s="1" t="s">
        <v>74</v>
      </c>
      <c r="L141" s="1" t="s">
        <v>74</v>
      </c>
      <c r="M141" s="1" t="s">
        <v>78</v>
      </c>
      <c r="N141" s="1" t="s">
        <v>79</v>
      </c>
      <c r="O141" s="1" t="s">
        <v>74</v>
      </c>
      <c r="P141" s="1" t="s">
        <v>74</v>
      </c>
      <c r="Q141" s="1" t="s">
        <v>74</v>
      </c>
      <c r="R141" s="1" t="s">
        <v>74</v>
      </c>
      <c r="S141" s="1" t="s">
        <v>74</v>
      </c>
      <c r="T141" s="1" t="s">
        <v>2966</v>
      </c>
      <c r="U141" s="1" t="s">
        <v>2967</v>
      </c>
      <c r="V141" s="1" t="s">
        <v>2968</v>
      </c>
      <c r="W141" s="1" t="s">
        <v>2969</v>
      </c>
      <c r="X141" s="1" t="s">
        <v>2970</v>
      </c>
      <c r="Y141" s="1" t="s">
        <v>2971</v>
      </c>
      <c r="Z141" s="1" t="s">
        <v>2504</v>
      </c>
      <c r="AA141" s="1" t="s">
        <v>494</v>
      </c>
      <c r="AB141" s="1" t="s">
        <v>495</v>
      </c>
      <c r="AC141" s="1" t="s">
        <v>74</v>
      </c>
      <c r="AD141" s="1" t="s">
        <v>74</v>
      </c>
      <c r="AE141" s="1" t="s">
        <v>74</v>
      </c>
      <c r="AF141" s="1" t="s">
        <v>74</v>
      </c>
      <c r="AG141" s="1">
        <v>28</v>
      </c>
      <c r="AH141" s="1">
        <v>225</v>
      </c>
      <c r="AI141" s="1">
        <v>227</v>
      </c>
      <c r="AJ141" s="1">
        <v>4</v>
      </c>
      <c r="AK141" s="1">
        <v>100</v>
      </c>
      <c r="AL141" s="1" t="s">
        <v>144</v>
      </c>
      <c r="AM141" s="1" t="s">
        <v>145</v>
      </c>
      <c r="AN141" s="1" t="s">
        <v>146</v>
      </c>
      <c r="AO141" s="1" t="s">
        <v>306</v>
      </c>
      <c r="AP141" s="1" t="s">
        <v>307</v>
      </c>
      <c r="AQ141" s="1" t="s">
        <v>74</v>
      </c>
      <c r="AR141" s="1" t="s">
        <v>308</v>
      </c>
      <c r="AS141" s="1" t="s">
        <v>309</v>
      </c>
      <c r="AT141" s="1" t="s">
        <v>213</v>
      </c>
      <c r="AU141" s="1">
        <v>2011</v>
      </c>
      <c r="AV141" s="1">
        <v>22</v>
      </c>
      <c r="AW141" s="1">
        <v>1</v>
      </c>
      <c r="AX141" s="1" t="s">
        <v>74</v>
      </c>
      <c r="AY141" s="1" t="s">
        <v>74</v>
      </c>
      <c r="AZ141" s="1" t="s">
        <v>74</v>
      </c>
      <c r="BA141" s="1" t="s">
        <v>74</v>
      </c>
      <c r="BB141" s="1">
        <v>39</v>
      </c>
      <c r="BC141" s="1">
        <v>44</v>
      </c>
      <c r="BD141" s="1" t="s">
        <v>74</v>
      </c>
      <c r="BE141" s="1" t="s">
        <v>2972</v>
      </c>
      <c r="BF141" s="1" t="str">
        <f>HYPERLINK("http://dx.doi.org/10.1177/0956797610392928","http://dx.doi.org/10.1177/0956797610392928")</f>
        <v>http://dx.doi.org/10.1177/0956797610392928</v>
      </c>
      <c r="BG141" s="1" t="s">
        <v>74</v>
      </c>
      <c r="BH141" s="1" t="s">
        <v>74</v>
      </c>
      <c r="BI141" s="1">
        <v>6</v>
      </c>
      <c r="BJ141" s="1" t="s">
        <v>311</v>
      </c>
      <c r="BK141" s="1" t="s">
        <v>101</v>
      </c>
      <c r="BL141" s="1" t="s">
        <v>102</v>
      </c>
      <c r="BM141" s="1" t="s">
        <v>2973</v>
      </c>
      <c r="BN141" s="1">
        <v>21149854</v>
      </c>
      <c r="BO141" s="1" t="s">
        <v>74</v>
      </c>
      <c r="BP141" s="1" t="s">
        <v>74</v>
      </c>
      <c r="BQ141" s="1" t="s">
        <v>74</v>
      </c>
      <c r="BR141" s="1" t="s">
        <v>104</v>
      </c>
      <c r="BS141" s="1" t="s">
        <v>2974</v>
      </c>
      <c r="BT141" s="1" t="str">
        <f>HYPERLINK("https%3A%2F%2Fwww.webofscience.com%2Fwos%2Fwoscc%2Ffull-record%2FWOS:000294708600008","View Full Record in Web of Science")</f>
        <v>View Full Record in Web of Science</v>
      </c>
      <c r="BU141" s="1" t="s">
        <v>3776</v>
      </c>
      <c r="BV141" s="1" t="s">
        <v>10653</v>
      </c>
    </row>
    <row r="142" spans="1:75" ht="409.5" x14ac:dyDescent="0.35">
      <c r="A142" s="1" t="s">
        <v>72</v>
      </c>
      <c r="B142" s="1" t="s">
        <v>2975</v>
      </c>
      <c r="C142" s="1" t="s">
        <v>74</v>
      </c>
      <c r="D142" s="1" t="s">
        <v>74</v>
      </c>
      <c r="E142" s="1" t="s">
        <v>74</v>
      </c>
      <c r="F142" s="1" t="s">
        <v>2976</v>
      </c>
      <c r="G142" s="1" t="s">
        <v>74</v>
      </c>
      <c r="H142" s="1" t="s">
        <v>74</v>
      </c>
      <c r="I142" s="1" t="s">
        <v>2977</v>
      </c>
      <c r="J142" s="1" t="s">
        <v>2978</v>
      </c>
      <c r="K142" s="1" t="s">
        <v>74</v>
      </c>
      <c r="L142" s="1" t="s">
        <v>74</v>
      </c>
      <c r="M142" s="1" t="s">
        <v>78</v>
      </c>
      <c r="N142" s="1" t="s">
        <v>79</v>
      </c>
      <c r="O142" s="1" t="s">
        <v>74</v>
      </c>
      <c r="P142" s="1" t="s">
        <v>74</v>
      </c>
      <c r="Q142" s="1" t="s">
        <v>74</v>
      </c>
      <c r="R142" s="1" t="s">
        <v>74</v>
      </c>
      <c r="S142" s="1" t="s">
        <v>74</v>
      </c>
      <c r="T142" s="1" t="s">
        <v>2979</v>
      </c>
      <c r="U142" s="1" t="s">
        <v>2980</v>
      </c>
      <c r="V142" s="1" t="s">
        <v>2981</v>
      </c>
      <c r="W142" s="1" t="s">
        <v>2982</v>
      </c>
      <c r="X142" s="1" t="s">
        <v>2983</v>
      </c>
      <c r="Y142" s="1" t="s">
        <v>2984</v>
      </c>
      <c r="Z142" s="1" t="s">
        <v>2985</v>
      </c>
      <c r="AA142" s="1" t="s">
        <v>74</v>
      </c>
      <c r="AB142" s="1" t="s">
        <v>74</v>
      </c>
      <c r="AC142" s="1" t="s">
        <v>74</v>
      </c>
      <c r="AD142" s="1" t="s">
        <v>74</v>
      </c>
      <c r="AE142" s="1" t="s">
        <v>74</v>
      </c>
      <c r="AF142" s="1" t="s">
        <v>74</v>
      </c>
      <c r="AG142" s="1">
        <v>63</v>
      </c>
      <c r="AH142" s="1">
        <v>28</v>
      </c>
      <c r="AI142" s="1">
        <v>28</v>
      </c>
      <c r="AJ142" s="1">
        <v>3</v>
      </c>
      <c r="AK142" s="1">
        <v>52</v>
      </c>
      <c r="AL142" s="1" t="s">
        <v>820</v>
      </c>
      <c r="AM142" s="1" t="s">
        <v>2119</v>
      </c>
      <c r="AN142" s="1" t="s">
        <v>2120</v>
      </c>
      <c r="AO142" s="1" t="s">
        <v>2986</v>
      </c>
      <c r="AP142" s="1" t="s">
        <v>2987</v>
      </c>
      <c r="AQ142" s="1" t="s">
        <v>74</v>
      </c>
      <c r="AR142" s="1" t="s">
        <v>2988</v>
      </c>
      <c r="AS142" s="1" t="s">
        <v>2989</v>
      </c>
      <c r="AT142" s="1" t="s">
        <v>213</v>
      </c>
      <c r="AU142" s="1">
        <v>2011</v>
      </c>
      <c r="AV142" s="1">
        <v>45</v>
      </c>
      <c r="AW142" s="1">
        <v>1</v>
      </c>
      <c r="AX142" s="1" t="s">
        <v>74</v>
      </c>
      <c r="AY142" s="1" t="s">
        <v>74</v>
      </c>
      <c r="AZ142" s="1" t="s">
        <v>74</v>
      </c>
      <c r="BA142" s="1" t="s">
        <v>74</v>
      </c>
      <c r="BB142" s="1">
        <v>103</v>
      </c>
      <c r="BC142" s="1">
        <v>128</v>
      </c>
      <c r="BD142" s="1" t="s">
        <v>74</v>
      </c>
      <c r="BE142" s="1" t="s">
        <v>2990</v>
      </c>
      <c r="BF142" s="1" t="str">
        <f>HYPERLINK("http://dx.doi.org/10.1007/s11135-010-9350-8","http://dx.doi.org/10.1007/s11135-010-9350-8")</f>
        <v>http://dx.doi.org/10.1007/s11135-010-9350-8</v>
      </c>
      <c r="BG142" s="1" t="s">
        <v>74</v>
      </c>
      <c r="BH142" s="1" t="s">
        <v>74</v>
      </c>
      <c r="BI142" s="1">
        <v>26</v>
      </c>
      <c r="BJ142" s="1" t="s">
        <v>2991</v>
      </c>
      <c r="BK142" s="1" t="s">
        <v>520</v>
      </c>
      <c r="BL142" s="1" t="s">
        <v>2992</v>
      </c>
      <c r="BM142" s="1" t="s">
        <v>2993</v>
      </c>
      <c r="BN142" s="1" t="s">
        <v>74</v>
      </c>
      <c r="BO142" s="1" t="s">
        <v>74</v>
      </c>
      <c r="BP142" s="1" t="s">
        <v>74</v>
      </c>
      <c r="BQ142" s="1" t="s">
        <v>74</v>
      </c>
      <c r="BR142" s="1" t="s">
        <v>104</v>
      </c>
      <c r="BS142" s="1" t="s">
        <v>2994</v>
      </c>
      <c r="BT142" s="1" t="str">
        <f>HYPERLINK("https%3A%2F%2Fwww.webofscience.com%2Fwos%2Fwoscc%2Ffull-record%2FWOS:000285201500007","View Full Record in Web of Science")</f>
        <v>View Full Record in Web of Science</v>
      </c>
      <c r="BU142" s="1" t="s">
        <v>3776</v>
      </c>
      <c r="BV142" s="1" t="s">
        <v>10653</v>
      </c>
    </row>
    <row r="143" spans="1:75" ht="409.5" x14ac:dyDescent="0.35">
      <c r="A143" s="1" t="s">
        <v>72</v>
      </c>
      <c r="B143" s="1" t="s">
        <v>4077</v>
      </c>
      <c r="C143" s="1" t="s">
        <v>74</v>
      </c>
      <c r="D143" s="1" t="s">
        <v>74</v>
      </c>
      <c r="E143" s="1" t="s">
        <v>74</v>
      </c>
      <c r="F143" s="1" t="s">
        <v>4078</v>
      </c>
      <c r="G143" s="1" t="s">
        <v>74</v>
      </c>
      <c r="H143" s="1" t="s">
        <v>74</v>
      </c>
      <c r="I143" s="1" t="s">
        <v>4079</v>
      </c>
      <c r="J143" s="1" t="s">
        <v>436</v>
      </c>
      <c r="K143" s="1" t="s">
        <v>74</v>
      </c>
      <c r="L143" s="1" t="s">
        <v>74</v>
      </c>
      <c r="M143" s="1" t="s">
        <v>78</v>
      </c>
      <c r="N143" s="1" t="s">
        <v>79</v>
      </c>
      <c r="O143" s="1" t="s">
        <v>74</v>
      </c>
      <c r="P143" s="1" t="s">
        <v>74</v>
      </c>
      <c r="Q143" s="1" t="s">
        <v>74</v>
      </c>
      <c r="R143" s="1" t="s">
        <v>74</v>
      </c>
      <c r="S143" s="1" t="s">
        <v>74</v>
      </c>
      <c r="T143" s="1" t="s">
        <v>4080</v>
      </c>
      <c r="U143" s="1" t="s">
        <v>4081</v>
      </c>
      <c r="V143" s="1" t="s">
        <v>4082</v>
      </c>
      <c r="W143" s="1" t="s">
        <v>4083</v>
      </c>
      <c r="X143" s="1" t="s">
        <v>4084</v>
      </c>
      <c r="Y143" s="1" t="s">
        <v>4085</v>
      </c>
      <c r="Z143" s="1" t="s">
        <v>4086</v>
      </c>
      <c r="AA143" s="1" t="s">
        <v>74</v>
      </c>
      <c r="AB143" s="1" t="s">
        <v>74</v>
      </c>
      <c r="AC143" s="1" t="s">
        <v>74</v>
      </c>
      <c r="AD143" s="1" t="s">
        <v>74</v>
      </c>
      <c r="AE143" s="1" t="s">
        <v>74</v>
      </c>
      <c r="AF143" s="1" t="s">
        <v>74</v>
      </c>
      <c r="AG143" s="1">
        <v>38</v>
      </c>
      <c r="AH143" s="1">
        <v>125</v>
      </c>
      <c r="AI143" s="1">
        <v>127</v>
      </c>
      <c r="AJ143" s="1">
        <v>1</v>
      </c>
      <c r="AK143" s="1">
        <v>109</v>
      </c>
      <c r="AL143" s="1" t="s">
        <v>446</v>
      </c>
      <c r="AM143" s="1" t="s">
        <v>512</v>
      </c>
      <c r="AN143" s="1" t="s">
        <v>513</v>
      </c>
      <c r="AO143" s="1" t="s">
        <v>449</v>
      </c>
      <c r="AP143" s="1" t="s">
        <v>74</v>
      </c>
      <c r="AQ143" s="1" t="s">
        <v>74</v>
      </c>
      <c r="AR143" s="1" t="s">
        <v>451</v>
      </c>
      <c r="AS143" s="1" t="s">
        <v>452</v>
      </c>
      <c r="AT143" s="1" t="s">
        <v>3397</v>
      </c>
      <c r="AU143" s="1">
        <v>2011</v>
      </c>
      <c r="AV143" s="1">
        <v>30</v>
      </c>
      <c r="AW143" s="1">
        <v>4</v>
      </c>
      <c r="AX143" s="1" t="s">
        <v>74</v>
      </c>
      <c r="AY143" s="1" t="s">
        <v>74</v>
      </c>
      <c r="AZ143" s="1" t="s">
        <v>74</v>
      </c>
      <c r="BA143" s="1" t="s">
        <v>74</v>
      </c>
      <c r="BB143" s="1">
        <v>702</v>
      </c>
      <c r="BC143" s="1">
        <v>716</v>
      </c>
      <c r="BD143" s="1" t="s">
        <v>74</v>
      </c>
      <c r="BE143" s="1" t="s">
        <v>4087</v>
      </c>
      <c r="BF143" s="1" t="str">
        <f>HYPERLINK("http://dx.doi.org/10.1287/mksc.1110.0642","http://dx.doi.org/10.1287/mksc.1110.0642")</f>
        <v>http://dx.doi.org/10.1287/mksc.1110.0642</v>
      </c>
      <c r="BG143" s="1" t="s">
        <v>74</v>
      </c>
      <c r="BH143" s="1" t="s">
        <v>74</v>
      </c>
      <c r="BI143" s="1">
        <v>15</v>
      </c>
      <c r="BJ143" s="1" t="s">
        <v>153</v>
      </c>
      <c r="BK143" s="1" t="s">
        <v>101</v>
      </c>
      <c r="BL143" s="1" t="s">
        <v>154</v>
      </c>
      <c r="BM143" s="1" t="s">
        <v>4088</v>
      </c>
      <c r="BN143" s="1" t="s">
        <v>74</v>
      </c>
      <c r="BO143" s="1" t="s">
        <v>74</v>
      </c>
      <c r="BP143" s="1" t="s">
        <v>74</v>
      </c>
      <c r="BQ143" s="1" t="s">
        <v>74</v>
      </c>
      <c r="BR143" s="1" t="s">
        <v>104</v>
      </c>
      <c r="BS143" s="1" t="s">
        <v>4089</v>
      </c>
      <c r="BT143" s="1" t="str">
        <f>HYPERLINK("https%3A%2F%2Fwww.webofscience.com%2Fwos%2Fwoscc%2Ffull-record%2FWOS:000293824200011","View Full Record in Web of Science")</f>
        <v>View Full Record in Web of Science</v>
      </c>
      <c r="BU143" s="1" t="s">
        <v>4172</v>
      </c>
      <c r="BV143" s="1" t="s">
        <v>6080</v>
      </c>
      <c r="BW143" s="1" t="s">
        <v>6080</v>
      </c>
    </row>
    <row r="144" spans="1:75" ht="409.5" x14ac:dyDescent="0.35">
      <c r="A144" s="1" t="s">
        <v>72</v>
      </c>
      <c r="B144" s="1" t="s">
        <v>1043</v>
      </c>
      <c r="C144" s="1" t="s">
        <v>74</v>
      </c>
      <c r="D144" s="1" t="s">
        <v>74</v>
      </c>
      <c r="E144" s="1" t="s">
        <v>74</v>
      </c>
      <c r="F144" s="1" t="s">
        <v>1044</v>
      </c>
      <c r="G144" s="1" t="s">
        <v>74</v>
      </c>
      <c r="H144" s="1" t="s">
        <v>74</v>
      </c>
      <c r="I144" s="1" t="s">
        <v>1045</v>
      </c>
      <c r="J144" s="1" t="s">
        <v>136</v>
      </c>
      <c r="K144" s="1" t="s">
        <v>74</v>
      </c>
      <c r="L144" s="1" t="s">
        <v>74</v>
      </c>
      <c r="M144" s="1" t="s">
        <v>78</v>
      </c>
      <c r="N144" s="1" t="s">
        <v>79</v>
      </c>
      <c r="O144" s="1" t="s">
        <v>74</v>
      </c>
      <c r="P144" s="1" t="s">
        <v>74</v>
      </c>
      <c r="Q144" s="1" t="s">
        <v>74</v>
      </c>
      <c r="R144" s="1" t="s">
        <v>74</v>
      </c>
      <c r="S144" s="1" t="s">
        <v>74</v>
      </c>
      <c r="T144" s="1" t="s">
        <v>1046</v>
      </c>
      <c r="U144" s="1" t="s">
        <v>1047</v>
      </c>
      <c r="V144" s="1" t="s">
        <v>1048</v>
      </c>
      <c r="W144" s="1" t="s">
        <v>1049</v>
      </c>
      <c r="X144" s="1" t="s">
        <v>1050</v>
      </c>
      <c r="Y144" s="1" t="s">
        <v>1051</v>
      </c>
      <c r="Z144" s="1" t="s">
        <v>1052</v>
      </c>
      <c r="AA144" s="1" t="s">
        <v>74</v>
      </c>
      <c r="AB144" s="1" t="s">
        <v>74</v>
      </c>
      <c r="AC144" s="1" t="s">
        <v>74</v>
      </c>
      <c r="AD144" s="1" t="s">
        <v>74</v>
      </c>
      <c r="AE144" s="1" t="s">
        <v>74</v>
      </c>
      <c r="AF144" s="1" t="s">
        <v>74</v>
      </c>
      <c r="AG144" s="1">
        <v>58</v>
      </c>
      <c r="AH144" s="1">
        <v>247</v>
      </c>
      <c r="AI144" s="1">
        <v>253</v>
      </c>
      <c r="AJ144" s="1">
        <v>20</v>
      </c>
      <c r="AK144" s="1">
        <v>209</v>
      </c>
      <c r="AL144" s="1" t="s">
        <v>144</v>
      </c>
      <c r="AM144" s="1" t="s">
        <v>145</v>
      </c>
      <c r="AN144" s="1" t="s">
        <v>146</v>
      </c>
      <c r="AO144" s="1" t="s">
        <v>147</v>
      </c>
      <c r="AP144" s="1" t="s">
        <v>148</v>
      </c>
      <c r="AQ144" s="1" t="s">
        <v>74</v>
      </c>
      <c r="AR144" s="1" t="s">
        <v>149</v>
      </c>
      <c r="AS144" s="1" t="s">
        <v>150</v>
      </c>
      <c r="AT144" s="1" t="s">
        <v>281</v>
      </c>
      <c r="AU144" s="1">
        <v>2011</v>
      </c>
      <c r="AV144" s="1">
        <v>48</v>
      </c>
      <c r="AW144" s="1">
        <v>5</v>
      </c>
      <c r="AX144" s="1" t="s">
        <v>74</v>
      </c>
      <c r="AY144" s="1" t="s">
        <v>74</v>
      </c>
      <c r="AZ144" s="1" t="s">
        <v>74</v>
      </c>
      <c r="BA144" s="1" t="s">
        <v>74</v>
      </c>
      <c r="BB144" s="1">
        <v>881</v>
      </c>
      <c r="BC144" s="1">
        <v>894</v>
      </c>
      <c r="BD144" s="1" t="s">
        <v>74</v>
      </c>
      <c r="BE144" s="1" t="s">
        <v>1053</v>
      </c>
      <c r="BF144" s="1" t="str">
        <f>HYPERLINK("http://dx.doi.org/10.1509/jmkr.48.5.881","http://dx.doi.org/10.1509/jmkr.48.5.881")</f>
        <v>http://dx.doi.org/10.1509/jmkr.48.5.881</v>
      </c>
      <c r="BG144" s="1" t="s">
        <v>74</v>
      </c>
      <c r="BH144" s="1" t="s">
        <v>74</v>
      </c>
      <c r="BI144" s="1">
        <v>14</v>
      </c>
      <c r="BJ144" s="1" t="s">
        <v>153</v>
      </c>
      <c r="BK144" s="1" t="s">
        <v>101</v>
      </c>
      <c r="BL144" s="1" t="s">
        <v>154</v>
      </c>
      <c r="BM144" s="1" t="s">
        <v>1054</v>
      </c>
      <c r="BN144" s="1" t="s">
        <v>74</v>
      </c>
      <c r="BO144" s="1" t="s">
        <v>334</v>
      </c>
      <c r="BP144" s="1" t="s">
        <v>74</v>
      </c>
      <c r="BQ144" s="1" t="s">
        <v>74</v>
      </c>
      <c r="BR144" s="1" t="s">
        <v>4296</v>
      </c>
      <c r="BS144" s="1" t="s">
        <v>1055</v>
      </c>
      <c r="BT144" s="1" t="str">
        <f>HYPERLINK("https%3A%2F%2Fwww.webofscience.com%2Fwos%2Fwoscc%2Ffull-record%2FWOS:000294974500007","View Full Record in Web of Science")</f>
        <v>View Full Record in Web of Science</v>
      </c>
      <c r="BU144" s="1" t="s">
        <v>5876</v>
      </c>
      <c r="BV144" s="1" t="s">
        <v>6080</v>
      </c>
      <c r="BW144" s="1" t="s">
        <v>6080</v>
      </c>
    </row>
    <row r="145" spans="1:75" ht="362.5" x14ac:dyDescent="0.35">
      <c r="A145" t="s">
        <v>72</v>
      </c>
      <c r="B145" t="s">
        <v>6219</v>
      </c>
      <c r="C145" t="s">
        <v>74</v>
      </c>
      <c r="D145" t="s">
        <v>74</v>
      </c>
      <c r="E145" t="s">
        <v>74</v>
      </c>
      <c r="F145" t="s">
        <v>5877</v>
      </c>
      <c r="G145" t="s">
        <v>74</v>
      </c>
      <c r="H145" t="s">
        <v>74</v>
      </c>
      <c r="I145" t="s">
        <v>5895</v>
      </c>
      <c r="J145" t="s">
        <v>6220</v>
      </c>
      <c r="K145" t="s">
        <v>74</v>
      </c>
      <c r="L145" t="s">
        <v>74</v>
      </c>
      <c r="M145" t="s">
        <v>78</v>
      </c>
      <c r="N145" t="s">
        <v>79</v>
      </c>
      <c r="O145" t="s">
        <v>74</v>
      </c>
      <c r="P145" t="s">
        <v>74</v>
      </c>
      <c r="Q145" t="s">
        <v>74</v>
      </c>
      <c r="R145" t="s">
        <v>74</v>
      </c>
      <c r="S145" t="s">
        <v>74</v>
      </c>
      <c r="T145" t="s">
        <v>74</v>
      </c>
      <c r="U145" t="s">
        <v>74</v>
      </c>
      <c r="V145" s="1" t="s">
        <v>6221</v>
      </c>
      <c r="W145" t="s">
        <v>6222</v>
      </c>
      <c r="X145" t="s">
        <v>6223</v>
      </c>
      <c r="Y145" t="s">
        <v>6224</v>
      </c>
      <c r="Z145" t="s">
        <v>6225</v>
      </c>
      <c r="AA145" t="s">
        <v>74</v>
      </c>
      <c r="AB145" t="s">
        <v>74</v>
      </c>
      <c r="AC145" t="s">
        <v>74</v>
      </c>
      <c r="AD145" t="s">
        <v>74</v>
      </c>
      <c r="AE145" t="s">
        <v>74</v>
      </c>
      <c r="AF145" t="s">
        <v>74</v>
      </c>
      <c r="AG145">
        <v>14</v>
      </c>
      <c r="AH145">
        <v>28</v>
      </c>
      <c r="AI145">
        <v>28</v>
      </c>
      <c r="AJ145">
        <v>4</v>
      </c>
      <c r="AK145">
        <v>36</v>
      </c>
      <c r="AL145" t="s">
        <v>206</v>
      </c>
      <c r="AM145" t="s">
        <v>207</v>
      </c>
      <c r="AN145" t="s">
        <v>208</v>
      </c>
      <c r="AO145" t="s">
        <v>6226</v>
      </c>
      <c r="AP145" t="s">
        <v>6227</v>
      </c>
      <c r="AQ145" t="s">
        <v>74</v>
      </c>
      <c r="AR145" t="s">
        <v>6228</v>
      </c>
      <c r="AS145" t="s">
        <v>6229</v>
      </c>
      <c r="AT145" t="s">
        <v>453</v>
      </c>
      <c r="AU145">
        <v>2011</v>
      </c>
      <c r="AV145">
        <v>10</v>
      </c>
      <c r="AW145">
        <v>6</v>
      </c>
      <c r="AX145" t="s">
        <v>74</v>
      </c>
      <c r="AY145" t="s">
        <v>74</v>
      </c>
      <c r="AZ145" t="s">
        <v>259</v>
      </c>
      <c r="BA145" t="s">
        <v>74</v>
      </c>
      <c r="BB145">
        <v>313</v>
      </c>
      <c r="BC145">
        <v>321</v>
      </c>
      <c r="BD145" t="s">
        <v>74</v>
      </c>
      <c r="BE145" t="s">
        <v>6230</v>
      </c>
      <c r="BF145" t="str">
        <f>HYPERLINK("http://dx.doi.org/10.1002/cb.379","http://dx.doi.org/10.1002/cb.379")</f>
        <v>http://dx.doi.org/10.1002/cb.379</v>
      </c>
      <c r="BG145" t="s">
        <v>74</v>
      </c>
      <c r="BH145" t="s">
        <v>74</v>
      </c>
      <c r="BI145">
        <v>9</v>
      </c>
      <c r="BJ145" t="s">
        <v>153</v>
      </c>
      <c r="BK145" t="s">
        <v>101</v>
      </c>
      <c r="BL145" t="s">
        <v>154</v>
      </c>
      <c r="BM145" t="s">
        <v>6231</v>
      </c>
      <c r="BN145" t="s">
        <v>74</v>
      </c>
      <c r="BO145" t="s">
        <v>334</v>
      </c>
      <c r="BP145" t="s">
        <v>74</v>
      </c>
      <c r="BQ145" t="s">
        <v>74</v>
      </c>
      <c r="BR145" t="s">
        <v>6098</v>
      </c>
      <c r="BS145" t="s">
        <v>6232</v>
      </c>
      <c r="BT145" t="str">
        <f>HYPERLINK("https%3A%2F%2Fwww.webofscience.com%2Fwos%2Fwoscc%2Ffull-record%2FWOS:000306221200002","View Full Record in Web of Science")</f>
        <v>View Full Record in Web of Science</v>
      </c>
      <c r="BU145" t="s">
        <v>6100</v>
      </c>
      <c r="BV145" s="1" t="s">
        <v>6080</v>
      </c>
      <c r="BW145" s="1" t="s">
        <v>6080</v>
      </c>
    </row>
    <row r="146" spans="1:75" x14ac:dyDescent="0.35">
      <c r="A146" t="s">
        <v>72</v>
      </c>
      <c r="B146" t="s">
        <v>7746</v>
      </c>
      <c r="C146" t="s">
        <v>74</v>
      </c>
      <c r="D146" t="s">
        <v>74</v>
      </c>
      <c r="E146" t="s">
        <v>74</v>
      </c>
      <c r="F146" t="s">
        <v>7747</v>
      </c>
      <c r="G146" t="s">
        <v>74</v>
      </c>
      <c r="H146" t="s">
        <v>74</v>
      </c>
      <c r="I146" t="s">
        <v>7748</v>
      </c>
      <c r="J146" t="s">
        <v>436</v>
      </c>
      <c r="K146" t="s">
        <v>74</v>
      </c>
      <c r="L146" t="s">
        <v>74</v>
      </c>
      <c r="M146" t="s">
        <v>78</v>
      </c>
      <c r="N146" t="s">
        <v>79</v>
      </c>
      <c r="O146" t="s">
        <v>74</v>
      </c>
      <c r="P146" t="s">
        <v>74</v>
      </c>
      <c r="Q146" t="s">
        <v>74</v>
      </c>
      <c r="R146" t="s">
        <v>74</v>
      </c>
      <c r="S146" t="s">
        <v>74</v>
      </c>
      <c r="T146" t="s">
        <v>7749</v>
      </c>
      <c r="U146" t="s">
        <v>74</v>
      </c>
      <c r="V146" t="s">
        <v>7750</v>
      </c>
      <c r="W146" t="s">
        <v>7751</v>
      </c>
      <c r="X146" t="s">
        <v>7752</v>
      </c>
      <c r="Y146" t="s">
        <v>7753</v>
      </c>
      <c r="Z146" t="s">
        <v>7754</v>
      </c>
      <c r="AA146" t="s">
        <v>74</v>
      </c>
      <c r="AB146" t="s">
        <v>74</v>
      </c>
      <c r="AC146" t="s">
        <v>74</v>
      </c>
      <c r="AD146" t="s">
        <v>74</v>
      </c>
      <c r="AE146" t="s">
        <v>74</v>
      </c>
      <c r="AF146" t="s">
        <v>74</v>
      </c>
      <c r="AG146">
        <v>26</v>
      </c>
      <c r="AH146">
        <v>15</v>
      </c>
      <c r="AI146">
        <v>15</v>
      </c>
      <c r="AJ146">
        <v>1</v>
      </c>
      <c r="AK146">
        <v>37</v>
      </c>
      <c r="AL146" t="s">
        <v>446</v>
      </c>
      <c r="AM146" t="s">
        <v>512</v>
      </c>
      <c r="AN146" t="s">
        <v>513</v>
      </c>
      <c r="AO146" t="s">
        <v>449</v>
      </c>
      <c r="AP146" t="s">
        <v>74</v>
      </c>
      <c r="AQ146" t="s">
        <v>74</v>
      </c>
      <c r="AR146" t="s">
        <v>451</v>
      </c>
      <c r="AS146" t="s">
        <v>452</v>
      </c>
      <c r="AT146" t="s">
        <v>760</v>
      </c>
      <c r="AU146">
        <v>2011</v>
      </c>
      <c r="AV146">
        <v>30</v>
      </c>
      <c r="AW146">
        <v>3</v>
      </c>
      <c r="AX146" t="s">
        <v>74</v>
      </c>
      <c r="AY146" t="s">
        <v>74</v>
      </c>
      <c r="AZ146" t="s">
        <v>74</v>
      </c>
      <c r="BA146" t="s">
        <v>74</v>
      </c>
      <c r="BB146">
        <v>532</v>
      </c>
      <c r="BC146">
        <v>549</v>
      </c>
      <c r="BD146" t="s">
        <v>74</v>
      </c>
      <c r="BE146" t="s">
        <v>7755</v>
      </c>
      <c r="BF146" t="str">
        <f>HYPERLINK("http://dx.doi.org/10.1287/mksc.1100.0632","http://dx.doi.org/10.1287/mksc.1100.0632")</f>
        <v>http://dx.doi.org/10.1287/mksc.1100.0632</v>
      </c>
      <c r="BG146" t="s">
        <v>74</v>
      </c>
      <c r="BH146" t="s">
        <v>74</v>
      </c>
      <c r="BI146">
        <v>18</v>
      </c>
      <c r="BJ146" t="s">
        <v>153</v>
      </c>
      <c r="BK146" t="s">
        <v>101</v>
      </c>
      <c r="BL146" t="s">
        <v>154</v>
      </c>
      <c r="BM146" t="s">
        <v>7756</v>
      </c>
      <c r="BN146" t="s">
        <v>74</v>
      </c>
      <c r="BO146" t="s">
        <v>74</v>
      </c>
      <c r="BP146" t="s">
        <v>74</v>
      </c>
      <c r="BQ146" t="s">
        <v>74</v>
      </c>
      <c r="BR146" t="s">
        <v>6098</v>
      </c>
      <c r="BS146" t="s">
        <v>7757</v>
      </c>
      <c r="BT146" t="str">
        <f>HYPERLINK("https%3A%2F%2Fwww.webofscience.com%2Fwos%2Fwoscc%2Ffull-record%2FWOS:000291010200012","View Full Record in Web of Science")</f>
        <v>View Full Record in Web of Science</v>
      </c>
      <c r="BU146" t="s">
        <v>6100</v>
      </c>
      <c r="BV146" s="1" t="s">
        <v>6080</v>
      </c>
      <c r="BW146" s="1" t="s">
        <v>6080</v>
      </c>
    </row>
    <row r="147" spans="1:75" x14ac:dyDescent="0.35">
      <c r="A147" t="s">
        <v>72</v>
      </c>
      <c r="B147" t="s">
        <v>8937</v>
      </c>
      <c r="C147" t="s">
        <v>74</v>
      </c>
      <c r="D147" t="s">
        <v>74</v>
      </c>
      <c r="E147" t="s">
        <v>74</v>
      </c>
      <c r="F147" t="s">
        <v>8938</v>
      </c>
      <c r="G147" t="s">
        <v>74</v>
      </c>
      <c r="H147" t="s">
        <v>74</v>
      </c>
      <c r="I147" t="s">
        <v>8939</v>
      </c>
      <c r="J147" t="s">
        <v>8940</v>
      </c>
      <c r="K147" t="s">
        <v>74</v>
      </c>
      <c r="L147" t="s">
        <v>74</v>
      </c>
      <c r="M147" t="s">
        <v>78</v>
      </c>
      <c r="N147" t="s">
        <v>79</v>
      </c>
      <c r="O147" t="s">
        <v>74</v>
      </c>
      <c r="P147" t="s">
        <v>74</v>
      </c>
      <c r="Q147" t="s">
        <v>74</v>
      </c>
      <c r="R147" t="s">
        <v>74</v>
      </c>
      <c r="S147" t="s">
        <v>74</v>
      </c>
      <c r="T147" t="s">
        <v>8941</v>
      </c>
      <c r="U147" t="s">
        <v>8942</v>
      </c>
      <c r="V147" t="s">
        <v>8943</v>
      </c>
      <c r="W147" t="s">
        <v>8944</v>
      </c>
      <c r="X147" t="s">
        <v>8945</v>
      </c>
      <c r="Y147" t="s">
        <v>8946</v>
      </c>
      <c r="Z147" t="s">
        <v>8947</v>
      </c>
      <c r="AA147" t="s">
        <v>8948</v>
      </c>
      <c r="AB147" t="s">
        <v>8949</v>
      </c>
      <c r="AC147" t="s">
        <v>74</v>
      </c>
      <c r="AD147" t="s">
        <v>74</v>
      </c>
      <c r="AE147" t="s">
        <v>74</v>
      </c>
      <c r="AF147" t="s">
        <v>74</v>
      </c>
      <c r="AG147">
        <v>80</v>
      </c>
      <c r="AH147">
        <v>30</v>
      </c>
      <c r="AI147">
        <v>30</v>
      </c>
      <c r="AJ147">
        <v>4</v>
      </c>
      <c r="AK147">
        <v>37</v>
      </c>
      <c r="AL147" t="s">
        <v>144</v>
      </c>
      <c r="AM147" t="s">
        <v>145</v>
      </c>
      <c r="AN147" t="s">
        <v>146</v>
      </c>
      <c r="AO147" t="s">
        <v>8950</v>
      </c>
      <c r="AP147" t="s">
        <v>74</v>
      </c>
      <c r="AQ147" t="s">
        <v>74</v>
      </c>
      <c r="AR147" t="s">
        <v>8951</v>
      </c>
      <c r="AS147" t="s">
        <v>8952</v>
      </c>
      <c r="AT147" t="s">
        <v>363</v>
      </c>
      <c r="AU147">
        <v>2011</v>
      </c>
      <c r="AV147">
        <v>31</v>
      </c>
      <c r="AW147">
        <v>1</v>
      </c>
      <c r="AX147" t="s">
        <v>74</v>
      </c>
      <c r="AY147" t="s">
        <v>74</v>
      </c>
      <c r="AZ147" t="s">
        <v>74</v>
      </c>
      <c r="BA147" t="s">
        <v>74</v>
      </c>
      <c r="BB147">
        <v>44</v>
      </c>
      <c r="BC147">
        <v>56</v>
      </c>
      <c r="BD147" t="s">
        <v>74</v>
      </c>
      <c r="BE147" t="s">
        <v>8953</v>
      </c>
      <c r="BF147" t="str">
        <f>HYPERLINK("http://dx.doi.org/10.1177/0276146710375831","http://dx.doi.org/10.1177/0276146710375831")</f>
        <v>http://dx.doi.org/10.1177/0276146710375831</v>
      </c>
      <c r="BG147" t="s">
        <v>74</v>
      </c>
      <c r="BH147" t="s">
        <v>74</v>
      </c>
      <c r="BI147">
        <v>13</v>
      </c>
      <c r="BJ147" t="s">
        <v>153</v>
      </c>
      <c r="BK147" t="s">
        <v>101</v>
      </c>
      <c r="BL147" t="s">
        <v>154</v>
      </c>
      <c r="BM147" t="s">
        <v>8954</v>
      </c>
      <c r="BN147" t="s">
        <v>74</v>
      </c>
      <c r="BO147" t="s">
        <v>74</v>
      </c>
      <c r="BP147" t="s">
        <v>74</v>
      </c>
      <c r="BQ147" t="s">
        <v>74</v>
      </c>
      <c r="BR147" t="s">
        <v>6098</v>
      </c>
      <c r="BS147" t="s">
        <v>8955</v>
      </c>
      <c r="BT147" t="str">
        <f>HYPERLINK("https%3A%2F%2Fwww.webofscience.com%2Fwos%2Fwoscc%2Ffull-record%2FWOS:000287930300004","View Full Record in Web of Science")</f>
        <v>View Full Record in Web of Science</v>
      </c>
      <c r="BU147" t="s">
        <v>6100</v>
      </c>
      <c r="BV147" s="1" t="s">
        <v>6080</v>
      </c>
      <c r="BW147" s="1" t="s">
        <v>10653</v>
      </c>
    </row>
    <row r="148" spans="1:75" x14ac:dyDescent="0.35">
      <c r="A148" t="s">
        <v>72</v>
      </c>
      <c r="B148" t="s">
        <v>4264</v>
      </c>
      <c r="C148" t="s">
        <v>74</v>
      </c>
      <c r="D148" t="s">
        <v>74</v>
      </c>
      <c r="E148" t="s">
        <v>74</v>
      </c>
      <c r="F148" t="s">
        <v>4265</v>
      </c>
      <c r="G148" t="s">
        <v>74</v>
      </c>
      <c r="H148" t="s">
        <v>74</v>
      </c>
      <c r="I148" t="s">
        <v>4266</v>
      </c>
      <c r="J148" t="s">
        <v>504</v>
      </c>
      <c r="K148" t="s">
        <v>74</v>
      </c>
      <c r="L148" t="s">
        <v>74</v>
      </c>
      <c r="M148" t="s">
        <v>78</v>
      </c>
      <c r="N148" t="s">
        <v>110</v>
      </c>
      <c r="O148" t="s">
        <v>74</v>
      </c>
      <c r="P148" t="s">
        <v>74</v>
      </c>
      <c r="Q148" t="s">
        <v>74</v>
      </c>
      <c r="R148" t="s">
        <v>74</v>
      </c>
      <c r="S148" t="s">
        <v>74</v>
      </c>
      <c r="T148" t="s">
        <v>4267</v>
      </c>
      <c r="U148" t="s">
        <v>4268</v>
      </c>
      <c r="V148" t="s">
        <v>4269</v>
      </c>
      <c r="W148" t="s">
        <v>4270</v>
      </c>
      <c r="X148" t="s">
        <v>716</v>
      </c>
      <c r="Y148" t="s">
        <v>4271</v>
      </c>
      <c r="Z148" t="s">
        <v>4272</v>
      </c>
      <c r="AA148" t="s">
        <v>9041</v>
      </c>
      <c r="AB148" t="s">
        <v>9042</v>
      </c>
      <c r="AC148" t="s">
        <v>4273</v>
      </c>
      <c r="AD148" t="s">
        <v>4274</v>
      </c>
      <c r="AE148" t="s">
        <v>4275</v>
      </c>
      <c r="AF148" t="s">
        <v>74</v>
      </c>
      <c r="AG148">
        <v>60</v>
      </c>
      <c r="AH148">
        <v>521</v>
      </c>
      <c r="AI148">
        <v>541</v>
      </c>
      <c r="AJ148">
        <v>37</v>
      </c>
      <c r="AK148">
        <v>669</v>
      </c>
      <c r="AL148" t="s">
        <v>446</v>
      </c>
      <c r="AM148" t="s">
        <v>447</v>
      </c>
      <c r="AN148" t="s">
        <v>448</v>
      </c>
      <c r="AO148" t="s">
        <v>514</v>
      </c>
      <c r="AP148" t="s">
        <v>574</v>
      </c>
      <c r="AQ148" t="s">
        <v>74</v>
      </c>
      <c r="AR148" t="s">
        <v>515</v>
      </c>
      <c r="AS148" t="s">
        <v>516</v>
      </c>
      <c r="AT148" t="s">
        <v>469</v>
      </c>
      <c r="AU148">
        <v>2011</v>
      </c>
      <c r="AV148">
        <v>57</v>
      </c>
      <c r="AW148">
        <v>8</v>
      </c>
      <c r="AX148" t="s">
        <v>74</v>
      </c>
      <c r="AY148" t="s">
        <v>74</v>
      </c>
      <c r="AZ148" t="s">
        <v>74</v>
      </c>
      <c r="BA148" t="s">
        <v>74</v>
      </c>
      <c r="BB148">
        <v>1485</v>
      </c>
      <c r="BC148">
        <v>1509</v>
      </c>
      <c r="BD148" t="s">
        <v>74</v>
      </c>
      <c r="BE148" t="s">
        <v>4276</v>
      </c>
      <c r="BF148" t="str">
        <f>HYPERLINK("http://dx.doi.org/10.1287/mnsc.1110.1370","http://dx.doi.org/10.1287/mnsc.1110.1370")</f>
        <v>http://dx.doi.org/10.1287/mnsc.1110.1370</v>
      </c>
      <c r="BG148" t="s">
        <v>74</v>
      </c>
      <c r="BH148" t="s">
        <v>74</v>
      </c>
      <c r="BI148">
        <v>25</v>
      </c>
      <c r="BJ148" t="s">
        <v>519</v>
      </c>
      <c r="BK148" t="s">
        <v>520</v>
      </c>
      <c r="BL148" t="s">
        <v>521</v>
      </c>
      <c r="BM148" t="s">
        <v>4277</v>
      </c>
      <c r="BN148" t="s">
        <v>74</v>
      </c>
      <c r="BO148" t="s">
        <v>156</v>
      </c>
      <c r="BP148" t="s">
        <v>74</v>
      </c>
      <c r="BQ148" t="s">
        <v>74</v>
      </c>
      <c r="BR148" t="s">
        <v>6098</v>
      </c>
      <c r="BS148" t="s">
        <v>4278</v>
      </c>
      <c r="BT148" t="str">
        <f>HYPERLINK("https%3A%2F%2Fwww.webofscience.com%2Fwos%2Fwoscc%2Ffull-record%2FWOS:000293506000009","View Full Record in Web of Science")</f>
        <v>View Full Record in Web of Science</v>
      </c>
      <c r="BU148" t="s">
        <v>6100</v>
      </c>
      <c r="BV148" s="1" t="s">
        <v>10653</v>
      </c>
    </row>
    <row r="149" spans="1:75" x14ac:dyDescent="0.35">
      <c r="A149" t="s">
        <v>1967</v>
      </c>
      <c r="B149" t="s">
        <v>9917</v>
      </c>
      <c r="C149" t="s">
        <v>74</v>
      </c>
      <c r="D149" t="s">
        <v>9918</v>
      </c>
      <c r="E149" t="s">
        <v>74</v>
      </c>
      <c r="F149" t="s">
        <v>9919</v>
      </c>
      <c r="G149" t="s">
        <v>74</v>
      </c>
      <c r="H149" t="s">
        <v>74</v>
      </c>
      <c r="I149" t="s">
        <v>9920</v>
      </c>
      <c r="J149" t="s">
        <v>9921</v>
      </c>
      <c r="K149" t="s">
        <v>9922</v>
      </c>
      <c r="L149" t="s">
        <v>74</v>
      </c>
      <c r="M149" t="s">
        <v>9923</v>
      </c>
      <c r="N149" t="s">
        <v>3379</v>
      </c>
      <c r="O149" t="s">
        <v>74</v>
      </c>
      <c r="P149" t="s">
        <v>74</v>
      </c>
      <c r="Q149" t="s">
        <v>74</v>
      </c>
      <c r="R149" t="s">
        <v>74</v>
      </c>
      <c r="S149" t="s">
        <v>74</v>
      </c>
      <c r="T149" t="s">
        <v>9924</v>
      </c>
      <c r="U149" t="s">
        <v>74</v>
      </c>
      <c r="V149" t="s">
        <v>9925</v>
      </c>
      <c r="W149" t="s">
        <v>9926</v>
      </c>
      <c r="X149" t="s">
        <v>9927</v>
      </c>
      <c r="Y149" t="s">
        <v>9928</v>
      </c>
      <c r="Z149" t="s">
        <v>9929</v>
      </c>
      <c r="AA149" t="s">
        <v>74</v>
      </c>
      <c r="AB149" t="s">
        <v>74</v>
      </c>
      <c r="AC149" t="s">
        <v>74</v>
      </c>
      <c r="AD149" t="s">
        <v>74</v>
      </c>
      <c r="AE149" t="s">
        <v>74</v>
      </c>
      <c r="AF149" t="s">
        <v>74</v>
      </c>
      <c r="AG149">
        <v>32</v>
      </c>
      <c r="AH149">
        <v>0</v>
      </c>
      <c r="AI149">
        <v>0</v>
      </c>
      <c r="AJ149">
        <v>0</v>
      </c>
      <c r="AK149">
        <v>1</v>
      </c>
      <c r="AL149" t="s">
        <v>9930</v>
      </c>
      <c r="AM149" t="s">
        <v>9931</v>
      </c>
      <c r="AN149" t="s">
        <v>9932</v>
      </c>
      <c r="AO149" t="s">
        <v>9933</v>
      </c>
      <c r="AP149" t="s">
        <v>74</v>
      </c>
      <c r="AQ149" t="s">
        <v>9934</v>
      </c>
      <c r="AR149" t="s">
        <v>9935</v>
      </c>
      <c r="AS149" t="s">
        <v>74</v>
      </c>
      <c r="AT149" t="s">
        <v>74</v>
      </c>
      <c r="AU149">
        <v>2011</v>
      </c>
      <c r="AV149" t="s">
        <v>74</v>
      </c>
      <c r="AW149">
        <v>80</v>
      </c>
      <c r="AX149" t="s">
        <v>74</v>
      </c>
      <c r="AY149" t="s">
        <v>74</v>
      </c>
      <c r="AZ149" t="s">
        <v>74</v>
      </c>
      <c r="BA149" t="s">
        <v>74</v>
      </c>
      <c r="BB149">
        <v>77</v>
      </c>
      <c r="BC149">
        <v>94</v>
      </c>
      <c r="BD149" t="s">
        <v>74</v>
      </c>
      <c r="BE149" t="s">
        <v>74</v>
      </c>
      <c r="BF149" t="s">
        <v>74</v>
      </c>
      <c r="BG149" t="s">
        <v>74</v>
      </c>
      <c r="BH149" t="s">
        <v>74</v>
      </c>
      <c r="BI149">
        <v>18</v>
      </c>
      <c r="BJ149" t="s">
        <v>153</v>
      </c>
      <c r="BK149" t="s">
        <v>1989</v>
      </c>
      <c r="BL149" t="s">
        <v>154</v>
      </c>
      <c r="BM149" t="s">
        <v>9936</v>
      </c>
      <c r="BN149" t="s">
        <v>74</v>
      </c>
      <c r="BO149" t="s">
        <v>74</v>
      </c>
      <c r="BP149" t="s">
        <v>74</v>
      </c>
      <c r="BQ149" t="s">
        <v>74</v>
      </c>
      <c r="BR149" t="s">
        <v>6098</v>
      </c>
      <c r="BS149" t="s">
        <v>9937</v>
      </c>
      <c r="BT149" t="str">
        <f>HYPERLINK("https%3A%2F%2Fwww.webofscience.com%2Fwos%2Fwoscc%2Ffull-record%2FWOS:000294236100006","View Full Record in Web of Science")</f>
        <v>View Full Record in Web of Science</v>
      </c>
      <c r="BU149" t="s">
        <v>6100</v>
      </c>
      <c r="BV149" s="1" t="s">
        <v>6080</v>
      </c>
      <c r="BW149" s="1" t="s">
        <v>6080</v>
      </c>
    </row>
    <row r="150" spans="1:75" x14ac:dyDescent="0.35">
      <c r="A150" t="s">
        <v>72</v>
      </c>
      <c r="B150" t="s">
        <v>10494</v>
      </c>
      <c r="C150" t="s">
        <v>74</v>
      </c>
      <c r="D150" t="s">
        <v>74</v>
      </c>
      <c r="E150" t="s">
        <v>74</v>
      </c>
      <c r="F150" t="s">
        <v>10495</v>
      </c>
      <c r="G150" t="s">
        <v>74</v>
      </c>
      <c r="H150" t="s">
        <v>74</v>
      </c>
      <c r="I150" t="s">
        <v>10496</v>
      </c>
      <c r="J150" t="s">
        <v>10497</v>
      </c>
      <c r="K150" t="s">
        <v>74</v>
      </c>
      <c r="L150" t="s">
        <v>74</v>
      </c>
      <c r="M150" t="s">
        <v>78</v>
      </c>
      <c r="N150" t="s">
        <v>79</v>
      </c>
      <c r="O150" t="s">
        <v>74</v>
      </c>
      <c r="P150" t="s">
        <v>74</v>
      </c>
      <c r="Q150" t="s">
        <v>74</v>
      </c>
      <c r="R150" t="s">
        <v>74</v>
      </c>
      <c r="S150" t="s">
        <v>74</v>
      </c>
      <c r="T150" t="s">
        <v>10498</v>
      </c>
      <c r="U150" t="s">
        <v>10499</v>
      </c>
      <c r="V150" t="s">
        <v>10500</v>
      </c>
      <c r="W150" t="s">
        <v>10501</v>
      </c>
      <c r="X150" t="s">
        <v>10502</v>
      </c>
      <c r="Y150" t="s">
        <v>10503</v>
      </c>
      <c r="Z150" t="s">
        <v>10504</v>
      </c>
      <c r="AA150" t="s">
        <v>74</v>
      </c>
      <c r="AB150" t="s">
        <v>74</v>
      </c>
      <c r="AC150" t="s">
        <v>74</v>
      </c>
      <c r="AD150" t="s">
        <v>74</v>
      </c>
      <c r="AE150" t="s">
        <v>74</v>
      </c>
      <c r="AF150" t="s">
        <v>74</v>
      </c>
      <c r="AG150">
        <v>35</v>
      </c>
      <c r="AH150">
        <v>31</v>
      </c>
      <c r="AI150">
        <v>31</v>
      </c>
      <c r="AJ150">
        <v>4</v>
      </c>
      <c r="AK150">
        <v>28</v>
      </c>
      <c r="AL150" t="s">
        <v>1982</v>
      </c>
      <c r="AM150" t="s">
        <v>1983</v>
      </c>
      <c r="AN150" t="s">
        <v>2573</v>
      </c>
      <c r="AO150" t="s">
        <v>10505</v>
      </c>
      <c r="AP150" t="s">
        <v>10506</v>
      </c>
      <c r="AQ150" t="s">
        <v>74</v>
      </c>
      <c r="AR150" t="s">
        <v>10507</v>
      </c>
      <c r="AS150" t="s">
        <v>10508</v>
      </c>
      <c r="AT150" t="s">
        <v>74</v>
      </c>
      <c r="AU150">
        <v>2011</v>
      </c>
      <c r="AV150">
        <v>21</v>
      </c>
      <c r="AW150">
        <v>6</v>
      </c>
      <c r="AX150" t="s">
        <v>74</v>
      </c>
      <c r="AY150" t="s">
        <v>74</v>
      </c>
      <c r="AZ150" t="s">
        <v>259</v>
      </c>
      <c r="BA150" t="s">
        <v>74</v>
      </c>
      <c r="BB150">
        <v>636</v>
      </c>
      <c r="BC150">
        <v>648</v>
      </c>
      <c r="BD150" t="s">
        <v>74</v>
      </c>
      <c r="BE150" t="s">
        <v>10509</v>
      </c>
      <c r="BF150" t="str">
        <f>HYPERLINK("http://dx.doi.org/10.1108/09604521111185628","http://dx.doi.org/10.1108/09604521111185628")</f>
        <v>http://dx.doi.org/10.1108/09604521111185628</v>
      </c>
      <c r="BG150" t="s">
        <v>74</v>
      </c>
      <c r="BH150" t="s">
        <v>74</v>
      </c>
      <c r="BI150">
        <v>13</v>
      </c>
      <c r="BJ150" t="s">
        <v>2493</v>
      </c>
      <c r="BK150" t="s">
        <v>101</v>
      </c>
      <c r="BL150" t="s">
        <v>154</v>
      </c>
      <c r="BM150" t="s">
        <v>10510</v>
      </c>
      <c r="BN150" t="s">
        <v>74</v>
      </c>
      <c r="BO150" t="s">
        <v>74</v>
      </c>
      <c r="BP150" t="s">
        <v>74</v>
      </c>
      <c r="BQ150" t="s">
        <v>74</v>
      </c>
      <c r="BR150" t="s">
        <v>6098</v>
      </c>
      <c r="BS150" t="s">
        <v>10511</v>
      </c>
      <c r="BT150" t="str">
        <f>HYPERLINK("https%3A%2F%2Fwww.webofscience.com%2Fwos%2Fwoscc%2Ffull-record%2FWOS:000298895400005","View Full Record in Web of Science")</f>
        <v>View Full Record in Web of Science</v>
      </c>
      <c r="BU150" t="s">
        <v>6100</v>
      </c>
      <c r="BV150" s="1" t="s">
        <v>10653</v>
      </c>
    </row>
    <row r="151" spans="1:75" ht="377" x14ac:dyDescent="0.35">
      <c r="A151" s="1" t="s">
        <v>72</v>
      </c>
      <c r="B151" s="1" t="s">
        <v>285</v>
      </c>
      <c r="C151" s="1" t="s">
        <v>74</v>
      </c>
      <c r="D151" s="1" t="s">
        <v>74</v>
      </c>
      <c r="E151" s="1" t="s">
        <v>74</v>
      </c>
      <c r="F151" s="1" t="s">
        <v>286</v>
      </c>
      <c r="G151" s="1" t="s">
        <v>74</v>
      </c>
      <c r="H151" s="1" t="s">
        <v>74</v>
      </c>
      <c r="I151" s="1" t="s">
        <v>287</v>
      </c>
      <c r="J151" s="1" t="s">
        <v>136</v>
      </c>
      <c r="K151" s="1" t="s">
        <v>74</v>
      </c>
      <c r="L151" s="1" t="s">
        <v>74</v>
      </c>
      <c r="M151" s="1" t="s">
        <v>78</v>
      </c>
      <c r="N151" s="1" t="s">
        <v>79</v>
      </c>
      <c r="O151" s="1" t="s">
        <v>74</v>
      </c>
      <c r="P151" s="1" t="s">
        <v>74</v>
      </c>
      <c r="Q151" s="1" t="s">
        <v>74</v>
      </c>
      <c r="R151" s="1" t="s">
        <v>74</v>
      </c>
      <c r="S151" s="1" t="s">
        <v>74</v>
      </c>
      <c r="T151" s="1" t="s">
        <v>288</v>
      </c>
      <c r="U151" s="1" t="s">
        <v>289</v>
      </c>
      <c r="V151" s="1" t="s">
        <v>290</v>
      </c>
      <c r="W151" s="1" t="s">
        <v>291</v>
      </c>
      <c r="X151" s="1" t="s">
        <v>228</v>
      </c>
      <c r="Y151" s="1" t="s">
        <v>292</v>
      </c>
      <c r="Z151" s="1" t="s">
        <v>293</v>
      </c>
      <c r="AA151" s="1" t="s">
        <v>74</v>
      </c>
      <c r="AB151" s="1" t="s">
        <v>74</v>
      </c>
      <c r="AC151" s="1" t="s">
        <v>74</v>
      </c>
      <c r="AD151" s="1" t="s">
        <v>74</v>
      </c>
      <c r="AE151" s="1" t="s">
        <v>74</v>
      </c>
      <c r="AF151" s="1" t="s">
        <v>74</v>
      </c>
      <c r="AG151" s="1">
        <v>49</v>
      </c>
      <c r="AH151" s="1">
        <v>1287</v>
      </c>
      <c r="AI151" s="1">
        <v>1313</v>
      </c>
      <c r="AJ151" s="1">
        <v>62</v>
      </c>
      <c r="AK151" s="1">
        <v>766</v>
      </c>
      <c r="AL151" s="1" t="s">
        <v>144</v>
      </c>
      <c r="AM151" s="1" t="s">
        <v>145</v>
      </c>
      <c r="AN151" s="1" t="s">
        <v>146</v>
      </c>
      <c r="AO151" s="1" t="s">
        <v>147</v>
      </c>
      <c r="AP151" s="1" t="s">
        <v>148</v>
      </c>
      <c r="AQ151" s="1" t="s">
        <v>74</v>
      </c>
      <c r="AR151" s="1" t="s">
        <v>149</v>
      </c>
      <c r="AS151" s="1" t="s">
        <v>150</v>
      </c>
      <c r="AT151" s="1" t="s">
        <v>294</v>
      </c>
      <c r="AU151" s="1">
        <v>2012</v>
      </c>
      <c r="AV151" s="1">
        <v>49</v>
      </c>
      <c r="AW151" s="1">
        <v>2</v>
      </c>
      <c r="AX151" s="1" t="s">
        <v>74</v>
      </c>
      <c r="AY151" s="1" t="s">
        <v>74</v>
      </c>
      <c r="AZ151" s="1" t="s">
        <v>74</v>
      </c>
      <c r="BA151" s="1" t="s">
        <v>74</v>
      </c>
      <c r="BB151" s="1">
        <v>192</v>
      </c>
      <c r="BC151" s="1">
        <v>205</v>
      </c>
      <c r="BD151" s="1" t="s">
        <v>74</v>
      </c>
      <c r="BE151" s="1" t="s">
        <v>295</v>
      </c>
      <c r="BF151" s="1" t="str">
        <f>HYPERLINK("http://dx.doi.org/10.1509/jmr.10.0353","http://dx.doi.org/10.1509/jmr.10.0353")</f>
        <v>http://dx.doi.org/10.1509/jmr.10.0353</v>
      </c>
      <c r="BG151" s="1" t="s">
        <v>74</v>
      </c>
      <c r="BH151" s="1" t="s">
        <v>74</v>
      </c>
      <c r="BI151" s="1">
        <v>14</v>
      </c>
      <c r="BJ151" s="1" t="s">
        <v>153</v>
      </c>
      <c r="BK151" s="1" t="s">
        <v>101</v>
      </c>
      <c r="BL151" s="1" t="s">
        <v>154</v>
      </c>
      <c r="BM151" s="1" t="s">
        <v>296</v>
      </c>
      <c r="BN151" s="1" t="s">
        <v>74</v>
      </c>
      <c r="BO151" s="1" t="s">
        <v>74</v>
      </c>
      <c r="BP151" s="1" t="s">
        <v>218</v>
      </c>
      <c r="BQ151" s="1" t="s">
        <v>219</v>
      </c>
      <c r="BR151" s="1" t="s">
        <v>104</v>
      </c>
      <c r="BS151" s="1" t="s">
        <v>297</v>
      </c>
      <c r="BT151" s="1" t="str">
        <f>HYPERLINK("https%3A%2F%2Fwww.webofscience.com%2Fwos%2Fwoscc%2Ffull-record%2FWOS:000301805100005","View Full Record in Web of Science")</f>
        <v>View Full Record in Web of Science</v>
      </c>
      <c r="BU151" s="1" t="s">
        <v>2040</v>
      </c>
      <c r="BV151" s="1" t="s">
        <v>6080</v>
      </c>
      <c r="BW151" s="1" t="s">
        <v>6080</v>
      </c>
    </row>
    <row r="152" spans="1:75" ht="362.5" x14ac:dyDescent="0.35">
      <c r="A152" s="1" t="s">
        <v>72</v>
      </c>
      <c r="B152" s="1" t="s">
        <v>524</v>
      </c>
      <c r="C152" s="1" t="s">
        <v>74</v>
      </c>
      <c r="D152" s="1" t="s">
        <v>74</v>
      </c>
      <c r="E152" s="1" t="s">
        <v>74</v>
      </c>
      <c r="F152" s="1" t="s">
        <v>525</v>
      </c>
      <c r="G152" s="1" t="s">
        <v>74</v>
      </c>
      <c r="H152" s="1" t="s">
        <v>74</v>
      </c>
      <c r="I152" s="1" t="s">
        <v>526</v>
      </c>
      <c r="J152" s="1" t="s">
        <v>136</v>
      </c>
      <c r="K152" s="1" t="s">
        <v>74</v>
      </c>
      <c r="L152" s="1" t="s">
        <v>74</v>
      </c>
      <c r="M152" s="1" t="s">
        <v>78</v>
      </c>
      <c r="N152" s="1" t="s">
        <v>79</v>
      </c>
      <c r="O152" s="1" t="s">
        <v>74</v>
      </c>
      <c r="P152" s="1" t="s">
        <v>74</v>
      </c>
      <c r="Q152" s="1" t="s">
        <v>74</v>
      </c>
      <c r="R152" s="1" t="s">
        <v>74</v>
      </c>
      <c r="S152" s="1" t="s">
        <v>74</v>
      </c>
      <c r="T152" s="1" t="s">
        <v>527</v>
      </c>
      <c r="U152" s="1" t="s">
        <v>528</v>
      </c>
      <c r="V152" s="1" t="s">
        <v>529</v>
      </c>
      <c r="W152" s="1" t="s">
        <v>530</v>
      </c>
      <c r="X152" s="1" t="s">
        <v>531</v>
      </c>
      <c r="Y152" s="1" t="s">
        <v>532</v>
      </c>
      <c r="Z152" s="1" t="s">
        <v>533</v>
      </c>
      <c r="AA152" s="1" t="s">
        <v>534</v>
      </c>
      <c r="AB152" s="1" t="s">
        <v>535</v>
      </c>
      <c r="AC152" s="1" t="s">
        <v>74</v>
      </c>
      <c r="AD152" s="1" t="s">
        <v>74</v>
      </c>
      <c r="AE152" s="1" t="s">
        <v>74</v>
      </c>
      <c r="AF152" s="1" t="s">
        <v>74</v>
      </c>
      <c r="AG152" s="1">
        <v>64</v>
      </c>
      <c r="AH152" s="1">
        <v>206</v>
      </c>
      <c r="AI152" s="1">
        <v>206</v>
      </c>
      <c r="AJ152" s="1">
        <v>7</v>
      </c>
      <c r="AK152" s="1">
        <v>129</v>
      </c>
      <c r="AL152" s="1" t="s">
        <v>232</v>
      </c>
      <c r="AM152" s="1" t="s">
        <v>233</v>
      </c>
      <c r="AN152" s="1" t="s">
        <v>234</v>
      </c>
      <c r="AO152" s="1" t="s">
        <v>147</v>
      </c>
      <c r="AP152" s="1" t="s">
        <v>74</v>
      </c>
      <c r="AQ152" s="1" t="s">
        <v>74</v>
      </c>
      <c r="AR152" s="1" t="s">
        <v>149</v>
      </c>
      <c r="AS152" s="1" t="s">
        <v>150</v>
      </c>
      <c r="AT152" s="1" t="s">
        <v>469</v>
      </c>
      <c r="AU152" s="1">
        <v>2012</v>
      </c>
      <c r="AV152" s="1">
        <v>49</v>
      </c>
      <c r="AW152" s="1">
        <v>4</v>
      </c>
      <c r="AX152" s="1" t="s">
        <v>74</v>
      </c>
      <c r="AY152" s="1" t="s">
        <v>74</v>
      </c>
      <c r="AZ152" s="1" t="s">
        <v>74</v>
      </c>
      <c r="BA152" s="1" t="s">
        <v>74</v>
      </c>
      <c r="BB152" s="1">
        <v>551</v>
      </c>
      <c r="BC152" s="1">
        <v>563</v>
      </c>
      <c r="BD152" s="1" t="s">
        <v>74</v>
      </c>
      <c r="BE152" s="1" t="s">
        <v>536</v>
      </c>
      <c r="BF152" s="1" t="str">
        <f>HYPERLINK("http://dx.doi.org/10.1509/jmr.11.0136","http://dx.doi.org/10.1509/jmr.11.0136")</f>
        <v>http://dx.doi.org/10.1509/jmr.11.0136</v>
      </c>
      <c r="BG152" s="1" t="s">
        <v>74</v>
      </c>
      <c r="BH152" s="1" t="s">
        <v>74</v>
      </c>
      <c r="BI152" s="1">
        <v>13</v>
      </c>
      <c r="BJ152" s="1" t="s">
        <v>153</v>
      </c>
      <c r="BK152" s="1" t="s">
        <v>101</v>
      </c>
      <c r="BL152" s="1" t="s">
        <v>154</v>
      </c>
      <c r="BM152" s="1" t="s">
        <v>537</v>
      </c>
      <c r="BN152" s="1" t="s">
        <v>74</v>
      </c>
      <c r="BO152" s="1" t="s">
        <v>74</v>
      </c>
      <c r="BP152" s="1" t="s">
        <v>74</v>
      </c>
      <c r="BQ152" s="1" t="s">
        <v>74</v>
      </c>
      <c r="BR152" s="1" t="s">
        <v>104</v>
      </c>
      <c r="BS152" s="1" t="s">
        <v>538</v>
      </c>
      <c r="BT152" s="1" t="str">
        <f>HYPERLINK("https%3A%2F%2Fwww.webofscience.com%2Fwos%2Fwoscc%2Ffull-record%2FWOS:000306717200008","View Full Record in Web of Science")</f>
        <v>View Full Record in Web of Science</v>
      </c>
      <c r="BU152" s="1" t="s">
        <v>2040</v>
      </c>
      <c r="BV152" s="1" t="s">
        <v>6080</v>
      </c>
      <c r="BW152" s="1" t="s">
        <v>6080</v>
      </c>
    </row>
    <row r="153" spans="1:75" ht="319" x14ac:dyDescent="0.35">
      <c r="A153" s="1" t="s">
        <v>72</v>
      </c>
      <c r="B153" s="1" t="s">
        <v>750</v>
      </c>
      <c r="C153" s="1" t="s">
        <v>74</v>
      </c>
      <c r="D153" s="1" t="s">
        <v>74</v>
      </c>
      <c r="E153" s="1" t="s">
        <v>74</v>
      </c>
      <c r="F153" s="1" t="s">
        <v>751</v>
      </c>
      <c r="G153" s="1" t="s">
        <v>74</v>
      </c>
      <c r="H153" s="1" t="s">
        <v>74</v>
      </c>
      <c r="I153" s="1" t="s">
        <v>752</v>
      </c>
      <c r="J153" s="1" t="s">
        <v>436</v>
      </c>
      <c r="K153" s="1" t="s">
        <v>74</v>
      </c>
      <c r="L153" s="1" t="s">
        <v>74</v>
      </c>
      <c r="M153" s="1" t="s">
        <v>78</v>
      </c>
      <c r="N153" s="1" t="s">
        <v>79</v>
      </c>
      <c r="O153" s="1" t="s">
        <v>74</v>
      </c>
      <c r="P153" s="1" t="s">
        <v>74</v>
      </c>
      <c r="Q153" s="1" t="s">
        <v>74</v>
      </c>
      <c r="R153" s="1" t="s">
        <v>74</v>
      </c>
      <c r="S153" s="1" t="s">
        <v>74</v>
      </c>
      <c r="T153" s="1" t="s">
        <v>753</v>
      </c>
      <c r="U153" s="1" t="s">
        <v>754</v>
      </c>
      <c r="V153" s="1" t="s">
        <v>755</v>
      </c>
      <c r="W153" s="1" t="s">
        <v>756</v>
      </c>
      <c r="X153" s="1" t="s">
        <v>757</v>
      </c>
      <c r="Y153" s="1" t="s">
        <v>758</v>
      </c>
      <c r="Z153" s="1" t="s">
        <v>759</v>
      </c>
      <c r="AA153" s="1" t="s">
        <v>74</v>
      </c>
      <c r="AB153" s="1" t="s">
        <v>74</v>
      </c>
      <c r="AC153" s="1" t="s">
        <v>74</v>
      </c>
      <c r="AD153" s="1" t="s">
        <v>74</v>
      </c>
      <c r="AE153" s="1" t="s">
        <v>74</v>
      </c>
      <c r="AF153" s="1" t="s">
        <v>74</v>
      </c>
      <c r="AG153" s="1">
        <v>50</v>
      </c>
      <c r="AH153" s="1">
        <v>217</v>
      </c>
      <c r="AI153" s="1">
        <v>220</v>
      </c>
      <c r="AJ153" s="1">
        <v>5</v>
      </c>
      <c r="AK153" s="1">
        <v>160</v>
      </c>
      <c r="AL153" s="1" t="s">
        <v>446</v>
      </c>
      <c r="AM153" s="1" t="s">
        <v>447</v>
      </c>
      <c r="AN153" s="1" t="s">
        <v>448</v>
      </c>
      <c r="AO153" s="1" t="s">
        <v>449</v>
      </c>
      <c r="AP153" s="1" t="s">
        <v>450</v>
      </c>
      <c r="AQ153" s="1" t="s">
        <v>74</v>
      </c>
      <c r="AR153" s="1" t="s">
        <v>451</v>
      </c>
      <c r="AS153" s="1" t="s">
        <v>452</v>
      </c>
      <c r="AT153" s="1" t="s">
        <v>760</v>
      </c>
      <c r="AU153" s="1">
        <v>2012</v>
      </c>
      <c r="AV153" s="1">
        <v>31</v>
      </c>
      <c r="AW153" s="1">
        <v>3</v>
      </c>
      <c r="AX153" s="1" t="s">
        <v>74</v>
      </c>
      <c r="AY153" s="1" t="s">
        <v>74</v>
      </c>
      <c r="AZ153" s="1" t="s">
        <v>259</v>
      </c>
      <c r="BA153" s="1" t="s">
        <v>74</v>
      </c>
      <c r="BB153" s="1">
        <v>448</v>
      </c>
      <c r="BC153" s="1">
        <v>473</v>
      </c>
      <c r="BD153" s="1" t="s">
        <v>74</v>
      </c>
      <c r="BE153" s="1" t="s">
        <v>761</v>
      </c>
      <c r="BF153" s="1" t="str">
        <f>HYPERLINK("http://dx.doi.org/10.1287/mksc.1110.0653","http://dx.doi.org/10.1287/mksc.1110.0653")</f>
        <v>http://dx.doi.org/10.1287/mksc.1110.0653</v>
      </c>
      <c r="BG153" s="1" t="s">
        <v>74</v>
      </c>
      <c r="BH153" s="1" t="s">
        <v>74</v>
      </c>
      <c r="BI153" s="1">
        <v>26</v>
      </c>
      <c r="BJ153" s="1" t="s">
        <v>153</v>
      </c>
      <c r="BK153" s="1" t="s">
        <v>101</v>
      </c>
      <c r="BL153" s="1" t="s">
        <v>154</v>
      </c>
      <c r="BM153" s="1" t="s">
        <v>762</v>
      </c>
      <c r="BN153" s="1" t="s">
        <v>74</v>
      </c>
      <c r="BO153" s="1" t="s">
        <v>74</v>
      </c>
      <c r="BP153" s="1" t="s">
        <v>74</v>
      </c>
      <c r="BQ153" s="1" t="s">
        <v>74</v>
      </c>
      <c r="BR153" s="1" t="s">
        <v>104</v>
      </c>
      <c r="BS153" s="1" t="s">
        <v>763</v>
      </c>
      <c r="BT153" s="1" t="str">
        <f>HYPERLINK("https%3A%2F%2Fwww.webofscience.com%2Fwos%2Fwoscc%2Ffull-record%2FWOS:000304638000006","View Full Record in Web of Science")</f>
        <v>View Full Record in Web of Science</v>
      </c>
      <c r="BU153" s="1" t="s">
        <v>2040</v>
      </c>
      <c r="BV153" s="1" t="s">
        <v>6080</v>
      </c>
      <c r="BW153" s="1" t="s">
        <v>6080</v>
      </c>
    </row>
    <row r="154" spans="1:75" ht="409.5" x14ac:dyDescent="0.35">
      <c r="A154" s="1" t="s">
        <v>72</v>
      </c>
      <c r="B154" s="1" t="s">
        <v>1275</v>
      </c>
      <c r="C154" s="1" t="s">
        <v>74</v>
      </c>
      <c r="D154" s="1" t="s">
        <v>74</v>
      </c>
      <c r="E154" s="1" t="s">
        <v>74</v>
      </c>
      <c r="F154" s="1" t="s">
        <v>1276</v>
      </c>
      <c r="G154" s="1" t="s">
        <v>74</v>
      </c>
      <c r="H154" s="1" t="s">
        <v>74</v>
      </c>
      <c r="I154" s="1" t="s">
        <v>1277</v>
      </c>
      <c r="J154" s="1" t="s">
        <v>436</v>
      </c>
      <c r="K154" s="1" t="s">
        <v>74</v>
      </c>
      <c r="L154" s="1" t="s">
        <v>74</v>
      </c>
      <c r="M154" s="1" t="s">
        <v>78</v>
      </c>
      <c r="N154" s="1" t="s">
        <v>79</v>
      </c>
      <c r="O154" s="1" t="s">
        <v>74</v>
      </c>
      <c r="P154" s="1" t="s">
        <v>74</v>
      </c>
      <c r="Q154" s="1" t="s">
        <v>74</v>
      </c>
      <c r="R154" s="1" t="s">
        <v>74</v>
      </c>
      <c r="S154" s="1" t="s">
        <v>74</v>
      </c>
      <c r="T154" s="1" t="s">
        <v>1278</v>
      </c>
      <c r="U154" s="1" t="s">
        <v>1279</v>
      </c>
      <c r="V154" s="1" t="s">
        <v>1280</v>
      </c>
      <c r="W154" s="1" t="s">
        <v>1281</v>
      </c>
      <c r="X154" s="1" t="s">
        <v>1282</v>
      </c>
      <c r="Y154" s="1" t="s">
        <v>1283</v>
      </c>
      <c r="Z154" s="1" t="s">
        <v>1284</v>
      </c>
      <c r="AA154" s="1" t="s">
        <v>74</v>
      </c>
      <c r="AB154" s="1" t="s">
        <v>74</v>
      </c>
      <c r="AC154" s="1" t="s">
        <v>74</v>
      </c>
      <c r="AD154" s="1" t="s">
        <v>74</v>
      </c>
      <c r="AE154" s="1" t="s">
        <v>74</v>
      </c>
      <c r="AF154" s="1" t="s">
        <v>74</v>
      </c>
      <c r="AG154" s="1">
        <v>36</v>
      </c>
      <c r="AH154" s="1">
        <v>296</v>
      </c>
      <c r="AI154" s="1">
        <v>298</v>
      </c>
      <c r="AJ154" s="1">
        <v>8</v>
      </c>
      <c r="AK154" s="1">
        <v>270</v>
      </c>
      <c r="AL154" s="1" t="s">
        <v>446</v>
      </c>
      <c r="AM154" s="1" t="s">
        <v>447</v>
      </c>
      <c r="AN154" s="1" t="s">
        <v>448</v>
      </c>
      <c r="AO154" s="1" t="s">
        <v>449</v>
      </c>
      <c r="AP154" s="1" t="s">
        <v>450</v>
      </c>
      <c r="AQ154" s="1" t="s">
        <v>74</v>
      </c>
      <c r="AR154" s="1" t="s">
        <v>451</v>
      </c>
      <c r="AS154" s="1" t="s">
        <v>452</v>
      </c>
      <c r="AT154" s="1" t="s">
        <v>760</v>
      </c>
      <c r="AU154" s="1">
        <v>2012</v>
      </c>
      <c r="AV154" s="1">
        <v>31</v>
      </c>
      <c r="AW154" s="1">
        <v>3</v>
      </c>
      <c r="AX154" s="1" t="s">
        <v>74</v>
      </c>
      <c r="AY154" s="1" t="s">
        <v>74</v>
      </c>
      <c r="AZ154" s="1" t="s">
        <v>259</v>
      </c>
      <c r="BA154" s="1" t="s">
        <v>74</v>
      </c>
      <c r="BB154" s="1">
        <v>372</v>
      </c>
      <c r="BC154" s="1">
        <v>386</v>
      </c>
      <c r="BD154" s="1" t="s">
        <v>74</v>
      </c>
      <c r="BE154" s="1" t="s">
        <v>1285</v>
      </c>
      <c r="BF154" s="1" t="str">
        <f>HYPERLINK("http://dx.doi.org/10.1287/mksc.1110.0662","http://dx.doi.org/10.1287/mksc.1110.0662")</f>
        <v>http://dx.doi.org/10.1287/mksc.1110.0662</v>
      </c>
      <c r="BG154" s="1" t="s">
        <v>74</v>
      </c>
      <c r="BH154" s="1" t="s">
        <v>74</v>
      </c>
      <c r="BI154" s="1">
        <v>15</v>
      </c>
      <c r="BJ154" s="1" t="s">
        <v>153</v>
      </c>
      <c r="BK154" s="1" t="s">
        <v>101</v>
      </c>
      <c r="BL154" s="1" t="s">
        <v>154</v>
      </c>
      <c r="BM154" s="1" t="s">
        <v>762</v>
      </c>
      <c r="BN154" s="1" t="s">
        <v>74</v>
      </c>
      <c r="BO154" s="1" t="s">
        <v>74</v>
      </c>
      <c r="BP154" s="1" t="s">
        <v>218</v>
      </c>
      <c r="BQ154" s="1" t="s">
        <v>219</v>
      </c>
      <c r="BR154" s="1" t="s">
        <v>104</v>
      </c>
      <c r="BS154" s="1" t="s">
        <v>1286</v>
      </c>
      <c r="BT154" s="1" t="str">
        <f>HYPERLINK("https%3A%2F%2Fwww.webofscience.com%2Fwos%2Fwoscc%2Ffull-record%2FWOS:000304638000002","View Full Record in Web of Science")</f>
        <v>View Full Record in Web of Science</v>
      </c>
      <c r="BU154" s="1" t="s">
        <v>2040</v>
      </c>
      <c r="BV154" s="1" t="s">
        <v>6080</v>
      </c>
      <c r="BW154" s="1" t="s">
        <v>6080</v>
      </c>
    </row>
    <row r="155" spans="1:75" ht="348" x14ac:dyDescent="0.35">
      <c r="A155" s="1" t="s">
        <v>72</v>
      </c>
      <c r="B155" s="1" t="s">
        <v>1385</v>
      </c>
      <c r="C155" s="1" t="s">
        <v>74</v>
      </c>
      <c r="D155" s="1" t="s">
        <v>74</v>
      </c>
      <c r="E155" s="1" t="s">
        <v>74</v>
      </c>
      <c r="F155" s="1" t="s">
        <v>1386</v>
      </c>
      <c r="G155" s="1" t="s">
        <v>74</v>
      </c>
      <c r="H155" s="1" t="s">
        <v>74</v>
      </c>
      <c r="I155" s="1" t="s">
        <v>1387</v>
      </c>
      <c r="J155" s="1" t="s">
        <v>436</v>
      </c>
      <c r="K155" s="1" t="s">
        <v>74</v>
      </c>
      <c r="L155" s="1" t="s">
        <v>74</v>
      </c>
      <c r="M155" s="1" t="s">
        <v>78</v>
      </c>
      <c r="N155" s="1" t="s">
        <v>79</v>
      </c>
      <c r="O155" s="1" t="s">
        <v>74</v>
      </c>
      <c r="P155" s="1" t="s">
        <v>74</v>
      </c>
      <c r="Q155" s="1" t="s">
        <v>74</v>
      </c>
      <c r="R155" s="1" t="s">
        <v>74</v>
      </c>
      <c r="S155" s="1" t="s">
        <v>74</v>
      </c>
      <c r="T155" s="1" t="s">
        <v>1388</v>
      </c>
      <c r="U155" s="1" t="s">
        <v>1389</v>
      </c>
      <c r="V155" s="1" t="s">
        <v>1390</v>
      </c>
      <c r="W155" s="1" t="s">
        <v>1391</v>
      </c>
      <c r="X155" s="1" t="s">
        <v>1392</v>
      </c>
      <c r="Y155" s="1" t="s">
        <v>1393</v>
      </c>
      <c r="Z155" s="1" t="s">
        <v>1394</v>
      </c>
      <c r="AA155" s="1" t="s">
        <v>74</v>
      </c>
      <c r="AB155" s="1" t="s">
        <v>74</v>
      </c>
      <c r="AC155" s="1" t="s">
        <v>74</v>
      </c>
      <c r="AD155" s="1" t="s">
        <v>74</v>
      </c>
      <c r="AE155" s="1" t="s">
        <v>74</v>
      </c>
      <c r="AF155" s="1" t="s">
        <v>74</v>
      </c>
      <c r="AG155" s="1">
        <v>71</v>
      </c>
      <c r="AH155" s="1">
        <v>360</v>
      </c>
      <c r="AI155" s="1">
        <v>366</v>
      </c>
      <c r="AJ155" s="1">
        <v>28</v>
      </c>
      <c r="AK155" s="1">
        <v>308</v>
      </c>
      <c r="AL155" s="1" t="s">
        <v>446</v>
      </c>
      <c r="AM155" s="1" t="s">
        <v>447</v>
      </c>
      <c r="AN155" s="1" t="s">
        <v>448</v>
      </c>
      <c r="AO155" s="1" t="s">
        <v>449</v>
      </c>
      <c r="AP155" s="1" t="s">
        <v>450</v>
      </c>
      <c r="AQ155" s="1" t="s">
        <v>74</v>
      </c>
      <c r="AR155" s="1" t="s">
        <v>451</v>
      </c>
      <c r="AS155" s="1" t="s">
        <v>452</v>
      </c>
      <c r="AT155" s="1" t="s">
        <v>760</v>
      </c>
      <c r="AU155" s="1">
        <v>2012</v>
      </c>
      <c r="AV155" s="1">
        <v>31</v>
      </c>
      <c r="AW155" s="1">
        <v>3</v>
      </c>
      <c r="AX155" s="1" t="s">
        <v>74</v>
      </c>
      <c r="AY155" s="1" t="s">
        <v>74</v>
      </c>
      <c r="AZ155" s="1" t="s">
        <v>259</v>
      </c>
      <c r="BA155" s="1" t="s">
        <v>74</v>
      </c>
      <c r="BB155" s="1">
        <v>521</v>
      </c>
      <c r="BC155" s="1">
        <v>543</v>
      </c>
      <c r="BD155" s="1" t="s">
        <v>74</v>
      </c>
      <c r="BE155" s="1" t="s">
        <v>1395</v>
      </c>
      <c r="BF155" s="1" t="str">
        <f>HYPERLINK("http://dx.doi.org/10.1287/mksc.1120.0713","http://dx.doi.org/10.1287/mksc.1120.0713")</f>
        <v>http://dx.doi.org/10.1287/mksc.1120.0713</v>
      </c>
      <c r="BG155" s="1" t="s">
        <v>74</v>
      </c>
      <c r="BH155" s="1" t="s">
        <v>74</v>
      </c>
      <c r="BI155" s="1">
        <v>23</v>
      </c>
      <c r="BJ155" s="1" t="s">
        <v>153</v>
      </c>
      <c r="BK155" s="1" t="s">
        <v>101</v>
      </c>
      <c r="BL155" s="1" t="s">
        <v>154</v>
      </c>
      <c r="BM155" s="1" t="s">
        <v>762</v>
      </c>
      <c r="BN155" s="1" t="s">
        <v>74</v>
      </c>
      <c r="BO155" s="1" t="s">
        <v>74</v>
      </c>
      <c r="BP155" s="1" t="s">
        <v>218</v>
      </c>
      <c r="BQ155" s="1" t="s">
        <v>219</v>
      </c>
      <c r="BR155" s="1" t="s">
        <v>104</v>
      </c>
      <c r="BS155" s="1" t="s">
        <v>1396</v>
      </c>
      <c r="BT155" s="1" t="str">
        <f>HYPERLINK("https%3A%2F%2Fwww.webofscience.com%2Fwos%2Fwoscc%2Ffull-record%2FWOS:000304638000009","View Full Record in Web of Science")</f>
        <v>View Full Record in Web of Science</v>
      </c>
      <c r="BU155" s="1" t="s">
        <v>2040</v>
      </c>
      <c r="BV155" s="1" t="s">
        <v>6080</v>
      </c>
      <c r="BW155" s="1" t="s">
        <v>6080</v>
      </c>
    </row>
    <row r="156" spans="1:75" ht="275.5" x14ac:dyDescent="0.35">
      <c r="A156" s="1" t="s">
        <v>72</v>
      </c>
      <c r="B156" s="1" t="s">
        <v>1515</v>
      </c>
      <c r="C156" s="1" t="s">
        <v>74</v>
      </c>
      <c r="D156" s="1" t="s">
        <v>74</v>
      </c>
      <c r="E156" s="1" t="s">
        <v>74</v>
      </c>
      <c r="F156" s="1" t="s">
        <v>1516</v>
      </c>
      <c r="G156" s="1" t="s">
        <v>74</v>
      </c>
      <c r="H156" s="1" t="s">
        <v>74</v>
      </c>
      <c r="I156" s="1" t="s">
        <v>1517</v>
      </c>
      <c r="J156" s="1" t="s">
        <v>1518</v>
      </c>
      <c r="K156" s="1" t="s">
        <v>74</v>
      </c>
      <c r="L156" s="1" t="s">
        <v>74</v>
      </c>
      <c r="M156" s="1" t="s">
        <v>78</v>
      </c>
      <c r="N156" s="1" t="s">
        <v>79</v>
      </c>
      <c r="O156" s="1" t="s">
        <v>74</v>
      </c>
      <c r="P156" s="1" t="s">
        <v>74</v>
      </c>
      <c r="Q156" s="1" t="s">
        <v>74</v>
      </c>
      <c r="R156" s="1" t="s">
        <v>74</v>
      </c>
      <c r="S156" s="1" t="s">
        <v>74</v>
      </c>
      <c r="T156" s="1" t="s">
        <v>1519</v>
      </c>
      <c r="U156" s="1" t="s">
        <v>1520</v>
      </c>
      <c r="V156" s="1" t="s">
        <v>1521</v>
      </c>
      <c r="W156" s="1" t="s">
        <v>1522</v>
      </c>
      <c r="X156" s="1" t="s">
        <v>1523</v>
      </c>
      <c r="Y156" s="1" t="s">
        <v>1524</v>
      </c>
      <c r="Z156" s="1" t="s">
        <v>1525</v>
      </c>
      <c r="AA156" s="1" t="s">
        <v>74</v>
      </c>
      <c r="AB156" s="1" t="s">
        <v>74</v>
      </c>
      <c r="AC156" s="1" t="s">
        <v>74</v>
      </c>
      <c r="AD156" s="1" t="s">
        <v>74</v>
      </c>
      <c r="AE156" s="1" t="s">
        <v>74</v>
      </c>
      <c r="AF156" s="1" t="s">
        <v>74</v>
      </c>
      <c r="AG156" s="1">
        <v>129</v>
      </c>
      <c r="AH156" s="1">
        <v>75</v>
      </c>
      <c r="AI156" s="1">
        <v>75</v>
      </c>
      <c r="AJ156" s="1">
        <v>9</v>
      </c>
      <c r="AK156" s="1">
        <v>100</v>
      </c>
      <c r="AL156" s="1" t="s">
        <v>144</v>
      </c>
      <c r="AM156" s="1" t="s">
        <v>145</v>
      </c>
      <c r="AN156" s="1" t="s">
        <v>146</v>
      </c>
      <c r="AO156" s="1" t="s">
        <v>1526</v>
      </c>
      <c r="AP156" s="1" t="s">
        <v>1527</v>
      </c>
      <c r="AQ156" s="1" t="s">
        <v>74</v>
      </c>
      <c r="AR156" s="1" t="s">
        <v>1528</v>
      </c>
      <c r="AS156" s="1" t="s">
        <v>1529</v>
      </c>
      <c r="AT156" s="1" t="s">
        <v>294</v>
      </c>
      <c r="AU156" s="1">
        <v>2012</v>
      </c>
      <c r="AV156" s="1">
        <v>15</v>
      </c>
      <c r="AW156" s="1">
        <v>2</v>
      </c>
      <c r="AX156" s="1" t="s">
        <v>74</v>
      </c>
      <c r="AY156" s="1" t="s">
        <v>74</v>
      </c>
      <c r="AZ156" s="1" t="s">
        <v>74</v>
      </c>
      <c r="BA156" s="1" t="s">
        <v>74</v>
      </c>
      <c r="BB156" s="1">
        <v>263</v>
      </c>
      <c r="BC156" s="1">
        <v>287</v>
      </c>
      <c r="BD156" s="1" t="s">
        <v>74</v>
      </c>
      <c r="BE156" s="1" t="s">
        <v>1530</v>
      </c>
      <c r="BF156" s="1" t="str">
        <f>HYPERLINK("http://dx.doi.org/10.1177/1094428111417451","http://dx.doi.org/10.1177/1094428111417451")</f>
        <v>http://dx.doi.org/10.1177/1094428111417451</v>
      </c>
      <c r="BG156" s="1" t="s">
        <v>74</v>
      </c>
      <c r="BH156" s="1" t="s">
        <v>74</v>
      </c>
      <c r="BI156" s="1">
        <v>25</v>
      </c>
      <c r="BJ156" s="1" t="s">
        <v>1531</v>
      </c>
      <c r="BK156" s="1" t="s">
        <v>1532</v>
      </c>
      <c r="BL156" s="1" t="s">
        <v>1533</v>
      </c>
      <c r="BM156" s="1" t="s">
        <v>1534</v>
      </c>
      <c r="BN156" s="1" t="s">
        <v>74</v>
      </c>
      <c r="BO156" s="1" t="s">
        <v>156</v>
      </c>
      <c r="BP156" s="1" t="s">
        <v>74</v>
      </c>
      <c r="BQ156" s="1" t="s">
        <v>74</v>
      </c>
      <c r="BR156" s="1" t="s">
        <v>104</v>
      </c>
      <c r="BS156" s="1" t="s">
        <v>1535</v>
      </c>
      <c r="BT156" s="1" t="str">
        <f>HYPERLINK("https%3A%2F%2Fwww.webofscience.com%2Fwos%2Fwoscc%2Ffull-record%2FWOS:000300928000005","View Full Record in Web of Science")</f>
        <v>View Full Record in Web of Science</v>
      </c>
      <c r="BU156" s="1" t="s">
        <v>2040</v>
      </c>
      <c r="BV156" s="1" t="s">
        <v>10653</v>
      </c>
    </row>
    <row r="157" spans="1:75" ht="406" x14ac:dyDescent="0.35">
      <c r="A157" s="1" t="s">
        <v>72</v>
      </c>
      <c r="B157" s="1" t="s">
        <v>1826</v>
      </c>
      <c r="C157" s="1" t="s">
        <v>74</v>
      </c>
      <c r="D157" s="1" t="s">
        <v>74</v>
      </c>
      <c r="E157" s="1" t="s">
        <v>74</v>
      </c>
      <c r="F157" s="1" t="s">
        <v>1827</v>
      </c>
      <c r="G157" s="1" t="s">
        <v>74</v>
      </c>
      <c r="H157" s="1" t="s">
        <v>74</v>
      </c>
      <c r="I157" s="1" t="s">
        <v>1840</v>
      </c>
      <c r="J157" s="1" t="s">
        <v>436</v>
      </c>
      <c r="K157" s="1" t="s">
        <v>74</v>
      </c>
      <c r="L157" s="1" t="s">
        <v>74</v>
      </c>
      <c r="M157" s="1" t="s">
        <v>78</v>
      </c>
      <c r="N157" s="1" t="s">
        <v>79</v>
      </c>
      <c r="O157" s="1" t="s">
        <v>74</v>
      </c>
      <c r="P157" s="1" t="s">
        <v>74</v>
      </c>
      <c r="Q157" s="1" t="s">
        <v>74</v>
      </c>
      <c r="R157" s="1" t="s">
        <v>74</v>
      </c>
      <c r="S157" s="1" t="s">
        <v>74</v>
      </c>
      <c r="T157" s="1" t="s">
        <v>1841</v>
      </c>
      <c r="U157" s="1" t="s">
        <v>1842</v>
      </c>
      <c r="V157" s="1" t="s">
        <v>1843</v>
      </c>
      <c r="W157" s="1" t="s">
        <v>1844</v>
      </c>
      <c r="X157" s="1" t="s">
        <v>1845</v>
      </c>
      <c r="Y157" s="1" t="s">
        <v>1846</v>
      </c>
      <c r="Z157" s="1" t="s">
        <v>1835</v>
      </c>
      <c r="AA157" s="1" t="s">
        <v>74</v>
      </c>
      <c r="AB157" s="1" t="s">
        <v>74</v>
      </c>
      <c r="AC157" s="1" t="s">
        <v>74</v>
      </c>
      <c r="AD157" s="1" t="s">
        <v>74</v>
      </c>
      <c r="AE157" s="1" t="s">
        <v>74</v>
      </c>
      <c r="AF157" s="1" t="s">
        <v>74</v>
      </c>
      <c r="AG157" s="1">
        <v>69</v>
      </c>
      <c r="AH157" s="1">
        <v>338</v>
      </c>
      <c r="AI157" s="1">
        <v>342</v>
      </c>
      <c r="AJ157" s="1">
        <v>14</v>
      </c>
      <c r="AK157" s="1">
        <v>216</v>
      </c>
      <c r="AL157" s="1" t="s">
        <v>446</v>
      </c>
      <c r="AM157" s="1" t="s">
        <v>447</v>
      </c>
      <c r="AN157" s="1" t="s">
        <v>448</v>
      </c>
      <c r="AO157" s="1" t="s">
        <v>449</v>
      </c>
      <c r="AP157" s="1" t="s">
        <v>450</v>
      </c>
      <c r="AQ157" s="1" t="s">
        <v>74</v>
      </c>
      <c r="AR157" s="1" t="s">
        <v>451</v>
      </c>
      <c r="AS157" s="1" t="s">
        <v>452</v>
      </c>
      <c r="AT157" s="1" t="s">
        <v>330</v>
      </c>
      <c r="AU157" s="1">
        <v>2012</v>
      </c>
      <c r="AV157" s="1">
        <v>31</v>
      </c>
      <c r="AW157" s="1">
        <v>2</v>
      </c>
      <c r="AX157" s="1" t="s">
        <v>74</v>
      </c>
      <c r="AY157" s="1" t="s">
        <v>74</v>
      </c>
      <c r="AZ157" s="1" t="s">
        <v>74</v>
      </c>
      <c r="BA157" s="1" t="s">
        <v>74</v>
      </c>
      <c r="BB157" s="1">
        <v>198</v>
      </c>
      <c r="BC157" s="1">
        <v>215</v>
      </c>
      <c r="BD157" s="1" t="s">
        <v>74</v>
      </c>
      <c r="BE157" s="1" t="s">
        <v>1847</v>
      </c>
      <c r="BF157" s="1" t="str">
        <f>HYPERLINK("http://dx.doi.org/10.1287/mksc.1110.0682","http://dx.doi.org/10.1287/mksc.1110.0682")</f>
        <v>http://dx.doi.org/10.1287/mksc.1110.0682</v>
      </c>
      <c r="BG157" s="1" t="s">
        <v>74</v>
      </c>
      <c r="BH157" s="1" t="s">
        <v>74</v>
      </c>
      <c r="BI157" s="1">
        <v>18</v>
      </c>
      <c r="BJ157" s="1" t="s">
        <v>153</v>
      </c>
      <c r="BK157" s="1" t="s">
        <v>101</v>
      </c>
      <c r="BL157" s="1" t="s">
        <v>154</v>
      </c>
      <c r="BM157" s="1" t="s">
        <v>1848</v>
      </c>
      <c r="BN157" s="1" t="s">
        <v>74</v>
      </c>
      <c r="BO157" s="1" t="s">
        <v>74</v>
      </c>
      <c r="BP157" s="1" t="s">
        <v>218</v>
      </c>
      <c r="BQ157" s="1" t="s">
        <v>219</v>
      </c>
      <c r="BR157" s="1" t="s">
        <v>104</v>
      </c>
      <c r="BS157" s="1" t="s">
        <v>1849</v>
      </c>
      <c r="BT157" s="1" t="str">
        <f>HYPERLINK("https%3A%2F%2Fwww.webofscience.com%2Fwos%2Fwoscc%2Ffull-record%2FWOS:000302386200002","View Full Record in Web of Science")</f>
        <v>View Full Record in Web of Science</v>
      </c>
      <c r="BU157" s="1" t="s">
        <v>2040</v>
      </c>
      <c r="BV157" s="1" t="s">
        <v>6080</v>
      </c>
      <c r="BW157" s="1" t="s">
        <v>6080</v>
      </c>
    </row>
    <row r="158" spans="1:75" ht="290" x14ac:dyDescent="0.35">
      <c r="A158" s="1" t="s">
        <v>72</v>
      </c>
      <c r="B158" s="1" t="s">
        <v>2718</v>
      </c>
      <c r="C158" s="1" t="s">
        <v>74</v>
      </c>
      <c r="D158" s="1" t="s">
        <v>74</v>
      </c>
      <c r="E158" s="1" t="s">
        <v>74</v>
      </c>
      <c r="F158" s="1" t="s">
        <v>2719</v>
      </c>
      <c r="G158" s="1" t="s">
        <v>74</v>
      </c>
      <c r="H158" s="1" t="s">
        <v>74</v>
      </c>
      <c r="I158" s="1" t="s">
        <v>2720</v>
      </c>
      <c r="J158" s="1" t="s">
        <v>2721</v>
      </c>
      <c r="K158" s="1" t="s">
        <v>74</v>
      </c>
      <c r="L158" s="1" t="s">
        <v>74</v>
      </c>
      <c r="M158" s="1" t="s">
        <v>78</v>
      </c>
      <c r="N158" s="1" t="s">
        <v>79</v>
      </c>
      <c r="O158" s="1" t="s">
        <v>74</v>
      </c>
      <c r="P158" s="1" t="s">
        <v>74</v>
      </c>
      <c r="Q158" s="1" t="s">
        <v>74</v>
      </c>
      <c r="R158" s="1" t="s">
        <v>74</v>
      </c>
      <c r="S158" s="1" t="s">
        <v>74</v>
      </c>
      <c r="T158" s="1" t="s">
        <v>74</v>
      </c>
      <c r="U158" s="1" t="s">
        <v>2722</v>
      </c>
      <c r="V158" s="1" t="s">
        <v>2723</v>
      </c>
      <c r="W158" s="1" t="s">
        <v>2724</v>
      </c>
      <c r="X158" s="1" t="s">
        <v>2117</v>
      </c>
      <c r="Y158" s="1" t="s">
        <v>2725</v>
      </c>
      <c r="Z158" s="1" t="s">
        <v>2726</v>
      </c>
      <c r="AA158" s="1" t="s">
        <v>74</v>
      </c>
      <c r="AB158" s="1" t="s">
        <v>74</v>
      </c>
      <c r="AC158" s="1" t="s">
        <v>74</v>
      </c>
      <c r="AD158" s="1" t="s">
        <v>74</v>
      </c>
      <c r="AE158" s="1" t="s">
        <v>74</v>
      </c>
      <c r="AF158" s="1" t="s">
        <v>74</v>
      </c>
      <c r="AG158" s="1">
        <v>34</v>
      </c>
      <c r="AH158" s="1">
        <v>161</v>
      </c>
      <c r="AI158" s="1">
        <v>162</v>
      </c>
      <c r="AJ158" s="1">
        <v>2</v>
      </c>
      <c r="AK158" s="1">
        <v>97</v>
      </c>
      <c r="AL158" s="1" t="s">
        <v>170</v>
      </c>
      <c r="AM158" s="1" t="s">
        <v>171</v>
      </c>
      <c r="AN158" s="1" t="s">
        <v>172</v>
      </c>
      <c r="AO158" s="1" t="s">
        <v>2727</v>
      </c>
      <c r="AP158" s="1" t="s">
        <v>2728</v>
      </c>
      <c r="AQ158" s="1" t="s">
        <v>74</v>
      </c>
      <c r="AR158" s="1" t="s">
        <v>2729</v>
      </c>
      <c r="AS158" s="1" t="s">
        <v>2730</v>
      </c>
      <c r="AT158" s="1" t="s">
        <v>281</v>
      </c>
      <c r="AU158" s="1">
        <v>2012</v>
      </c>
      <c r="AV158" s="1">
        <v>62</v>
      </c>
      <c r="AW158" s="1">
        <v>5</v>
      </c>
      <c r="AX158" s="1" t="s">
        <v>74</v>
      </c>
      <c r="AY158" s="1" t="s">
        <v>74</v>
      </c>
      <c r="AZ158" s="1" t="s">
        <v>74</v>
      </c>
      <c r="BA158" s="1" t="s">
        <v>74</v>
      </c>
      <c r="BB158" s="1">
        <v>815</v>
      </c>
      <c r="BC158" s="1">
        <v>832</v>
      </c>
      <c r="BD158" s="1" t="s">
        <v>74</v>
      </c>
      <c r="BE158" s="1" t="s">
        <v>2731</v>
      </c>
      <c r="BF158" s="1" t="str">
        <f>HYPERLINK("http://dx.doi.org/10.1111/j.1460-2466.2012.01664.x","http://dx.doi.org/10.1111/j.1460-2466.2012.01664.x")</f>
        <v>http://dx.doi.org/10.1111/j.1460-2466.2012.01664.x</v>
      </c>
      <c r="BG158" s="1" t="s">
        <v>74</v>
      </c>
      <c r="BH158" s="1" t="s">
        <v>74</v>
      </c>
      <c r="BI158" s="1">
        <v>18</v>
      </c>
      <c r="BJ158" s="1" t="s">
        <v>1016</v>
      </c>
      <c r="BK158" s="1" t="s">
        <v>101</v>
      </c>
      <c r="BL158" s="1" t="s">
        <v>1016</v>
      </c>
      <c r="BM158" s="1" t="s">
        <v>2732</v>
      </c>
      <c r="BN158" s="1" t="s">
        <v>74</v>
      </c>
      <c r="BO158" s="1" t="s">
        <v>74</v>
      </c>
      <c r="BP158" s="1" t="s">
        <v>74</v>
      </c>
      <c r="BQ158" s="1" t="s">
        <v>74</v>
      </c>
      <c r="BR158" s="1" t="s">
        <v>104</v>
      </c>
      <c r="BS158" s="1" t="s">
        <v>2733</v>
      </c>
      <c r="BT158" s="1" t="str">
        <f>HYPERLINK("https%3A%2F%2Fwww.webofscience.com%2Fwos%2Fwoscc%2Ffull-record%2FWOS:000309678300007","View Full Record in Web of Science")</f>
        <v>View Full Record in Web of Science</v>
      </c>
      <c r="BU158" s="1" t="s">
        <v>3776</v>
      </c>
      <c r="BV158" s="1" t="s">
        <v>10653</v>
      </c>
    </row>
    <row r="159" spans="1:75" ht="217.5" x14ac:dyDescent="0.35">
      <c r="A159" s="1" t="s">
        <v>72</v>
      </c>
      <c r="B159" s="1" t="s">
        <v>2734</v>
      </c>
      <c r="C159" s="1" t="s">
        <v>74</v>
      </c>
      <c r="D159" s="1" t="s">
        <v>74</v>
      </c>
      <c r="E159" s="1" t="s">
        <v>74</v>
      </c>
      <c r="F159" s="1" t="s">
        <v>2735</v>
      </c>
      <c r="G159" s="1" t="s">
        <v>74</v>
      </c>
      <c r="H159" s="1" t="s">
        <v>74</v>
      </c>
      <c r="I159" s="1" t="s">
        <v>2736</v>
      </c>
      <c r="J159" s="1" t="s">
        <v>609</v>
      </c>
      <c r="K159" s="1" t="s">
        <v>74</v>
      </c>
      <c r="L159" s="1" t="s">
        <v>74</v>
      </c>
      <c r="M159" s="1" t="s">
        <v>78</v>
      </c>
      <c r="N159" s="1" t="s">
        <v>79</v>
      </c>
      <c r="O159" s="1" t="s">
        <v>74</v>
      </c>
      <c r="P159" s="1" t="s">
        <v>74</v>
      </c>
      <c r="Q159" s="1" t="s">
        <v>74</v>
      </c>
      <c r="R159" s="1" t="s">
        <v>74</v>
      </c>
      <c r="S159" s="1" t="s">
        <v>74</v>
      </c>
      <c r="T159" s="1" t="s">
        <v>2737</v>
      </c>
      <c r="U159" s="1" t="s">
        <v>2738</v>
      </c>
      <c r="V159" s="1" t="s">
        <v>2739</v>
      </c>
      <c r="W159" s="1" t="s">
        <v>2740</v>
      </c>
      <c r="X159" s="1" t="s">
        <v>2741</v>
      </c>
      <c r="Y159" s="1" t="s">
        <v>2742</v>
      </c>
      <c r="Z159" s="1" t="s">
        <v>2743</v>
      </c>
      <c r="AA159" s="1" t="s">
        <v>74</v>
      </c>
      <c r="AB159" s="1" t="s">
        <v>74</v>
      </c>
      <c r="AC159" s="1" t="s">
        <v>74</v>
      </c>
      <c r="AD159" s="1" t="s">
        <v>74</v>
      </c>
      <c r="AE159" s="1" t="s">
        <v>74</v>
      </c>
      <c r="AF159" s="1" t="s">
        <v>74</v>
      </c>
      <c r="AG159" s="1">
        <v>137</v>
      </c>
      <c r="AH159" s="1">
        <v>97</v>
      </c>
      <c r="AI159" s="1">
        <v>96</v>
      </c>
      <c r="AJ159" s="1">
        <v>0</v>
      </c>
      <c r="AK159" s="1">
        <v>39</v>
      </c>
      <c r="AL159" s="1" t="s">
        <v>144</v>
      </c>
      <c r="AM159" s="1" t="s">
        <v>145</v>
      </c>
      <c r="AN159" s="1" t="s">
        <v>146</v>
      </c>
      <c r="AO159" s="1" t="s">
        <v>617</v>
      </c>
      <c r="AP159" s="1" t="s">
        <v>618</v>
      </c>
      <c r="AQ159" s="1" t="s">
        <v>74</v>
      </c>
      <c r="AR159" s="1" t="s">
        <v>619</v>
      </c>
      <c r="AS159" s="1" t="s">
        <v>620</v>
      </c>
      <c r="AT159" s="1" t="s">
        <v>281</v>
      </c>
      <c r="AU159" s="1">
        <v>2012</v>
      </c>
      <c r="AV159" s="1">
        <v>77</v>
      </c>
      <c r="AW159" s="1">
        <v>5</v>
      </c>
      <c r="AX159" s="1" t="s">
        <v>74</v>
      </c>
      <c r="AY159" s="1" t="s">
        <v>74</v>
      </c>
      <c r="AZ159" s="1" t="s">
        <v>74</v>
      </c>
      <c r="BA159" s="1" t="s">
        <v>74</v>
      </c>
      <c r="BB159" s="1">
        <v>780</v>
      </c>
      <c r="BC159" s="1">
        <v>803</v>
      </c>
      <c r="BD159" s="1" t="s">
        <v>74</v>
      </c>
      <c r="BE159" s="1" t="s">
        <v>2744</v>
      </c>
      <c r="BF159" s="1" t="str">
        <f>HYPERLINK("http://dx.doi.org/10.1177/0003122412458509","http://dx.doi.org/10.1177/0003122412458509")</f>
        <v>http://dx.doi.org/10.1177/0003122412458509</v>
      </c>
      <c r="BG159" s="1" t="s">
        <v>74</v>
      </c>
      <c r="BH159" s="1" t="s">
        <v>74</v>
      </c>
      <c r="BI159" s="1">
        <v>24</v>
      </c>
      <c r="BJ159" s="1" t="s">
        <v>365</v>
      </c>
      <c r="BK159" s="1" t="s">
        <v>101</v>
      </c>
      <c r="BL159" s="1" t="s">
        <v>365</v>
      </c>
      <c r="BM159" s="1" t="s">
        <v>2745</v>
      </c>
      <c r="BN159" s="1" t="s">
        <v>74</v>
      </c>
      <c r="BO159" s="1" t="s">
        <v>334</v>
      </c>
      <c r="BP159" s="1" t="s">
        <v>74</v>
      </c>
      <c r="BQ159" s="1" t="s">
        <v>74</v>
      </c>
      <c r="BR159" s="1" t="s">
        <v>104</v>
      </c>
      <c r="BS159" s="1" t="s">
        <v>2746</v>
      </c>
      <c r="BT159" s="1" t="str">
        <f>HYPERLINK("https%3A%2F%2Fwww.webofscience.com%2Fwos%2Fwoscc%2Ffull-record%2FWOS:000309352000005","View Full Record in Web of Science")</f>
        <v>View Full Record in Web of Science</v>
      </c>
      <c r="BU159" s="1" t="s">
        <v>3776</v>
      </c>
      <c r="BV159" s="1" t="s">
        <v>10653</v>
      </c>
    </row>
    <row r="160" spans="1:75" ht="290" x14ac:dyDescent="0.35">
      <c r="A160" s="1" t="s">
        <v>72</v>
      </c>
      <c r="B160" s="1" t="s">
        <v>2747</v>
      </c>
      <c r="C160" s="1" t="s">
        <v>74</v>
      </c>
      <c r="D160" s="1" t="s">
        <v>74</v>
      </c>
      <c r="E160" s="1" t="s">
        <v>74</v>
      </c>
      <c r="F160" s="1" t="s">
        <v>2748</v>
      </c>
      <c r="G160" s="1" t="s">
        <v>74</v>
      </c>
      <c r="H160" s="1" t="s">
        <v>74</v>
      </c>
      <c r="I160" s="1" t="s">
        <v>2749</v>
      </c>
      <c r="J160" s="1" t="s">
        <v>2750</v>
      </c>
      <c r="K160" s="1" t="s">
        <v>74</v>
      </c>
      <c r="L160" s="1" t="s">
        <v>74</v>
      </c>
      <c r="M160" s="1" t="s">
        <v>78</v>
      </c>
      <c r="N160" s="1" t="s">
        <v>79</v>
      </c>
      <c r="O160" s="1" t="s">
        <v>74</v>
      </c>
      <c r="P160" s="1" t="s">
        <v>74</v>
      </c>
      <c r="Q160" s="1" t="s">
        <v>74</v>
      </c>
      <c r="R160" s="1" t="s">
        <v>74</v>
      </c>
      <c r="S160" s="1" t="s">
        <v>74</v>
      </c>
      <c r="T160" s="1" t="s">
        <v>2751</v>
      </c>
      <c r="U160" s="1" t="s">
        <v>74</v>
      </c>
      <c r="V160" s="1" t="s">
        <v>2752</v>
      </c>
      <c r="W160" s="1" t="s">
        <v>2753</v>
      </c>
      <c r="X160" s="1" t="s">
        <v>2754</v>
      </c>
      <c r="Y160" s="1" t="s">
        <v>2755</v>
      </c>
      <c r="Z160" s="1" t="s">
        <v>2756</v>
      </c>
      <c r="AA160" s="1" t="s">
        <v>2757</v>
      </c>
      <c r="AB160" s="1" t="s">
        <v>2758</v>
      </c>
      <c r="AC160" s="1" t="s">
        <v>74</v>
      </c>
      <c r="AD160" s="1" t="s">
        <v>74</v>
      </c>
      <c r="AE160" s="1" t="s">
        <v>74</v>
      </c>
      <c r="AF160" s="1" t="s">
        <v>74</v>
      </c>
      <c r="AG160" s="1">
        <v>33</v>
      </c>
      <c r="AH160" s="1">
        <v>14</v>
      </c>
      <c r="AI160" s="1">
        <v>15</v>
      </c>
      <c r="AJ160" s="1">
        <v>0</v>
      </c>
      <c r="AK160" s="1">
        <v>7</v>
      </c>
      <c r="AL160" s="1" t="s">
        <v>820</v>
      </c>
      <c r="AM160" s="1" t="s">
        <v>325</v>
      </c>
      <c r="AN160" s="1" t="s">
        <v>1604</v>
      </c>
      <c r="AO160" s="1" t="s">
        <v>2759</v>
      </c>
      <c r="AP160" s="1" t="s">
        <v>2760</v>
      </c>
      <c r="AQ160" s="1" t="s">
        <v>74</v>
      </c>
      <c r="AR160" s="1" t="s">
        <v>2761</v>
      </c>
      <c r="AS160" s="1" t="s">
        <v>2762</v>
      </c>
      <c r="AT160" s="1" t="s">
        <v>151</v>
      </c>
      <c r="AU160" s="1">
        <v>2012</v>
      </c>
      <c r="AV160" s="1">
        <v>46</v>
      </c>
      <c r="AW160" s="1">
        <v>2</v>
      </c>
      <c r="AX160" s="1" t="s">
        <v>74</v>
      </c>
      <c r="AY160" s="1" t="s">
        <v>74</v>
      </c>
      <c r="AZ160" s="1" t="s">
        <v>74</v>
      </c>
      <c r="BA160" s="1" t="s">
        <v>74</v>
      </c>
      <c r="BB160" s="1">
        <v>129</v>
      </c>
      <c r="BC160" s="1">
        <v>145</v>
      </c>
      <c r="BD160" s="1" t="s">
        <v>74</v>
      </c>
      <c r="BE160" s="1" t="s">
        <v>2763</v>
      </c>
      <c r="BF160" s="1" t="str">
        <f>HYPERLINK("http://dx.doi.org/10.1007/s12124-011-9165-8","http://dx.doi.org/10.1007/s12124-011-9165-8")</f>
        <v>http://dx.doi.org/10.1007/s12124-011-9165-8</v>
      </c>
      <c r="BG160" s="1" t="s">
        <v>74</v>
      </c>
      <c r="BH160" s="1" t="s">
        <v>74</v>
      </c>
      <c r="BI160" s="1">
        <v>17</v>
      </c>
      <c r="BJ160" s="1" t="s">
        <v>2764</v>
      </c>
      <c r="BK160" s="1" t="s">
        <v>101</v>
      </c>
      <c r="BL160" s="1" t="s">
        <v>2765</v>
      </c>
      <c r="BM160" s="1" t="s">
        <v>2766</v>
      </c>
      <c r="BN160" s="1">
        <v>21573922</v>
      </c>
      <c r="BO160" s="1" t="s">
        <v>156</v>
      </c>
      <c r="BP160" s="1" t="s">
        <v>74</v>
      </c>
      <c r="BQ160" s="1" t="s">
        <v>74</v>
      </c>
      <c r="BR160" s="1" t="s">
        <v>104</v>
      </c>
      <c r="BS160" s="1" t="s">
        <v>2767</v>
      </c>
      <c r="BT160" s="1" t="str">
        <f>HYPERLINK("https%3A%2F%2Fwww.webofscience.com%2Fwos%2Fwoscc%2Ffull-record%2FWOS:000303415100001","View Full Record in Web of Science")</f>
        <v>View Full Record in Web of Science</v>
      </c>
      <c r="BU160" s="1" t="s">
        <v>3776</v>
      </c>
      <c r="BV160" s="1" t="s">
        <v>10653</v>
      </c>
    </row>
    <row r="161" spans="1:75" ht="409.5" x14ac:dyDescent="0.35">
      <c r="A161" s="1" t="s">
        <v>72</v>
      </c>
      <c r="B161" s="1" t="s">
        <v>2088</v>
      </c>
      <c r="C161" s="1" t="s">
        <v>74</v>
      </c>
      <c r="D161" s="1" t="s">
        <v>74</v>
      </c>
      <c r="E161" s="1" t="s">
        <v>74</v>
      </c>
      <c r="F161" s="1" t="s">
        <v>2089</v>
      </c>
      <c r="G161" s="1" t="s">
        <v>74</v>
      </c>
      <c r="H161" s="1" t="s">
        <v>74</v>
      </c>
      <c r="I161" s="1" t="s">
        <v>2090</v>
      </c>
      <c r="J161" s="1" t="s">
        <v>436</v>
      </c>
      <c r="K161" s="1" t="s">
        <v>74</v>
      </c>
      <c r="L161" s="1" t="s">
        <v>74</v>
      </c>
      <c r="M161" s="1" t="s">
        <v>78</v>
      </c>
      <c r="N161" s="1" t="s">
        <v>79</v>
      </c>
      <c r="O161" s="1" t="s">
        <v>74</v>
      </c>
      <c r="P161" s="1" t="s">
        <v>74</v>
      </c>
      <c r="Q161" s="1" t="s">
        <v>74</v>
      </c>
      <c r="R161" s="1" t="s">
        <v>74</v>
      </c>
      <c r="S161" s="1" t="s">
        <v>74</v>
      </c>
      <c r="T161" s="1" t="s">
        <v>2091</v>
      </c>
      <c r="U161" s="1" t="s">
        <v>2092</v>
      </c>
      <c r="V161" s="1" t="s">
        <v>2093</v>
      </c>
      <c r="W161" s="1" t="s">
        <v>2094</v>
      </c>
      <c r="X161" s="1" t="s">
        <v>716</v>
      </c>
      <c r="Y161" s="1" t="s">
        <v>2095</v>
      </c>
      <c r="Z161" s="1" t="s">
        <v>2096</v>
      </c>
      <c r="AA161" s="1" t="s">
        <v>2097</v>
      </c>
      <c r="AB161" s="1" t="s">
        <v>2098</v>
      </c>
      <c r="AC161" s="1" t="s">
        <v>74</v>
      </c>
      <c r="AD161" s="1" t="s">
        <v>74</v>
      </c>
      <c r="AE161" s="1" t="s">
        <v>74</v>
      </c>
      <c r="AF161" s="1" t="s">
        <v>74</v>
      </c>
      <c r="AG161" s="1">
        <v>49</v>
      </c>
      <c r="AH161" s="1">
        <v>314</v>
      </c>
      <c r="AI161" s="1">
        <v>324</v>
      </c>
      <c r="AJ161" s="1">
        <v>23</v>
      </c>
      <c r="AK161" s="1">
        <v>422</v>
      </c>
      <c r="AL161" s="1" t="s">
        <v>446</v>
      </c>
      <c r="AM161" s="1" t="s">
        <v>447</v>
      </c>
      <c r="AN161" s="1" t="s">
        <v>448</v>
      </c>
      <c r="AO161" s="1" t="s">
        <v>449</v>
      </c>
      <c r="AP161" s="1" t="s">
        <v>450</v>
      </c>
      <c r="AQ161" s="1" t="s">
        <v>74</v>
      </c>
      <c r="AR161" s="1" t="s">
        <v>451</v>
      </c>
      <c r="AS161" s="1" t="s">
        <v>452</v>
      </c>
      <c r="AT161" s="1" t="s">
        <v>760</v>
      </c>
      <c r="AU161" s="1">
        <v>2012</v>
      </c>
      <c r="AV161" s="1">
        <v>31</v>
      </c>
      <c r="AW161" s="1">
        <v>3</v>
      </c>
      <c r="AX161" s="1" t="s">
        <v>74</v>
      </c>
      <c r="AY161" s="1" t="s">
        <v>74</v>
      </c>
      <c r="AZ161" s="1" t="s">
        <v>259</v>
      </c>
      <c r="BA161" s="1" t="s">
        <v>74</v>
      </c>
      <c r="BB161" s="1">
        <v>493</v>
      </c>
      <c r="BC161" s="1">
        <v>520</v>
      </c>
      <c r="BD161" s="1" t="s">
        <v>74</v>
      </c>
      <c r="BE161" s="1" t="s">
        <v>2099</v>
      </c>
      <c r="BF161" s="1" t="str">
        <f>HYPERLINK("http://dx.doi.org/10.1287/mksc.1110.0700","http://dx.doi.org/10.1287/mksc.1110.0700")</f>
        <v>http://dx.doi.org/10.1287/mksc.1110.0700</v>
      </c>
      <c r="BG161" s="1" t="s">
        <v>74</v>
      </c>
      <c r="BH161" s="1" t="s">
        <v>74</v>
      </c>
      <c r="BI161" s="1">
        <v>28</v>
      </c>
      <c r="BJ161" s="1" t="s">
        <v>153</v>
      </c>
      <c r="BK161" s="1" t="s">
        <v>101</v>
      </c>
      <c r="BL161" s="1" t="s">
        <v>154</v>
      </c>
      <c r="BM161" s="1" t="s">
        <v>762</v>
      </c>
      <c r="BN161" s="1" t="s">
        <v>74</v>
      </c>
      <c r="BO161" s="1" t="s">
        <v>156</v>
      </c>
      <c r="BP161" s="1" t="s">
        <v>218</v>
      </c>
      <c r="BQ161" s="1" t="s">
        <v>219</v>
      </c>
      <c r="BR161" s="1" t="s">
        <v>104</v>
      </c>
      <c r="BS161" s="1" t="s">
        <v>2100</v>
      </c>
      <c r="BT161" s="1" t="str">
        <f>HYPERLINK("https%3A%2F%2Fwww.webofscience.com%2Fwos%2Fwoscc%2Ffull-record%2FWOS:000304638000008","View Full Record in Web of Science")</f>
        <v>View Full Record in Web of Science</v>
      </c>
      <c r="BU161" s="1" t="s">
        <v>3776</v>
      </c>
      <c r="BV161" s="1" t="s">
        <v>6080</v>
      </c>
      <c r="BW161" s="1" t="s">
        <v>6080</v>
      </c>
    </row>
    <row r="162" spans="1:75" ht="348" x14ac:dyDescent="0.35">
      <c r="A162" s="1" t="s">
        <v>72</v>
      </c>
      <c r="B162" s="1" t="s">
        <v>1385</v>
      </c>
      <c r="C162" s="1" t="s">
        <v>74</v>
      </c>
      <c r="D162" s="1" t="s">
        <v>74</v>
      </c>
      <c r="E162" s="1" t="s">
        <v>74</v>
      </c>
      <c r="F162" s="1" t="s">
        <v>1386</v>
      </c>
      <c r="G162" s="1" t="s">
        <v>74</v>
      </c>
      <c r="H162" s="1" t="s">
        <v>74</v>
      </c>
      <c r="I162" s="1" t="s">
        <v>1387</v>
      </c>
      <c r="J162" s="1" t="s">
        <v>436</v>
      </c>
      <c r="K162" s="1" t="s">
        <v>74</v>
      </c>
      <c r="L162" s="1" t="s">
        <v>74</v>
      </c>
      <c r="M162" s="1" t="s">
        <v>78</v>
      </c>
      <c r="N162" s="1" t="s">
        <v>79</v>
      </c>
      <c r="O162" s="1" t="s">
        <v>74</v>
      </c>
      <c r="P162" s="1" t="s">
        <v>74</v>
      </c>
      <c r="Q162" s="1" t="s">
        <v>74</v>
      </c>
      <c r="R162" s="1" t="s">
        <v>74</v>
      </c>
      <c r="S162" s="1" t="s">
        <v>74</v>
      </c>
      <c r="T162" s="1" t="s">
        <v>1388</v>
      </c>
      <c r="U162" s="1" t="s">
        <v>1389</v>
      </c>
      <c r="V162" s="1" t="s">
        <v>1390</v>
      </c>
      <c r="W162" s="1" t="s">
        <v>1391</v>
      </c>
      <c r="X162" s="1" t="s">
        <v>1392</v>
      </c>
      <c r="Y162" s="1" t="s">
        <v>1393</v>
      </c>
      <c r="Z162" s="1" t="s">
        <v>1394</v>
      </c>
      <c r="AA162" s="1" t="s">
        <v>74</v>
      </c>
      <c r="AB162" s="1" t="s">
        <v>74</v>
      </c>
      <c r="AC162" s="1" t="s">
        <v>74</v>
      </c>
      <c r="AD162" s="1" t="s">
        <v>74</v>
      </c>
      <c r="AE162" s="1" t="s">
        <v>74</v>
      </c>
      <c r="AF162" s="1" t="s">
        <v>74</v>
      </c>
      <c r="AG162" s="1">
        <v>71</v>
      </c>
      <c r="AH162" s="1">
        <v>360</v>
      </c>
      <c r="AI162" s="1">
        <v>366</v>
      </c>
      <c r="AJ162" s="1">
        <v>28</v>
      </c>
      <c r="AK162" s="1">
        <v>308</v>
      </c>
      <c r="AL162" s="1" t="s">
        <v>446</v>
      </c>
      <c r="AM162" s="1" t="s">
        <v>447</v>
      </c>
      <c r="AN162" s="1" t="s">
        <v>448</v>
      </c>
      <c r="AO162" s="1" t="s">
        <v>449</v>
      </c>
      <c r="AP162" s="1" t="s">
        <v>450</v>
      </c>
      <c r="AQ162" s="1" t="s">
        <v>74</v>
      </c>
      <c r="AR162" s="1" t="s">
        <v>451</v>
      </c>
      <c r="AS162" s="1" t="s">
        <v>452</v>
      </c>
      <c r="AT162" s="1" t="s">
        <v>760</v>
      </c>
      <c r="AU162" s="1">
        <v>2012</v>
      </c>
      <c r="AV162" s="1">
        <v>31</v>
      </c>
      <c r="AW162" s="1">
        <v>3</v>
      </c>
      <c r="AX162" s="1" t="s">
        <v>74</v>
      </c>
      <c r="AY162" s="1" t="s">
        <v>74</v>
      </c>
      <c r="AZ162" s="1" t="s">
        <v>259</v>
      </c>
      <c r="BA162" s="1" t="s">
        <v>74</v>
      </c>
      <c r="BB162" s="1">
        <v>521</v>
      </c>
      <c r="BC162" s="1">
        <v>543</v>
      </c>
      <c r="BD162" s="1" t="s">
        <v>74</v>
      </c>
      <c r="BE162" s="1" t="s">
        <v>1395</v>
      </c>
      <c r="BF162" s="1" t="str">
        <f>HYPERLINK("http://dx.doi.org/10.1287/mksc.1120.0713","http://dx.doi.org/10.1287/mksc.1120.0713")</f>
        <v>http://dx.doi.org/10.1287/mksc.1120.0713</v>
      </c>
      <c r="BG162" s="1" t="s">
        <v>74</v>
      </c>
      <c r="BH162" s="1" t="s">
        <v>74</v>
      </c>
      <c r="BI162" s="1">
        <v>23</v>
      </c>
      <c r="BJ162" s="1" t="s">
        <v>153</v>
      </c>
      <c r="BK162" s="1" t="s">
        <v>101</v>
      </c>
      <c r="BL162" s="1" t="s">
        <v>154</v>
      </c>
      <c r="BM162" s="1" t="s">
        <v>762</v>
      </c>
      <c r="BN162" s="1" t="s">
        <v>74</v>
      </c>
      <c r="BO162" s="1" t="s">
        <v>74</v>
      </c>
      <c r="BP162" s="1" t="s">
        <v>218</v>
      </c>
      <c r="BQ162" s="1" t="s">
        <v>219</v>
      </c>
      <c r="BR162" s="1" t="s">
        <v>104</v>
      </c>
      <c r="BS162" s="1" t="s">
        <v>1396</v>
      </c>
      <c r="BT162" s="1" t="str">
        <f>HYPERLINK("https%3A%2F%2Fwww.webofscience.com%2Fwos%2Fwoscc%2Ffull-record%2FWOS:000304638000009","View Full Record in Web of Science")</f>
        <v>View Full Record in Web of Science</v>
      </c>
      <c r="BU162" s="1" t="s">
        <v>3776</v>
      </c>
      <c r="BV162" s="1" t="s">
        <v>6080</v>
      </c>
      <c r="BW162" s="1" t="s">
        <v>6080</v>
      </c>
    </row>
    <row r="163" spans="1:75" ht="43.5" x14ac:dyDescent="0.35">
      <c r="A163" s="1" t="s">
        <v>72</v>
      </c>
      <c r="B163" s="1" t="s">
        <v>2768</v>
      </c>
      <c r="C163" s="1" t="s">
        <v>74</v>
      </c>
      <c r="D163" s="1" t="s">
        <v>74</v>
      </c>
      <c r="E163" s="1" t="s">
        <v>74</v>
      </c>
      <c r="F163" s="1" t="s">
        <v>2769</v>
      </c>
      <c r="G163" s="1" t="s">
        <v>74</v>
      </c>
      <c r="H163" s="1" t="s">
        <v>74</v>
      </c>
      <c r="I163" s="1" t="s">
        <v>2770</v>
      </c>
      <c r="J163" s="1" t="s">
        <v>2081</v>
      </c>
      <c r="K163" s="1" t="s">
        <v>74</v>
      </c>
      <c r="L163" s="1" t="s">
        <v>74</v>
      </c>
      <c r="M163" s="1" t="s">
        <v>78</v>
      </c>
      <c r="N163" s="1" t="s">
        <v>110</v>
      </c>
      <c r="O163" s="1" t="s">
        <v>74</v>
      </c>
      <c r="P163" s="1" t="s">
        <v>74</v>
      </c>
      <c r="Q163" s="1" t="s">
        <v>74</v>
      </c>
      <c r="R163" s="1" t="s">
        <v>74</v>
      </c>
      <c r="S163" s="1" t="s">
        <v>74</v>
      </c>
      <c r="T163" s="1" t="s">
        <v>74</v>
      </c>
      <c r="U163" s="1" t="s">
        <v>375</v>
      </c>
      <c r="V163" s="1" t="s">
        <v>74</v>
      </c>
      <c r="W163" s="1" t="s">
        <v>2771</v>
      </c>
      <c r="X163" s="1" t="s">
        <v>2710</v>
      </c>
      <c r="Y163" s="1" t="s">
        <v>2772</v>
      </c>
      <c r="Z163" s="1" t="s">
        <v>2773</v>
      </c>
      <c r="AA163" s="1" t="s">
        <v>74</v>
      </c>
      <c r="AB163" s="1" t="s">
        <v>74</v>
      </c>
      <c r="AC163" s="1" t="s">
        <v>74</v>
      </c>
      <c r="AD163" s="1" t="s">
        <v>74</v>
      </c>
      <c r="AE163" s="1" t="s">
        <v>74</v>
      </c>
      <c r="AF163" s="1" t="s">
        <v>74</v>
      </c>
      <c r="AG163" s="1">
        <v>38</v>
      </c>
      <c r="AH163" s="1">
        <v>2431</v>
      </c>
      <c r="AI163" s="1">
        <v>2521</v>
      </c>
      <c r="AJ163" s="1">
        <v>26</v>
      </c>
      <c r="AK163" s="1">
        <v>272</v>
      </c>
      <c r="AL163" s="1" t="s">
        <v>599</v>
      </c>
      <c r="AM163" s="1" t="s">
        <v>325</v>
      </c>
      <c r="AN163" s="1" t="s">
        <v>2082</v>
      </c>
      <c r="AO163" s="1" t="s">
        <v>2083</v>
      </c>
      <c r="AP163" s="1" t="s">
        <v>2084</v>
      </c>
      <c r="AQ163" s="1" t="s">
        <v>74</v>
      </c>
      <c r="AR163" s="1" t="s">
        <v>2085</v>
      </c>
      <c r="AS163" s="1" t="s">
        <v>2086</v>
      </c>
      <c r="AT163" s="1" t="s">
        <v>294</v>
      </c>
      <c r="AU163" s="1">
        <v>2012</v>
      </c>
      <c r="AV163" s="1">
        <v>55</v>
      </c>
      <c r="AW163" s="1">
        <v>4</v>
      </c>
      <c r="AX163" s="1" t="s">
        <v>74</v>
      </c>
      <c r="AY163" s="1" t="s">
        <v>74</v>
      </c>
      <c r="AZ163" s="1" t="s">
        <v>74</v>
      </c>
      <c r="BA163" s="1" t="s">
        <v>74</v>
      </c>
      <c r="BB163" s="1">
        <v>77</v>
      </c>
      <c r="BC163" s="1">
        <v>84</v>
      </c>
      <c r="BD163" s="1" t="s">
        <v>74</v>
      </c>
      <c r="BE163" s="1" t="s">
        <v>2774</v>
      </c>
      <c r="BF163" s="1" t="str">
        <f>HYPERLINK("http://dx.doi.org/10.1145/2133806.2133826","http://dx.doi.org/10.1145/2133806.2133826")</f>
        <v>http://dx.doi.org/10.1145/2133806.2133826</v>
      </c>
      <c r="BG163" s="1" t="s">
        <v>74</v>
      </c>
      <c r="BH163" s="1" t="s">
        <v>74</v>
      </c>
      <c r="BI163" s="1">
        <v>8</v>
      </c>
      <c r="BJ163" s="1" t="s">
        <v>2087</v>
      </c>
      <c r="BK163" s="1" t="s">
        <v>129</v>
      </c>
      <c r="BL163" s="1" t="s">
        <v>417</v>
      </c>
      <c r="BM163" s="1" t="s">
        <v>2775</v>
      </c>
      <c r="BN163" s="1" t="s">
        <v>74</v>
      </c>
      <c r="BO163" s="1" t="s">
        <v>74</v>
      </c>
      <c r="BP163" s="1" t="s">
        <v>218</v>
      </c>
      <c r="BQ163" s="1" t="s">
        <v>219</v>
      </c>
      <c r="BR163" s="1" t="s">
        <v>104</v>
      </c>
      <c r="BS163" s="1" t="s">
        <v>2776</v>
      </c>
      <c r="BT163" s="1" t="str">
        <f>HYPERLINK("https%3A%2F%2Fwww.webofscience.com%2Fwos%2Fwoscc%2Ffull-record%2FWOS:000302915000026","View Full Record in Web of Science")</f>
        <v>View Full Record in Web of Science</v>
      </c>
      <c r="BU163" s="1" t="s">
        <v>3776</v>
      </c>
      <c r="BV163" s="1" t="s">
        <v>10653</v>
      </c>
    </row>
    <row r="164" spans="1:75" ht="246.5" x14ac:dyDescent="0.35">
      <c r="A164" s="1" t="s">
        <v>72</v>
      </c>
      <c r="B164" s="1" t="s">
        <v>2777</v>
      </c>
      <c r="C164" s="1" t="s">
        <v>74</v>
      </c>
      <c r="D164" s="1" t="s">
        <v>74</v>
      </c>
      <c r="E164" s="1" t="s">
        <v>74</v>
      </c>
      <c r="F164" s="1" t="s">
        <v>2778</v>
      </c>
      <c r="G164" s="1" t="s">
        <v>74</v>
      </c>
      <c r="H164" s="1" t="s">
        <v>74</v>
      </c>
      <c r="I164" s="1" t="s">
        <v>2779</v>
      </c>
      <c r="J164" s="1" t="s">
        <v>504</v>
      </c>
      <c r="K164" s="1" t="s">
        <v>74</v>
      </c>
      <c r="L164" s="1" t="s">
        <v>74</v>
      </c>
      <c r="M164" s="1" t="s">
        <v>78</v>
      </c>
      <c r="N164" s="1" t="s">
        <v>79</v>
      </c>
      <c r="O164" s="1" t="s">
        <v>74</v>
      </c>
      <c r="P164" s="1" t="s">
        <v>74</v>
      </c>
      <c r="Q164" s="1" t="s">
        <v>74</v>
      </c>
      <c r="R164" s="1" t="s">
        <v>74</v>
      </c>
      <c r="S164" s="1" t="s">
        <v>74</v>
      </c>
      <c r="T164" s="1" t="s">
        <v>2780</v>
      </c>
      <c r="U164" s="1" t="s">
        <v>2781</v>
      </c>
      <c r="V164" s="1" t="s">
        <v>2782</v>
      </c>
      <c r="W164" s="1" t="s">
        <v>2783</v>
      </c>
      <c r="X164" s="1" t="s">
        <v>2784</v>
      </c>
      <c r="Y164" s="1" t="s">
        <v>2785</v>
      </c>
      <c r="Z164" s="1" t="s">
        <v>2786</v>
      </c>
      <c r="AA164" s="1" t="s">
        <v>74</v>
      </c>
      <c r="AB164" s="1" t="s">
        <v>74</v>
      </c>
      <c r="AC164" s="1" t="s">
        <v>74</v>
      </c>
      <c r="AD164" s="1" t="s">
        <v>74</v>
      </c>
      <c r="AE164" s="1" t="s">
        <v>74</v>
      </c>
      <c r="AF164" s="1" t="s">
        <v>74</v>
      </c>
      <c r="AG164" s="1">
        <v>43</v>
      </c>
      <c r="AH164" s="1">
        <v>367</v>
      </c>
      <c r="AI164" s="1">
        <v>390</v>
      </c>
      <c r="AJ164" s="1">
        <v>16</v>
      </c>
      <c r="AK164" s="1">
        <v>265</v>
      </c>
      <c r="AL164" s="1" t="s">
        <v>446</v>
      </c>
      <c r="AM164" s="1" t="s">
        <v>512</v>
      </c>
      <c r="AN164" s="1" t="s">
        <v>513</v>
      </c>
      <c r="AO164" s="1" t="s">
        <v>514</v>
      </c>
      <c r="AP164" s="1" t="s">
        <v>74</v>
      </c>
      <c r="AQ164" s="1" t="s">
        <v>74</v>
      </c>
      <c r="AR164" s="1" t="s">
        <v>515</v>
      </c>
      <c r="AS164" s="1" t="s">
        <v>516</v>
      </c>
      <c r="AT164" s="1" t="s">
        <v>294</v>
      </c>
      <c r="AU164" s="1">
        <v>2012</v>
      </c>
      <c r="AV164" s="1">
        <v>58</v>
      </c>
      <c r="AW164" s="1">
        <v>4</v>
      </c>
      <c r="AX164" s="1" t="s">
        <v>74</v>
      </c>
      <c r="AY164" s="1" t="s">
        <v>74</v>
      </c>
      <c r="AZ164" s="1" t="s">
        <v>74</v>
      </c>
      <c r="BA164" s="1" t="s">
        <v>74</v>
      </c>
      <c r="BB164" s="1">
        <v>696</v>
      </c>
      <c r="BC164" s="1">
        <v>707</v>
      </c>
      <c r="BD164" s="1" t="s">
        <v>74</v>
      </c>
      <c r="BE164" s="1" t="s">
        <v>2787</v>
      </c>
      <c r="BF164" s="1" t="str">
        <f>HYPERLINK("http://dx.doi.org/10.1287/mnsc.1110.1458","http://dx.doi.org/10.1287/mnsc.1110.1458")</f>
        <v>http://dx.doi.org/10.1287/mnsc.1110.1458</v>
      </c>
      <c r="BG164" s="1" t="s">
        <v>74</v>
      </c>
      <c r="BH164" s="1" t="s">
        <v>74</v>
      </c>
      <c r="BI164" s="1">
        <v>12</v>
      </c>
      <c r="BJ164" s="1" t="s">
        <v>519</v>
      </c>
      <c r="BK164" s="1" t="s">
        <v>520</v>
      </c>
      <c r="BL164" s="1" t="s">
        <v>521</v>
      </c>
      <c r="BM164" s="1" t="s">
        <v>2788</v>
      </c>
      <c r="BN164" s="1" t="s">
        <v>74</v>
      </c>
      <c r="BO164" s="1" t="s">
        <v>74</v>
      </c>
      <c r="BP164" s="1" t="s">
        <v>218</v>
      </c>
      <c r="BQ164" s="1" t="s">
        <v>219</v>
      </c>
      <c r="BR164" s="1" t="s">
        <v>104</v>
      </c>
      <c r="BS164" s="1" t="s">
        <v>2789</v>
      </c>
      <c r="BT164" s="1" t="str">
        <f>HYPERLINK("https%3A%2F%2Fwww.webofscience.com%2Fwos%2Fwoscc%2Ffull-record%2FWOS:000302908200003","View Full Record in Web of Science")</f>
        <v>View Full Record in Web of Science</v>
      </c>
      <c r="BU164" s="1" t="s">
        <v>3776</v>
      </c>
      <c r="BV164" s="1" t="s">
        <v>6080</v>
      </c>
      <c r="BW164" s="1" t="s">
        <v>6080</v>
      </c>
    </row>
    <row r="165" spans="1:75" ht="377" x14ac:dyDescent="0.35">
      <c r="A165" s="1" t="s">
        <v>72</v>
      </c>
      <c r="B165" s="1" t="s">
        <v>285</v>
      </c>
      <c r="C165" s="1" t="s">
        <v>74</v>
      </c>
      <c r="D165" s="1" t="s">
        <v>74</v>
      </c>
      <c r="E165" s="1" t="s">
        <v>74</v>
      </c>
      <c r="F165" s="1" t="s">
        <v>286</v>
      </c>
      <c r="G165" s="1" t="s">
        <v>74</v>
      </c>
      <c r="H165" s="1" t="s">
        <v>74</v>
      </c>
      <c r="I165" s="1" t="s">
        <v>287</v>
      </c>
      <c r="J165" s="1" t="s">
        <v>136</v>
      </c>
      <c r="K165" s="1" t="s">
        <v>74</v>
      </c>
      <c r="L165" s="1" t="s">
        <v>74</v>
      </c>
      <c r="M165" s="1" t="s">
        <v>78</v>
      </c>
      <c r="N165" s="1" t="s">
        <v>79</v>
      </c>
      <c r="O165" s="1" t="s">
        <v>74</v>
      </c>
      <c r="P165" s="1" t="s">
        <v>74</v>
      </c>
      <c r="Q165" s="1" t="s">
        <v>74</v>
      </c>
      <c r="R165" s="1" t="s">
        <v>74</v>
      </c>
      <c r="S165" s="1" t="s">
        <v>74</v>
      </c>
      <c r="T165" s="1" t="s">
        <v>288</v>
      </c>
      <c r="U165" s="1" t="s">
        <v>289</v>
      </c>
      <c r="V165" s="1" t="s">
        <v>290</v>
      </c>
      <c r="W165" s="1" t="s">
        <v>291</v>
      </c>
      <c r="X165" s="1" t="s">
        <v>228</v>
      </c>
      <c r="Y165" s="1" t="s">
        <v>292</v>
      </c>
      <c r="Z165" s="1" t="s">
        <v>293</v>
      </c>
      <c r="AA165" s="1" t="s">
        <v>74</v>
      </c>
      <c r="AB165" s="1" t="s">
        <v>74</v>
      </c>
      <c r="AC165" s="1" t="s">
        <v>74</v>
      </c>
      <c r="AD165" s="1" t="s">
        <v>74</v>
      </c>
      <c r="AE165" s="1" t="s">
        <v>74</v>
      </c>
      <c r="AF165" s="1" t="s">
        <v>74</v>
      </c>
      <c r="AG165" s="1">
        <v>49</v>
      </c>
      <c r="AH165" s="1">
        <v>1287</v>
      </c>
      <c r="AI165" s="1">
        <v>1313</v>
      </c>
      <c r="AJ165" s="1">
        <v>62</v>
      </c>
      <c r="AK165" s="1">
        <v>766</v>
      </c>
      <c r="AL165" s="1" t="s">
        <v>144</v>
      </c>
      <c r="AM165" s="1" t="s">
        <v>145</v>
      </c>
      <c r="AN165" s="1" t="s">
        <v>146</v>
      </c>
      <c r="AO165" s="1" t="s">
        <v>147</v>
      </c>
      <c r="AP165" s="1" t="s">
        <v>148</v>
      </c>
      <c r="AQ165" s="1" t="s">
        <v>74</v>
      </c>
      <c r="AR165" s="1" t="s">
        <v>149</v>
      </c>
      <c r="AS165" s="1" t="s">
        <v>150</v>
      </c>
      <c r="AT165" s="1" t="s">
        <v>294</v>
      </c>
      <c r="AU165" s="1">
        <v>2012</v>
      </c>
      <c r="AV165" s="1">
        <v>49</v>
      </c>
      <c r="AW165" s="1">
        <v>2</v>
      </c>
      <c r="AX165" s="1" t="s">
        <v>74</v>
      </c>
      <c r="AY165" s="1" t="s">
        <v>74</v>
      </c>
      <c r="AZ165" s="1" t="s">
        <v>74</v>
      </c>
      <c r="BA165" s="1" t="s">
        <v>74</v>
      </c>
      <c r="BB165" s="1">
        <v>192</v>
      </c>
      <c r="BC165" s="1">
        <v>205</v>
      </c>
      <c r="BD165" s="1" t="s">
        <v>74</v>
      </c>
      <c r="BE165" s="1" t="s">
        <v>295</v>
      </c>
      <c r="BF165" s="1" t="str">
        <f>HYPERLINK("http://dx.doi.org/10.1509/jmr.10.0353","http://dx.doi.org/10.1509/jmr.10.0353")</f>
        <v>http://dx.doi.org/10.1509/jmr.10.0353</v>
      </c>
      <c r="BG165" s="1" t="s">
        <v>74</v>
      </c>
      <c r="BH165" s="1" t="s">
        <v>74</v>
      </c>
      <c r="BI165" s="1">
        <v>14</v>
      </c>
      <c r="BJ165" s="1" t="s">
        <v>153</v>
      </c>
      <c r="BK165" s="1" t="s">
        <v>101</v>
      </c>
      <c r="BL165" s="1" t="s">
        <v>154</v>
      </c>
      <c r="BM165" s="1" t="s">
        <v>296</v>
      </c>
      <c r="BN165" s="1" t="s">
        <v>74</v>
      </c>
      <c r="BO165" s="1" t="s">
        <v>74</v>
      </c>
      <c r="BP165" s="1" t="s">
        <v>218</v>
      </c>
      <c r="BQ165" s="1" t="s">
        <v>219</v>
      </c>
      <c r="BR165" s="1" t="s">
        <v>104</v>
      </c>
      <c r="BS165" s="1" t="s">
        <v>297</v>
      </c>
      <c r="BT165" s="1" t="str">
        <f>HYPERLINK("https%3A%2F%2Fwww.webofscience.com%2Fwos%2Fwoscc%2Ffull-record%2FWOS:000301805100005","View Full Record in Web of Science")</f>
        <v>View Full Record in Web of Science</v>
      </c>
      <c r="BU165" s="1" t="s">
        <v>3776</v>
      </c>
      <c r="BV165" s="1" t="s">
        <v>6080</v>
      </c>
      <c r="BW165" s="1" t="s">
        <v>6080</v>
      </c>
    </row>
    <row r="166" spans="1:75" ht="275.5" x14ac:dyDescent="0.35">
      <c r="A166" s="1" t="s">
        <v>72</v>
      </c>
      <c r="B166" s="1" t="s">
        <v>1515</v>
      </c>
      <c r="C166" s="1" t="s">
        <v>74</v>
      </c>
      <c r="D166" s="1" t="s">
        <v>74</v>
      </c>
      <c r="E166" s="1" t="s">
        <v>74</v>
      </c>
      <c r="F166" s="1" t="s">
        <v>1516</v>
      </c>
      <c r="G166" s="1" t="s">
        <v>74</v>
      </c>
      <c r="H166" s="1" t="s">
        <v>74</v>
      </c>
      <c r="I166" s="1" t="s">
        <v>1517</v>
      </c>
      <c r="J166" s="1" t="s">
        <v>1518</v>
      </c>
      <c r="K166" s="1" t="s">
        <v>74</v>
      </c>
      <c r="L166" s="1" t="s">
        <v>74</v>
      </c>
      <c r="M166" s="1" t="s">
        <v>78</v>
      </c>
      <c r="N166" s="1" t="s">
        <v>79</v>
      </c>
      <c r="O166" s="1" t="s">
        <v>74</v>
      </c>
      <c r="P166" s="1" t="s">
        <v>74</v>
      </c>
      <c r="Q166" s="1" t="s">
        <v>74</v>
      </c>
      <c r="R166" s="1" t="s">
        <v>74</v>
      </c>
      <c r="S166" s="1" t="s">
        <v>74</v>
      </c>
      <c r="T166" s="1" t="s">
        <v>1519</v>
      </c>
      <c r="U166" s="1" t="s">
        <v>1520</v>
      </c>
      <c r="V166" s="1" t="s">
        <v>1521</v>
      </c>
      <c r="W166" s="1" t="s">
        <v>1522</v>
      </c>
      <c r="X166" s="1" t="s">
        <v>1523</v>
      </c>
      <c r="Y166" s="1" t="s">
        <v>1524</v>
      </c>
      <c r="Z166" s="1" t="s">
        <v>1525</v>
      </c>
      <c r="AA166" s="1" t="s">
        <v>74</v>
      </c>
      <c r="AB166" s="1" t="s">
        <v>74</v>
      </c>
      <c r="AC166" s="1" t="s">
        <v>74</v>
      </c>
      <c r="AD166" s="1" t="s">
        <v>74</v>
      </c>
      <c r="AE166" s="1" t="s">
        <v>74</v>
      </c>
      <c r="AF166" s="1" t="s">
        <v>74</v>
      </c>
      <c r="AG166" s="1">
        <v>129</v>
      </c>
      <c r="AH166" s="1">
        <v>75</v>
      </c>
      <c r="AI166" s="1">
        <v>75</v>
      </c>
      <c r="AJ166" s="1">
        <v>9</v>
      </c>
      <c r="AK166" s="1">
        <v>100</v>
      </c>
      <c r="AL166" s="1" t="s">
        <v>144</v>
      </c>
      <c r="AM166" s="1" t="s">
        <v>145</v>
      </c>
      <c r="AN166" s="1" t="s">
        <v>146</v>
      </c>
      <c r="AO166" s="1" t="s">
        <v>1526</v>
      </c>
      <c r="AP166" s="1" t="s">
        <v>1527</v>
      </c>
      <c r="AQ166" s="1" t="s">
        <v>74</v>
      </c>
      <c r="AR166" s="1" t="s">
        <v>1528</v>
      </c>
      <c r="AS166" s="1" t="s">
        <v>1529</v>
      </c>
      <c r="AT166" s="1" t="s">
        <v>294</v>
      </c>
      <c r="AU166" s="1">
        <v>2012</v>
      </c>
      <c r="AV166" s="1">
        <v>15</v>
      </c>
      <c r="AW166" s="1">
        <v>2</v>
      </c>
      <c r="AX166" s="1" t="s">
        <v>74</v>
      </c>
      <c r="AY166" s="1" t="s">
        <v>74</v>
      </c>
      <c r="AZ166" s="1" t="s">
        <v>74</v>
      </c>
      <c r="BA166" s="1" t="s">
        <v>74</v>
      </c>
      <c r="BB166" s="1">
        <v>263</v>
      </c>
      <c r="BC166" s="1">
        <v>287</v>
      </c>
      <c r="BD166" s="1" t="s">
        <v>74</v>
      </c>
      <c r="BE166" s="1" t="s">
        <v>1530</v>
      </c>
      <c r="BF166" s="1" t="str">
        <f>HYPERLINK("http://dx.doi.org/10.1177/1094428111417451","http://dx.doi.org/10.1177/1094428111417451")</f>
        <v>http://dx.doi.org/10.1177/1094428111417451</v>
      </c>
      <c r="BG166" s="1" t="s">
        <v>74</v>
      </c>
      <c r="BH166" s="1" t="s">
        <v>74</v>
      </c>
      <c r="BI166" s="1">
        <v>25</v>
      </c>
      <c r="BJ166" s="1" t="s">
        <v>1531</v>
      </c>
      <c r="BK166" s="1" t="s">
        <v>1532</v>
      </c>
      <c r="BL166" s="1" t="s">
        <v>1533</v>
      </c>
      <c r="BM166" s="1" t="s">
        <v>1534</v>
      </c>
      <c r="BN166" s="1" t="s">
        <v>74</v>
      </c>
      <c r="BO166" s="1" t="s">
        <v>156</v>
      </c>
      <c r="BP166" s="1" t="s">
        <v>74</v>
      </c>
      <c r="BQ166" s="1" t="s">
        <v>74</v>
      </c>
      <c r="BR166" s="1" t="s">
        <v>104</v>
      </c>
      <c r="BS166" s="1" t="s">
        <v>1535</v>
      </c>
      <c r="BT166" s="1" t="str">
        <f>HYPERLINK("https%3A%2F%2Fwww.webofscience.com%2Fwos%2Fwoscc%2Ffull-record%2FWOS:000300928000005","View Full Record in Web of Science")</f>
        <v>View Full Record in Web of Science</v>
      </c>
      <c r="BU166" s="1" t="s">
        <v>3776</v>
      </c>
      <c r="BV166" s="1" t="s">
        <v>10653</v>
      </c>
    </row>
    <row r="167" spans="1:75" ht="406" x14ac:dyDescent="0.35">
      <c r="A167" s="1" t="s">
        <v>72</v>
      </c>
      <c r="B167" s="1" t="s">
        <v>1826</v>
      </c>
      <c r="C167" s="1" t="s">
        <v>74</v>
      </c>
      <c r="D167" s="1" t="s">
        <v>74</v>
      </c>
      <c r="E167" s="1" t="s">
        <v>74</v>
      </c>
      <c r="F167" s="1" t="s">
        <v>1827</v>
      </c>
      <c r="G167" s="1" t="s">
        <v>74</v>
      </c>
      <c r="H167" s="1" t="s">
        <v>74</v>
      </c>
      <c r="I167" s="1" t="s">
        <v>1840</v>
      </c>
      <c r="J167" s="1" t="s">
        <v>436</v>
      </c>
      <c r="K167" s="1" t="s">
        <v>74</v>
      </c>
      <c r="L167" s="1" t="s">
        <v>74</v>
      </c>
      <c r="M167" s="1" t="s">
        <v>78</v>
      </c>
      <c r="N167" s="1" t="s">
        <v>79</v>
      </c>
      <c r="O167" s="1" t="s">
        <v>74</v>
      </c>
      <c r="P167" s="1" t="s">
        <v>74</v>
      </c>
      <c r="Q167" s="1" t="s">
        <v>74</v>
      </c>
      <c r="R167" s="1" t="s">
        <v>74</v>
      </c>
      <c r="S167" s="1" t="s">
        <v>74</v>
      </c>
      <c r="T167" s="1" t="s">
        <v>1841</v>
      </c>
      <c r="U167" s="1" t="s">
        <v>1842</v>
      </c>
      <c r="V167" s="1" t="s">
        <v>1843</v>
      </c>
      <c r="W167" s="1" t="s">
        <v>1844</v>
      </c>
      <c r="X167" s="1" t="s">
        <v>1845</v>
      </c>
      <c r="Y167" s="1" t="s">
        <v>1846</v>
      </c>
      <c r="Z167" s="1" t="s">
        <v>1835</v>
      </c>
      <c r="AA167" s="1" t="s">
        <v>74</v>
      </c>
      <c r="AB167" s="1" t="s">
        <v>74</v>
      </c>
      <c r="AC167" s="1" t="s">
        <v>74</v>
      </c>
      <c r="AD167" s="1" t="s">
        <v>74</v>
      </c>
      <c r="AE167" s="1" t="s">
        <v>74</v>
      </c>
      <c r="AF167" s="1" t="s">
        <v>74</v>
      </c>
      <c r="AG167" s="1">
        <v>69</v>
      </c>
      <c r="AH167" s="1">
        <v>338</v>
      </c>
      <c r="AI167" s="1">
        <v>342</v>
      </c>
      <c r="AJ167" s="1">
        <v>14</v>
      </c>
      <c r="AK167" s="1">
        <v>216</v>
      </c>
      <c r="AL167" s="1" t="s">
        <v>446</v>
      </c>
      <c r="AM167" s="1" t="s">
        <v>447</v>
      </c>
      <c r="AN167" s="1" t="s">
        <v>448</v>
      </c>
      <c r="AO167" s="1" t="s">
        <v>449</v>
      </c>
      <c r="AP167" s="1" t="s">
        <v>450</v>
      </c>
      <c r="AQ167" s="1" t="s">
        <v>74</v>
      </c>
      <c r="AR167" s="1" t="s">
        <v>451</v>
      </c>
      <c r="AS167" s="1" t="s">
        <v>452</v>
      </c>
      <c r="AT167" s="1" t="s">
        <v>330</v>
      </c>
      <c r="AU167" s="1">
        <v>2012</v>
      </c>
      <c r="AV167" s="1">
        <v>31</v>
      </c>
      <c r="AW167" s="1">
        <v>2</v>
      </c>
      <c r="AX167" s="1" t="s">
        <v>74</v>
      </c>
      <c r="AY167" s="1" t="s">
        <v>74</v>
      </c>
      <c r="AZ167" s="1" t="s">
        <v>74</v>
      </c>
      <c r="BA167" s="1" t="s">
        <v>74</v>
      </c>
      <c r="BB167" s="1">
        <v>198</v>
      </c>
      <c r="BC167" s="1">
        <v>215</v>
      </c>
      <c r="BD167" s="1" t="s">
        <v>74</v>
      </c>
      <c r="BE167" s="1" t="s">
        <v>1847</v>
      </c>
      <c r="BF167" s="1" t="str">
        <f>HYPERLINK("http://dx.doi.org/10.1287/mksc.1110.0682","http://dx.doi.org/10.1287/mksc.1110.0682")</f>
        <v>http://dx.doi.org/10.1287/mksc.1110.0682</v>
      </c>
      <c r="BG167" s="1" t="s">
        <v>74</v>
      </c>
      <c r="BH167" s="1" t="s">
        <v>74</v>
      </c>
      <c r="BI167" s="1">
        <v>18</v>
      </c>
      <c r="BJ167" s="1" t="s">
        <v>153</v>
      </c>
      <c r="BK167" s="1" t="s">
        <v>101</v>
      </c>
      <c r="BL167" s="1" t="s">
        <v>154</v>
      </c>
      <c r="BM167" s="1" t="s">
        <v>1848</v>
      </c>
      <c r="BN167" s="1" t="s">
        <v>74</v>
      </c>
      <c r="BO167" s="1" t="s">
        <v>74</v>
      </c>
      <c r="BP167" s="1" t="s">
        <v>218</v>
      </c>
      <c r="BQ167" s="1" t="s">
        <v>219</v>
      </c>
      <c r="BR167" s="1" t="s">
        <v>104</v>
      </c>
      <c r="BS167" s="1" t="s">
        <v>1849</v>
      </c>
      <c r="BT167" s="1" t="str">
        <f>HYPERLINK("https%3A%2F%2Fwww.webofscience.com%2Fwos%2Fwoscc%2Ffull-record%2FWOS:000302386200002","View Full Record in Web of Science")</f>
        <v>View Full Record in Web of Science</v>
      </c>
      <c r="BU167" s="1" t="s">
        <v>3776</v>
      </c>
      <c r="BV167" s="1" t="s">
        <v>6080</v>
      </c>
      <c r="BW167" s="1" t="s">
        <v>6080</v>
      </c>
    </row>
    <row r="168" spans="1:75" ht="290" x14ac:dyDescent="0.35">
      <c r="A168" s="1" t="s">
        <v>72</v>
      </c>
      <c r="B168" s="1" t="s">
        <v>2790</v>
      </c>
      <c r="C168" s="1" t="s">
        <v>74</v>
      </c>
      <c r="D168" s="1" t="s">
        <v>74</v>
      </c>
      <c r="E168" s="1" t="s">
        <v>74</v>
      </c>
      <c r="F168" s="1" t="s">
        <v>2791</v>
      </c>
      <c r="G168" s="1" t="s">
        <v>74</v>
      </c>
      <c r="H168" s="1" t="s">
        <v>74</v>
      </c>
      <c r="I168" s="1" t="s">
        <v>2792</v>
      </c>
      <c r="J168" s="1" t="s">
        <v>240</v>
      </c>
      <c r="K168" s="1" t="s">
        <v>74</v>
      </c>
      <c r="L168" s="1" t="s">
        <v>74</v>
      </c>
      <c r="M168" s="1" t="s">
        <v>78</v>
      </c>
      <c r="N168" s="1" t="s">
        <v>79</v>
      </c>
      <c r="O168" s="1" t="s">
        <v>74</v>
      </c>
      <c r="P168" s="1" t="s">
        <v>74</v>
      </c>
      <c r="Q168" s="1" t="s">
        <v>74</v>
      </c>
      <c r="R168" s="1" t="s">
        <v>74</v>
      </c>
      <c r="S168" s="1" t="s">
        <v>74</v>
      </c>
      <c r="T168" s="1" t="s">
        <v>2793</v>
      </c>
      <c r="U168" s="1" t="s">
        <v>2794</v>
      </c>
      <c r="V168" s="1" t="s">
        <v>2795</v>
      </c>
      <c r="W168" s="1" t="s">
        <v>2796</v>
      </c>
      <c r="X168" s="1" t="s">
        <v>2797</v>
      </c>
      <c r="Y168" s="1" t="s">
        <v>2798</v>
      </c>
      <c r="Z168" s="1" t="s">
        <v>2799</v>
      </c>
      <c r="AA168" s="1" t="s">
        <v>2800</v>
      </c>
      <c r="AB168" s="1" t="s">
        <v>74</v>
      </c>
      <c r="AC168" s="1" t="s">
        <v>74</v>
      </c>
      <c r="AD168" s="1" t="s">
        <v>74</v>
      </c>
      <c r="AE168" s="1" t="s">
        <v>74</v>
      </c>
      <c r="AF168" s="1" t="s">
        <v>74</v>
      </c>
      <c r="AG168" s="1">
        <v>54</v>
      </c>
      <c r="AH168" s="1">
        <v>213</v>
      </c>
      <c r="AI168" s="1">
        <v>219</v>
      </c>
      <c r="AJ168" s="1">
        <v>26</v>
      </c>
      <c r="AK168" s="1">
        <v>202</v>
      </c>
      <c r="AL168" s="1" t="s">
        <v>232</v>
      </c>
      <c r="AM168" s="1" t="s">
        <v>233</v>
      </c>
      <c r="AN168" s="1" t="s">
        <v>234</v>
      </c>
      <c r="AO168" s="1" t="s">
        <v>254</v>
      </c>
      <c r="AP168" s="1" t="s">
        <v>255</v>
      </c>
      <c r="AQ168" s="1" t="s">
        <v>74</v>
      </c>
      <c r="AR168" s="1" t="s">
        <v>256</v>
      </c>
      <c r="AS168" s="1" t="s">
        <v>257</v>
      </c>
      <c r="AT168" s="1" t="s">
        <v>213</v>
      </c>
      <c r="AU168" s="1">
        <v>2012</v>
      </c>
      <c r="AV168" s="1">
        <v>76</v>
      </c>
      <c r="AW168" s="1">
        <v>1</v>
      </c>
      <c r="AX168" s="1" t="s">
        <v>74</v>
      </c>
      <c r="AY168" s="1" t="s">
        <v>74</v>
      </c>
      <c r="AZ168" s="1" t="s">
        <v>74</v>
      </c>
      <c r="BA168" s="1" t="s">
        <v>74</v>
      </c>
      <c r="BB168" s="1">
        <v>95</v>
      </c>
      <c r="BC168" s="1">
        <v>102</v>
      </c>
      <c r="BD168" s="1" t="s">
        <v>74</v>
      </c>
      <c r="BE168" s="1" t="s">
        <v>2801</v>
      </c>
      <c r="BF168" s="1" t="str">
        <f>HYPERLINK("http://dx.doi.org/10.1509/jm.10.0416","http://dx.doi.org/10.1509/jm.10.0416")</f>
        <v>http://dx.doi.org/10.1509/jm.10.0416</v>
      </c>
      <c r="BG168" s="1" t="s">
        <v>74</v>
      </c>
      <c r="BH168" s="1" t="s">
        <v>74</v>
      </c>
      <c r="BI168" s="1">
        <v>8</v>
      </c>
      <c r="BJ168" s="1" t="s">
        <v>153</v>
      </c>
      <c r="BK168" s="1" t="s">
        <v>101</v>
      </c>
      <c r="BL168" s="1" t="s">
        <v>154</v>
      </c>
      <c r="BM168" s="1" t="s">
        <v>2802</v>
      </c>
      <c r="BN168" s="1" t="s">
        <v>74</v>
      </c>
      <c r="BO168" s="1" t="s">
        <v>74</v>
      </c>
      <c r="BP168" s="1" t="s">
        <v>74</v>
      </c>
      <c r="BQ168" s="1" t="s">
        <v>74</v>
      </c>
      <c r="BR168" s="1" t="s">
        <v>104</v>
      </c>
      <c r="BS168" s="1" t="s">
        <v>2803</v>
      </c>
      <c r="BT168" s="1" t="str">
        <f>HYPERLINK("https%3A%2F%2Fwww.webofscience.com%2Fwos%2Fwoscc%2Ffull-record%2FWOS:000298528900006","View Full Record in Web of Science")</f>
        <v>View Full Record in Web of Science</v>
      </c>
      <c r="BU168" s="1" t="s">
        <v>3776</v>
      </c>
      <c r="BV168" s="1" t="s">
        <v>6080</v>
      </c>
      <c r="BW168" s="1" t="s">
        <v>6080</v>
      </c>
    </row>
    <row r="169" spans="1:75" ht="391.5" x14ac:dyDescent="0.35">
      <c r="A169" s="1" t="s">
        <v>72</v>
      </c>
      <c r="B169" s="1" t="s">
        <v>4060</v>
      </c>
      <c r="C169" s="1" t="s">
        <v>74</v>
      </c>
      <c r="D169" s="1" t="s">
        <v>74</v>
      </c>
      <c r="E169" s="1" t="s">
        <v>74</v>
      </c>
      <c r="F169" s="1" t="s">
        <v>4061</v>
      </c>
      <c r="G169" s="1" t="s">
        <v>74</v>
      </c>
      <c r="H169" s="1" t="s">
        <v>74</v>
      </c>
      <c r="I169" s="1" t="s">
        <v>4062</v>
      </c>
      <c r="J169" s="1" t="s">
        <v>3838</v>
      </c>
      <c r="K169" s="1" t="s">
        <v>74</v>
      </c>
      <c r="L169" s="1" t="s">
        <v>74</v>
      </c>
      <c r="M169" s="1" t="s">
        <v>78</v>
      </c>
      <c r="N169" s="1" t="s">
        <v>110</v>
      </c>
      <c r="O169" s="1" t="s">
        <v>74</v>
      </c>
      <c r="P169" s="1" t="s">
        <v>74</v>
      </c>
      <c r="Q169" s="1" t="s">
        <v>74</v>
      </c>
      <c r="R169" s="1" t="s">
        <v>74</v>
      </c>
      <c r="S169" s="1" t="s">
        <v>74</v>
      </c>
      <c r="T169" s="1" t="s">
        <v>4063</v>
      </c>
      <c r="U169" s="1" t="s">
        <v>4064</v>
      </c>
      <c r="V169" s="1" t="s">
        <v>4065</v>
      </c>
      <c r="W169" s="1" t="s">
        <v>4066</v>
      </c>
      <c r="X169" s="1" t="s">
        <v>4067</v>
      </c>
      <c r="Y169" s="1" t="s">
        <v>4068</v>
      </c>
      <c r="Z169" s="1" t="s">
        <v>4069</v>
      </c>
      <c r="AA169" s="1" t="s">
        <v>4070</v>
      </c>
      <c r="AB169" s="1" t="s">
        <v>4071</v>
      </c>
      <c r="AC169" s="1" t="s">
        <v>4072</v>
      </c>
      <c r="AD169" s="1" t="s">
        <v>4072</v>
      </c>
      <c r="AE169" s="1" t="s">
        <v>4073</v>
      </c>
      <c r="AF169" s="1" t="s">
        <v>74</v>
      </c>
      <c r="AG169" s="1">
        <v>63</v>
      </c>
      <c r="AH169" s="1">
        <v>312</v>
      </c>
      <c r="AI169" s="1">
        <v>323</v>
      </c>
      <c r="AJ169" s="1">
        <v>51</v>
      </c>
      <c r="AK169" s="1">
        <v>509</v>
      </c>
      <c r="AL169" s="1" t="s">
        <v>1180</v>
      </c>
      <c r="AM169" s="1" t="s">
        <v>1181</v>
      </c>
      <c r="AN169" s="1" t="s">
        <v>1182</v>
      </c>
      <c r="AO169" s="1" t="s">
        <v>3851</v>
      </c>
      <c r="AP169" s="1" t="s">
        <v>3852</v>
      </c>
      <c r="AQ169" s="1" t="s">
        <v>74</v>
      </c>
      <c r="AR169" s="1" t="s">
        <v>3853</v>
      </c>
      <c r="AS169" s="1" t="s">
        <v>3854</v>
      </c>
      <c r="AT169" s="1" t="s">
        <v>3703</v>
      </c>
      <c r="AU169" s="1">
        <v>2012</v>
      </c>
      <c r="AV169" s="1">
        <v>17</v>
      </c>
      <c r="AW169" s="1">
        <v>2</v>
      </c>
      <c r="AX169" s="1" t="s">
        <v>74</v>
      </c>
      <c r="AY169" s="1" t="s">
        <v>74</v>
      </c>
      <c r="AZ169" s="1" t="s">
        <v>74</v>
      </c>
      <c r="BA169" s="1" t="s">
        <v>74</v>
      </c>
      <c r="BB169" s="1">
        <v>99</v>
      </c>
      <c r="BC169" s="1">
        <v>126</v>
      </c>
      <c r="BD169" s="1" t="s">
        <v>74</v>
      </c>
      <c r="BE169" s="1" t="s">
        <v>4074</v>
      </c>
      <c r="BF169" s="1" t="str">
        <f>HYPERLINK("http://dx.doi.org/10.2753/JEC1086-4415170204","http://dx.doi.org/10.2753/JEC1086-4415170204")</f>
        <v>http://dx.doi.org/10.2753/JEC1086-4415170204</v>
      </c>
      <c r="BG169" s="1" t="s">
        <v>74</v>
      </c>
      <c r="BH169" s="1" t="s">
        <v>74</v>
      </c>
      <c r="BI169" s="1">
        <v>28</v>
      </c>
      <c r="BJ169" s="1" t="s">
        <v>3856</v>
      </c>
      <c r="BK169" s="1" t="s">
        <v>520</v>
      </c>
      <c r="BL169" s="1" t="s">
        <v>3857</v>
      </c>
      <c r="BM169" s="1" t="s">
        <v>4075</v>
      </c>
      <c r="BN169" s="1" t="s">
        <v>74</v>
      </c>
      <c r="BO169" s="1" t="s">
        <v>74</v>
      </c>
      <c r="BP169" s="1" t="s">
        <v>218</v>
      </c>
      <c r="BQ169" s="1" t="s">
        <v>219</v>
      </c>
      <c r="BR169" s="1" t="s">
        <v>104</v>
      </c>
      <c r="BS169" s="1" t="s">
        <v>4076</v>
      </c>
      <c r="BT169" s="1" t="str">
        <f>HYPERLINK("https%3A%2F%2Fwww.webofscience.com%2Fwos%2Fwoscc%2Ffull-record%2FWOS:000312775200005","View Full Record in Web of Science")</f>
        <v>View Full Record in Web of Science</v>
      </c>
      <c r="BU169" s="1" t="s">
        <v>4172</v>
      </c>
      <c r="BV169" s="1" t="s">
        <v>10653</v>
      </c>
    </row>
    <row r="170" spans="1:75" ht="406" x14ac:dyDescent="0.35">
      <c r="A170" s="1" t="s">
        <v>72</v>
      </c>
      <c r="B170" s="1" t="s">
        <v>1826</v>
      </c>
      <c r="C170" s="1" t="s">
        <v>74</v>
      </c>
      <c r="D170" s="1" t="s">
        <v>74</v>
      </c>
      <c r="E170" s="1" t="s">
        <v>74</v>
      </c>
      <c r="F170" s="1" t="s">
        <v>1827</v>
      </c>
      <c r="G170" s="1" t="s">
        <v>74</v>
      </c>
      <c r="H170" s="1" t="s">
        <v>74</v>
      </c>
      <c r="I170" s="1" t="s">
        <v>1840</v>
      </c>
      <c r="J170" s="1" t="s">
        <v>436</v>
      </c>
      <c r="K170" s="1" t="s">
        <v>74</v>
      </c>
      <c r="L170" s="1" t="s">
        <v>74</v>
      </c>
      <c r="M170" s="1" t="s">
        <v>78</v>
      </c>
      <c r="N170" s="1" t="s">
        <v>79</v>
      </c>
      <c r="O170" s="1" t="s">
        <v>74</v>
      </c>
      <c r="P170" s="1" t="s">
        <v>74</v>
      </c>
      <c r="Q170" s="1" t="s">
        <v>74</v>
      </c>
      <c r="R170" s="1" t="s">
        <v>74</v>
      </c>
      <c r="S170" s="1" t="s">
        <v>74</v>
      </c>
      <c r="T170" s="1" t="s">
        <v>1841</v>
      </c>
      <c r="U170" s="1" t="s">
        <v>1842</v>
      </c>
      <c r="V170" s="1" t="s">
        <v>1843</v>
      </c>
      <c r="W170" s="1" t="s">
        <v>1844</v>
      </c>
      <c r="X170" s="1" t="s">
        <v>1845</v>
      </c>
      <c r="Y170" s="1" t="s">
        <v>1846</v>
      </c>
      <c r="Z170" s="1" t="s">
        <v>1835</v>
      </c>
      <c r="AA170" s="1" t="s">
        <v>74</v>
      </c>
      <c r="AB170" s="1" t="s">
        <v>74</v>
      </c>
      <c r="AC170" s="1" t="s">
        <v>74</v>
      </c>
      <c r="AD170" s="1" t="s">
        <v>74</v>
      </c>
      <c r="AE170" s="1" t="s">
        <v>74</v>
      </c>
      <c r="AF170" s="1" t="s">
        <v>74</v>
      </c>
      <c r="AG170" s="1">
        <v>69</v>
      </c>
      <c r="AH170" s="1">
        <v>338</v>
      </c>
      <c r="AI170" s="1">
        <v>342</v>
      </c>
      <c r="AJ170" s="1">
        <v>14</v>
      </c>
      <c r="AK170" s="1">
        <v>216</v>
      </c>
      <c r="AL170" s="1" t="s">
        <v>446</v>
      </c>
      <c r="AM170" s="1" t="s">
        <v>447</v>
      </c>
      <c r="AN170" s="1" t="s">
        <v>448</v>
      </c>
      <c r="AO170" s="1" t="s">
        <v>449</v>
      </c>
      <c r="AP170" s="1" t="s">
        <v>450</v>
      </c>
      <c r="AQ170" s="1" t="s">
        <v>74</v>
      </c>
      <c r="AR170" s="1" t="s">
        <v>451</v>
      </c>
      <c r="AS170" s="1" t="s">
        <v>452</v>
      </c>
      <c r="AT170" s="1" t="s">
        <v>330</v>
      </c>
      <c r="AU170" s="1">
        <v>2012</v>
      </c>
      <c r="AV170" s="1">
        <v>31</v>
      </c>
      <c r="AW170" s="1">
        <v>2</v>
      </c>
      <c r="AX170" s="1" t="s">
        <v>74</v>
      </c>
      <c r="AY170" s="1" t="s">
        <v>74</v>
      </c>
      <c r="AZ170" s="1" t="s">
        <v>74</v>
      </c>
      <c r="BA170" s="1" t="s">
        <v>74</v>
      </c>
      <c r="BB170" s="1">
        <v>198</v>
      </c>
      <c r="BC170" s="1">
        <v>215</v>
      </c>
      <c r="BD170" s="1" t="s">
        <v>74</v>
      </c>
      <c r="BE170" s="1" t="s">
        <v>1847</v>
      </c>
      <c r="BF170" s="1" t="str">
        <f>HYPERLINK("http://dx.doi.org/10.1287/mksc.1110.0682","http://dx.doi.org/10.1287/mksc.1110.0682")</f>
        <v>http://dx.doi.org/10.1287/mksc.1110.0682</v>
      </c>
      <c r="BG170" s="1" t="s">
        <v>74</v>
      </c>
      <c r="BH170" s="1" t="s">
        <v>74</v>
      </c>
      <c r="BI170" s="1">
        <v>18</v>
      </c>
      <c r="BJ170" s="1" t="s">
        <v>153</v>
      </c>
      <c r="BK170" s="1" t="s">
        <v>101</v>
      </c>
      <c r="BL170" s="1" t="s">
        <v>154</v>
      </c>
      <c r="BM170" s="1" t="s">
        <v>1848</v>
      </c>
      <c r="BN170" s="1" t="s">
        <v>74</v>
      </c>
      <c r="BO170" s="1" t="s">
        <v>74</v>
      </c>
      <c r="BP170" s="1" t="s">
        <v>218</v>
      </c>
      <c r="BQ170" s="1" t="s">
        <v>219</v>
      </c>
      <c r="BR170" s="1" t="s">
        <v>104</v>
      </c>
      <c r="BS170" s="1" t="s">
        <v>1849</v>
      </c>
      <c r="BT170" s="1" t="str">
        <f>HYPERLINK("https%3A%2F%2Fwww.webofscience.com%2Fwos%2Fwoscc%2Ffull-record%2FWOS:000302386200002","View Full Record in Web of Science")</f>
        <v>View Full Record in Web of Science</v>
      </c>
      <c r="BU170" s="1" t="s">
        <v>4172</v>
      </c>
      <c r="BV170" s="1" t="s">
        <v>6080</v>
      </c>
      <c r="BW170" s="1" t="s">
        <v>6080</v>
      </c>
    </row>
    <row r="171" spans="1:75" ht="409.5" x14ac:dyDescent="0.35">
      <c r="A171" s="1" t="s">
        <v>72</v>
      </c>
      <c r="B171" s="1" t="s">
        <v>5765</v>
      </c>
      <c r="C171" s="1" t="s">
        <v>74</v>
      </c>
      <c r="D171" s="1" t="s">
        <v>74</v>
      </c>
      <c r="E171" s="1" t="s">
        <v>74</v>
      </c>
      <c r="F171" s="1" t="s">
        <v>5766</v>
      </c>
      <c r="G171" s="1" t="s">
        <v>74</v>
      </c>
      <c r="H171" s="1" t="s">
        <v>74</v>
      </c>
      <c r="I171" s="1" t="s">
        <v>5767</v>
      </c>
      <c r="J171" s="1" t="s">
        <v>5768</v>
      </c>
      <c r="K171" s="1" t="s">
        <v>74</v>
      </c>
      <c r="L171" s="1" t="s">
        <v>74</v>
      </c>
      <c r="M171" s="1" t="s">
        <v>78</v>
      </c>
      <c r="N171" s="1" t="s">
        <v>79</v>
      </c>
      <c r="O171" s="1" t="s">
        <v>74</v>
      </c>
      <c r="P171" s="1" t="s">
        <v>74</v>
      </c>
      <c r="Q171" s="1" t="s">
        <v>74</v>
      </c>
      <c r="R171" s="1" t="s">
        <v>74</v>
      </c>
      <c r="S171" s="1" t="s">
        <v>74</v>
      </c>
      <c r="T171" s="1" t="s">
        <v>5769</v>
      </c>
      <c r="U171" s="1" t="s">
        <v>5770</v>
      </c>
      <c r="V171" s="1" t="s">
        <v>5771</v>
      </c>
      <c r="W171" s="1" t="s">
        <v>5772</v>
      </c>
      <c r="X171" s="1" t="s">
        <v>5773</v>
      </c>
      <c r="Y171" s="1" t="s">
        <v>5774</v>
      </c>
      <c r="Z171" s="1" t="s">
        <v>5775</v>
      </c>
      <c r="AA171" s="1" t="s">
        <v>5776</v>
      </c>
      <c r="AB171" s="1" t="s">
        <v>5777</v>
      </c>
      <c r="AC171" s="1" t="s">
        <v>74</v>
      </c>
      <c r="AD171" s="1" t="s">
        <v>74</v>
      </c>
      <c r="AE171" s="1" t="s">
        <v>74</v>
      </c>
      <c r="AF171" s="1" t="s">
        <v>74</v>
      </c>
      <c r="AG171" s="1">
        <v>55</v>
      </c>
      <c r="AH171" s="1">
        <v>11</v>
      </c>
      <c r="AI171" s="1">
        <v>11</v>
      </c>
      <c r="AJ171" s="1">
        <v>1</v>
      </c>
      <c r="AK171" s="1">
        <v>30</v>
      </c>
      <c r="AL171" s="1" t="s">
        <v>854</v>
      </c>
      <c r="AM171" s="1" t="s">
        <v>410</v>
      </c>
      <c r="AN171" s="1" t="s">
        <v>855</v>
      </c>
      <c r="AO171" s="1" t="s">
        <v>5778</v>
      </c>
      <c r="AP171" s="1" t="s">
        <v>5779</v>
      </c>
      <c r="AQ171" s="1" t="s">
        <v>74</v>
      </c>
      <c r="AR171" s="1" t="s">
        <v>5780</v>
      </c>
      <c r="AS171" s="1" t="s">
        <v>5781</v>
      </c>
      <c r="AT171" s="1" t="s">
        <v>258</v>
      </c>
      <c r="AU171" s="1">
        <v>2012</v>
      </c>
      <c r="AV171" s="1">
        <v>50</v>
      </c>
      <c r="AW171" s="1">
        <v>9</v>
      </c>
      <c r="AX171" s="1" t="s">
        <v>74</v>
      </c>
      <c r="AY171" s="1" t="s">
        <v>74</v>
      </c>
      <c r="AZ171" s="1" t="s">
        <v>74</v>
      </c>
      <c r="BA171" s="1" t="s">
        <v>74</v>
      </c>
      <c r="BB171" s="1">
        <v>1775</v>
      </c>
      <c r="BC171" s="1">
        <v>1785</v>
      </c>
      <c r="BD171" s="1" t="s">
        <v>74</v>
      </c>
      <c r="BE171" s="1" t="s">
        <v>5782</v>
      </c>
      <c r="BF171" s="1" t="str">
        <f>HYPERLINK("http://dx.doi.org/10.1016/j.ssci.2012.04.006","http://dx.doi.org/10.1016/j.ssci.2012.04.006")</f>
        <v>http://dx.doi.org/10.1016/j.ssci.2012.04.006</v>
      </c>
      <c r="BG171" s="1" t="s">
        <v>74</v>
      </c>
      <c r="BH171" s="1" t="s">
        <v>74</v>
      </c>
      <c r="BI171" s="1">
        <v>11</v>
      </c>
      <c r="BJ171" s="1" t="s">
        <v>5783</v>
      </c>
      <c r="BK171" s="1" t="s">
        <v>520</v>
      </c>
      <c r="BL171" s="1" t="s">
        <v>4243</v>
      </c>
      <c r="BM171" s="1" t="s">
        <v>5784</v>
      </c>
      <c r="BN171" s="1" t="s">
        <v>74</v>
      </c>
      <c r="BO171" s="1" t="s">
        <v>74</v>
      </c>
      <c r="BP171" s="1" t="s">
        <v>74</v>
      </c>
      <c r="BQ171" s="1" t="s">
        <v>74</v>
      </c>
      <c r="BR171" s="1" t="s">
        <v>4296</v>
      </c>
      <c r="BS171" s="1" t="s">
        <v>5785</v>
      </c>
      <c r="BT171" s="1" t="str">
        <f>HYPERLINK("https%3A%2F%2Fwww.webofscience.com%2Fwos%2Fwoscc%2Ffull-record%2FWOS:000307142000007","View Full Record in Web of Science")</f>
        <v>View Full Record in Web of Science</v>
      </c>
      <c r="BU171" s="1" t="s">
        <v>5876</v>
      </c>
      <c r="BV171" s="1" t="s">
        <v>10653</v>
      </c>
    </row>
    <row r="172" spans="1:75" ht="348" x14ac:dyDescent="0.35">
      <c r="A172" s="1" t="s">
        <v>72</v>
      </c>
      <c r="B172" s="1" t="s">
        <v>1385</v>
      </c>
      <c r="C172" s="1" t="s">
        <v>74</v>
      </c>
      <c r="D172" s="1" t="s">
        <v>74</v>
      </c>
      <c r="E172" s="1" t="s">
        <v>74</v>
      </c>
      <c r="F172" s="1" t="s">
        <v>1386</v>
      </c>
      <c r="G172" s="1" t="s">
        <v>74</v>
      </c>
      <c r="H172" s="1" t="s">
        <v>74</v>
      </c>
      <c r="I172" s="1" t="s">
        <v>1387</v>
      </c>
      <c r="J172" s="1" t="s">
        <v>436</v>
      </c>
      <c r="K172" s="1" t="s">
        <v>74</v>
      </c>
      <c r="L172" s="1" t="s">
        <v>74</v>
      </c>
      <c r="M172" s="1" t="s">
        <v>78</v>
      </c>
      <c r="N172" s="1" t="s">
        <v>79</v>
      </c>
      <c r="O172" s="1" t="s">
        <v>74</v>
      </c>
      <c r="P172" s="1" t="s">
        <v>74</v>
      </c>
      <c r="Q172" s="1" t="s">
        <v>74</v>
      </c>
      <c r="R172" s="1" t="s">
        <v>74</v>
      </c>
      <c r="S172" s="1" t="s">
        <v>74</v>
      </c>
      <c r="T172" s="1" t="s">
        <v>1388</v>
      </c>
      <c r="U172" s="1" t="s">
        <v>1389</v>
      </c>
      <c r="V172" s="1" t="s">
        <v>1390</v>
      </c>
      <c r="W172" s="1" t="s">
        <v>1391</v>
      </c>
      <c r="X172" s="1" t="s">
        <v>1392</v>
      </c>
      <c r="Y172" s="1" t="s">
        <v>1393</v>
      </c>
      <c r="Z172" s="1" t="s">
        <v>1394</v>
      </c>
      <c r="AA172" s="1" t="s">
        <v>74</v>
      </c>
      <c r="AB172" s="1" t="s">
        <v>74</v>
      </c>
      <c r="AC172" s="1" t="s">
        <v>74</v>
      </c>
      <c r="AD172" s="1" t="s">
        <v>74</v>
      </c>
      <c r="AE172" s="1" t="s">
        <v>74</v>
      </c>
      <c r="AF172" s="1" t="s">
        <v>74</v>
      </c>
      <c r="AG172" s="1">
        <v>71</v>
      </c>
      <c r="AH172" s="1">
        <v>361</v>
      </c>
      <c r="AI172" s="1">
        <v>368</v>
      </c>
      <c r="AJ172" s="1">
        <v>33</v>
      </c>
      <c r="AK172" s="1">
        <v>313</v>
      </c>
      <c r="AL172" s="1" t="s">
        <v>446</v>
      </c>
      <c r="AM172" s="1" t="s">
        <v>447</v>
      </c>
      <c r="AN172" s="1" t="s">
        <v>448</v>
      </c>
      <c r="AO172" s="1" t="s">
        <v>449</v>
      </c>
      <c r="AP172" s="1" t="s">
        <v>450</v>
      </c>
      <c r="AQ172" s="1" t="s">
        <v>74</v>
      </c>
      <c r="AR172" s="1" t="s">
        <v>451</v>
      </c>
      <c r="AS172" s="1" t="s">
        <v>452</v>
      </c>
      <c r="AT172" s="1" t="s">
        <v>760</v>
      </c>
      <c r="AU172" s="1">
        <v>2012</v>
      </c>
      <c r="AV172" s="1">
        <v>31</v>
      </c>
      <c r="AW172" s="1">
        <v>3</v>
      </c>
      <c r="AX172" s="1" t="s">
        <v>74</v>
      </c>
      <c r="AY172" s="1" t="s">
        <v>74</v>
      </c>
      <c r="AZ172" s="1" t="s">
        <v>259</v>
      </c>
      <c r="BA172" s="1" t="s">
        <v>74</v>
      </c>
      <c r="BB172" s="1">
        <v>521</v>
      </c>
      <c r="BC172" s="1">
        <v>543</v>
      </c>
      <c r="BD172" s="1" t="s">
        <v>74</v>
      </c>
      <c r="BE172" s="1" t="s">
        <v>1395</v>
      </c>
      <c r="BF172" s="1" t="str">
        <f>HYPERLINK("http://dx.doi.org/10.1287/mksc.1120.0713","http://dx.doi.org/10.1287/mksc.1120.0713")</f>
        <v>http://dx.doi.org/10.1287/mksc.1120.0713</v>
      </c>
      <c r="BG172" s="1" t="s">
        <v>74</v>
      </c>
      <c r="BH172" s="1" t="s">
        <v>74</v>
      </c>
      <c r="BI172" s="1">
        <v>23</v>
      </c>
      <c r="BJ172" s="1" t="s">
        <v>153</v>
      </c>
      <c r="BK172" s="1" t="s">
        <v>101</v>
      </c>
      <c r="BL172" s="1" t="s">
        <v>154</v>
      </c>
      <c r="BM172" s="1" t="s">
        <v>762</v>
      </c>
      <c r="BN172" s="1" t="s">
        <v>74</v>
      </c>
      <c r="BO172" s="1" t="s">
        <v>74</v>
      </c>
      <c r="BP172" s="1" t="s">
        <v>218</v>
      </c>
      <c r="BQ172" s="1" t="s">
        <v>219</v>
      </c>
      <c r="BR172" s="1" t="s">
        <v>4296</v>
      </c>
      <c r="BS172" s="1" t="s">
        <v>1396</v>
      </c>
      <c r="BT172" s="1" t="str">
        <f>HYPERLINK("https%3A%2F%2Fwww.webofscience.com%2Fwos%2Fwoscc%2Ffull-record%2FWOS:000304638000009","View Full Record in Web of Science")</f>
        <v>View Full Record in Web of Science</v>
      </c>
      <c r="BU172" s="1" t="s">
        <v>5876</v>
      </c>
      <c r="BV172" s="1" t="s">
        <v>6080</v>
      </c>
      <c r="BW172" s="1" t="s">
        <v>6080</v>
      </c>
    </row>
    <row r="173" spans="1:75" ht="409.5" x14ac:dyDescent="0.35">
      <c r="A173" t="s">
        <v>72</v>
      </c>
      <c r="B173" t="s">
        <v>6268</v>
      </c>
      <c r="C173" t="s">
        <v>74</v>
      </c>
      <c r="D173" t="s">
        <v>74</v>
      </c>
      <c r="E173" t="s">
        <v>74</v>
      </c>
      <c r="F173" t="s">
        <v>5882</v>
      </c>
      <c r="G173" t="s">
        <v>74</v>
      </c>
      <c r="H173" t="s">
        <v>74</v>
      </c>
      <c r="I173" t="s">
        <v>5904</v>
      </c>
      <c r="J173" t="s">
        <v>788</v>
      </c>
      <c r="K173" t="s">
        <v>74</v>
      </c>
      <c r="L173" t="s">
        <v>74</v>
      </c>
      <c r="M173" t="s">
        <v>78</v>
      </c>
      <c r="N173" t="s">
        <v>79</v>
      </c>
      <c r="O173" t="s">
        <v>74</v>
      </c>
      <c r="P173" t="s">
        <v>74</v>
      </c>
      <c r="Q173" t="s">
        <v>74</v>
      </c>
      <c r="R173" t="s">
        <v>74</v>
      </c>
      <c r="S173" t="s">
        <v>74</v>
      </c>
      <c r="T173" t="s">
        <v>6269</v>
      </c>
      <c r="U173" t="s">
        <v>6270</v>
      </c>
      <c r="V173" s="1" t="s">
        <v>6271</v>
      </c>
      <c r="W173" t="s">
        <v>6272</v>
      </c>
      <c r="X173" t="s">
        <v>2741</v>
      </c>
      <c r="Y173" t="s">
        <v>6273</v>
      </c>
      <c r="Z173" t="s">
        <v>6274</v>
      </c>
      <c r="AA173" t="s">
        <v>74</v>
      </c>
      <c r="AB173" t="s">
        <v>74</v>
      </c>
      <c r="AC173" t="s">
        <v>74</v>
      </c>
      <c r="AD173" t="s">
        <v>74</v>
      </c>
      <c r="AE173" t="s">
        <v>74</v>
      </c>
      <c r="AF173" t="s">
        <v>74</v>
      </c>
      <c r="AG173">
        <v>37</v>
      </c>
      <c r="AH173">
        <v>111</v>
      </c>
      <c r="AI173">
        <v>113</v>
      </c>
      <c r="AJ173">
        <v>3</v>
      </c>
      <c r="AK173">
        <v>171</v>
      </c>
      <c r="AL173" t="s">
        <v>409</v>
      </c>
      <c r="AM173" t="s">
        <v>410</v>
      </c>
      <c r="AN173" t="s">
        <v>411</v>
      </c>
      <c r="AO173" t="s">
        <v>800</v>
      </c>
      <c r="AP173" t="s">
        <v>801</v>
      </c>
      <c r="AQ173" t="s">
        <v>74</v>
      </c>
      <c r="AR173" t="s">
        <v>802</v>
      </c>
      <c r="AS173" t="s">
        <v>803</v>
      </c>
      <c r="AT173" t="s">
        <v>517</v>
      </c>
      <c r="AU173">
        <v>2012</v>
      </c>
      <c r="AV173">
        <v>29</v>
      </c>
      <c r="AW173">
        <v>3</v>
      </c>
      <c r="AX173" t="s">
        <v>74</v>
      </c>
      <c r="AY173" t="s">
        <v>74</v>
      </c>
      <c r="AZ173" t="s">
        <v>74</v>
      </c>
      <c r="BA173" t="s">
        <v>74</v>
      </c>
      <c r="BB173">
        <v>221</v>
      </c>
      <c r="BC173">
        <v>234</v>
      </c>
      <c r="BD173" t="s">
        <v>74</v>
      </c>
      <c r="BE173" t="s">
        <v>6275</v>
      </c>
      <c r="BF173" t="str">
        <f>HYPERLINK("http://dx.doi.org/10.1016/j.ijresmar.2011.11.003","http://dx.doi.org/10.1016/j.ijresmar.2011.11.003")</f>
        <v>http://dx.doi.org/10.1016/j.ijresmar.2011.11.003</v>
      </c>
      <c r="BG173" t="s">
        <v>74</v>
      </c>
      <c r="BH173" t="s">
        <v>74</v>
      </c>
      <c r="BI173">
        <v>14</v>
      </c>
      <c r="BJ173" t="s">
        <v>153</v>
      </c>
      <c r="BK173" t="s">
        <v>101</v>
      </c>
      <c r="BL173" t="s">
        <v>154</v>
      </c>
      <c r="BM173" t="s">
        <v>6276</v>
      </c>
      <c r="BN173" t="s">
        <v>74</v>
      </c>
      <c r="BO173" t="s">
        <v>74</v>
      </c>
      <c r="BP173" t="s">
        <v>74</v>
      </c>
      <c r="BQ173" t="s">
        <v>74</v>
      </c>
      <c r="BR173" t="s">
        <v>6098</v>
      </c>
      <c r="BS173" t="s">
        <v>6277</v>
      </c>
      <c r="BT173" t="str">
        <f>HYPERLINK("https%3A%2F%2Fwww.webofscience.com%2Fwos%2Fwoscc%2Ffull-record%2FWOS:000308768500001","View Full Record in Web of Science")</f>
        <v>View Full Record in Web of Science</v>
      </c>
      <c r="BU173" t="s">
        <v>6100</v>
      </c>
      <c r="BV173" s="1" t="s">
        <v>6080</v>
      </c>
      <c r="BW173" s="1" t="s">
        <v>6080</v>
      </c>
    </row>
    <row r="174" spans="1:75" x14ac:dyDescent="0.35">
      <c r="A174" t="s">
        <v>72</v>
      </c>
      <c r="B174" t="s">
        <v>7038</v>
      </c>
      <c r="C174" t="s">
        <v>74</v>
      </c>
      <c r="D174" t="s">
        <v>74</v>
      </c>
      <c r="E174" t="s">
        <v>74</v>
      </c>
      <c r="F174" t="s">
        <v>7039</v>
      </c>
      <c r="G174" t="s">
        <v>74</v>
      </c>
      <c r="H174" t="s">
        <v>74</v>
      </c>
      <c r="I174" t="s">
        <v>7040</v>
      </c>
      <c r="J174" t="s">
        <v>6179</v>
      </c>
      <c r="K174" t="s">
        <v>74</v>
      </c>
      <c r="L174" t="s">
        <v>74</v>
      </c>
      <c r="M174" t="s">
        <v>78</v>
      </c>
      <c r="N174" t="s">
        <v>79</v>
      </c>
      <c r="O174" t="s">
        <v>74</v>
      </c>
      <c r="P174" t="s">
        <v>74</v>
      </c>
      <c r="Q174" t="s">
        <v>74</v>
      </c>
      <c r="R174" t="s">
        <v>74</v>
      </c>
      <c r="S174" t="s">
        <v>74</v>
      </c>
      <c r="T174" t="s">
        <v>7041</v>
      </c>
      <c r="U174" t="s">
        <v>7042</v>
      </c>
      <c r="V174" t="s">
        <v>7043</v>
      </c>
      <c r="W174" t="s">
        <v>7044</v>
      </c>
      <c r="X174" t="s">
        <v>7045</v>
      </c>
      <c r="Y174" t="s">
        <v>7046</v>
      </c>
      <c r="Z174" t="s">
        <v>7047</v>
      </c>
      <c r="AA174" t="s">
        <v>74</v>
      </c>
      <c r="AB174" t="s">
        <v>74</v>
      </c>
      <c r="AC174" t="s">
        <v>74</v>
      </c>
      <c r="AD174" t="s">
        <v>74</v>
      </c>
      <c r="AE174" t="s">
        <v>74</v>
      </c>
      <c r="AF174" t="s">
        <v>74</v>
      </c>
      <c r="AG174">
        <v>68</v>
      </c>
      <c r="AH174">
        <v>29</v>
      </c>
      <c r="AI174">
        <v>29</v>
      </c>
      <c r="AJ174">
        <v>0</v>
      </c>
      <c r="AK174">
        <v>42</v>
      </c>
      <c r="AL174" t="s">
        <v>1982</v>
      </c>
      <c r="AM174" t="s">
        <v>1983</v>
      </c>
      <c r="AN174" t="s">
        <v>2573</v>
      </c>
      <c r="AO174" t="s">
        <v>6189</v>
      </c>
      <c r="AP174" t="s">
        <v>74</v>
      </c>
      <c r="AQ174" t="s">
        <v>74</v>
      </c>
      <c r="AR174" t="s">
        <v>6190</v>
      </c>
      <c r="AS174" t="s">
        <v>6191</v>
      </c>
      <c r="AT174" t="s">
        <v>74</v>
      </c>
      <c r="AU174">
        <v>2012</v>
      </c>
      <c r="AV174">
        <v>22</v>
      </c>
      <c r="AW174">
        <v>3</v>
      </c>
      <c r="AX174" t="s">
        <v>74</v>
      </c>
      <c r="AY174" t="s">
        <v>74</v>
      </c>
      <c r="AZ174" t="s">
        <v>74</v>
      </c>
      <c r="BA174" t="s">
        <v>74</v>
      </c>
      <c r="BB174">
        <v>275</v>
      </c>
      <c r="BC174">
        <v>297</v>
      </c>
      <c r="BD174" t="s">
        <v>74</v>
      </c>
      <c r="BE174" t="s">
        <v>7048</v>
      </c>
      <c r="BF174" t="str">
        <f>HYPERLINK("http://dx.doi.org/10.1108/10662241211235653","http://dx.doi.org/10.1108/10662241211235653")</f>
        <v>http://dx.doi.org/10.1108/10662241211235653</v>
      </c>
      <c r="BG174" t="s">
        <v>74</v>
      </c>
      <c r="BH174" t="s">
        <v>74</v>
      </c>
      <c r="BI174">
        <v>23</v>
      </c>
      <c r="BJ174" t="s">
        <v>6195</v>
      </c>
      <c r="BK174" t="s">
        <v>520</v>
      </c>
      <c r="BL174" t="s">
        <v>6196</v>
      </c>
      <c r="BM174" t="s">
        <v>7049</v>
      </c>
      <c r="BN174" t="s">
        <v>74</v>
      </c>
      <c r="BO174" t="s">
        <v>74</v>
      </c>
      <c r="BP174" t="s">
        <v>74</v>
      </c>
      <c r="BQ174" t="s">
        <v>74</v>
      </c>
      <c r="BR174" t="s">
        <v>6098</v>
      </c>
      <c r="BS174" t="s">
        <v>7050</v>
      </c>
      <c r="BT174" t="str">
        <f>HYPERLINK("https%3A%2F%2Fwww.webofscience.com%2Fwos%2Fwoscc%2Ffull-record%2FWOS:000307611400002","View Full Record in Web of Science")</f>
        <v>View Full Record in Web of Science</v>
      </c>
      <c r="BU174" t="s">
        <v>6100</v>
      </c>
      <c r="BV174" s="1" t="s">
        <v>10653</v>
      </c>
    </row>
    <row r="175" spans="1:75" x14ac:dyDescent="0.35">
      <c r="A175" t="s">
        <v>72</v>
      </c>
      <c r="B175" t="s">
        <v>7159</v>
      </c>
      <c r="C175" t="s">
        <v>74</v>
      </c>
      <c r="D175" t="s">
        <v>74</v>
      </c>
      <c r="E175" t="s">
        <v>74</v>
      </c>
      <c r="F175" t="s">
        <v>7160</v>
      </c>
      <c r="G175" t="s">
        <v>74</v>
      </c>
      <c r="H175" t="s">
        <v>74</v>
      </c>
      <c r="I175" t="s">
        <v>7161</v>
      </c>
      <c r="J175" t="s">
        <v>7162</v>
      </c>
      <c r="K175" t="s">
        <v>74</v>
      </c>
      <c r="L175" t="s">
        <v>74</v>
      </c>
      <c r="M175" t="s">
        <v>78</v>
      </c>
      <c r="N175" t="s">
        <v>110</v>
      </c>
      <c r="O175" t="s">
        <v>74</v>
      </c>
      <c r="P175" t="s">
        <v>74</v>
      </c>
      <c r="Q175" t="s">
        <v>74</v>
      </c>
      <c r="R175" t="s">
        <v>74</v>
      </c>
      <c r="S175" t="s">
        <v>74</v>
      </c>
      <c r="T175" t="s">
        <v>7163</v>
      </c>
      <c r="U175" t="s">
        <v>7164</v>
      </c>
      <c r="V175" t="s">
        <v>7165</v>
      </c>
      <c r="W175" t="s">
        <v>7166</v>
      </c>
      <c r="X175" t="s">
        <v>7167</v>
      </c>
      <c r="Y175" t="s">
        <v>7168</v>
      </c>
      <c r="Z175" t="s">
        <v>7169</v>
      </c>
      <c r="AA175" t="s">
        <v>74</v>
      </c>
      <c r="AB175" t="s">
        <v>74</v>
      </c>
      <c r="AC175" t="s">
        <v>74</v>
      </c>
      <c r="AD175" t="s">
        <v>74</v>
      </c>
      <c r="AE175" t="s">
        <v>74</v>
      </c>
      <c r="AF175" t="s">
        <v>74</v>
      </c>
      <c r="AG175">
        <v>74</v>
      </c>
      <c r="AH175">
        <v>16</v>
      </c>
      <c r="AI175">
        <v>16</v>
      </c>
      <c r="AJ175">
        <v>5</v>
      </c>
      <c r="AK175">
        <v>102</v>
      </c>
      <c r="AL175" t="s">
        <v>7170</v>
      </c>
      <c r="AM175" t="s">
        <v>7171</v>
      </c>
      <c r="AN175" t="s">
        <v>7172</v>
      </c>
      <c r="AO175" t="s">
        <v>7173</v>
      </c>
      <c r="AP175" t="s">
        <v>7174</v>
      </c>
      <c r="AQ175" t="s">
        <v>74</v>
      </c>
      <c r="AR175" t="s">
        <v>7175</v>
      </c>
      <c r="AS175" t="s">
        <v>7176</v>
      </c>
      <c r="AT175" t="s">
        <v>517</v>
      </c>
      <c r="AU175">
        <v>2012</v>
      </c>
      <c r="AV175">
        <v>22</v>
      </c>
      <c r="AW175">
        <v>3</v>
      </c>
      <c r="AX175" t="s">
        <v>74</v>
      </c>
      <c r="AY175" t="s">
        <v>74</v>
      </c>
      <c r="AZ175" t="s">
        <v>74</v>
      </c>
      <c r="BA175" t="s">
        <v>74</v>
      </c>
      <c r="BB175">
        <v>131</v>
      </c>
      <c r="BC175">
        <v>142</v>
      </c>
      <c r="BD175" t="s">
        <v>74</v>
      </c>
      <c r="BE175" t="s">
        <v>7177</v>
      </c>
      <c r="BF175" t="str">
        <f>HYPERLINK("http://dx.doi.org/10.1007/s12525-012-0098-y","http://dx.doi.org/10.1007/s12525-012-0098-y")</f>
        <v>http://dx.doi.org/10.1007/s12525-012-0098-y</v>
      </c>
      <c r="BG175" t="s">
        <v>74</v>
      </c>
      <c r="BH175" t="s">
        <v>74</v>
      </c>
      <c r="BI175">
        <v>12</v>
      </c>
      <c r="BJ175" t="s">
        <v>877</v>
      </c>
      <c r="BK175" t="s">
        <v>101</v>
      </c>
      <c r="BL175" t="s">
        <v>154</v>
      </c>
      <c r="BM175" t="s">
        <v>7178</v>
      </c>
      <c r="BN175" t="s">
        <v>74</v>
      </c>
      <c r="BO175" t="s">
        <v>74</v>
      </c>
      <c r="BP175" t="s">
        <v>74</v>
      </c>
      <c r="BQ175" t="s">
        <v>74</v>
      </c>
      <c r="BR175" t="s">
        <v>6098</v>
      </c>
      <c r="BS175" t="s">
        <v>7179</v>
      </c>
      <c r="BT175" t="str">
        <f>HYPERLINK("https%3A%2F%2Fwww.webofscience.com%2Fwos%2Fwoscc%2Ffull-record%2FWOS:000309868700002","View Full Record in Web of Science")</f>
        <v>View Full Record in Web of Science</v>
      </c>
      <c r="BU175" t="s">
        <v>6100</v>
      </c>
      <c r="BV175" s="1" t="s">
        <v>10653</v>
      </c>
    </row>
    <row r="176" spans="1:75" x14ac:dyDescent="0.35">
      <c r="A176" t="s">
        <v>72</v>
      </c>
      <c r="B176" t="s">
        <v>2088</v>
      </c>
      <c r="C176" t="s">
        <v>74</v>
      </c>
      <c r="D176" t="s">
        <v>74</v>
      </c>
      <c r="E176" t="s">
        <v>74</v>
      </c>
      <c r="F176" t="s">
        <v>2089</v>
      </c>
      <c r="G176" t="s">
        <v>74</v>
      </c>
      <c r="H176" t="s">
        <v>74</v>
      </c>
      <c r="I176" t="s">
        <v>2090</v>
      </c>
      <c r="J176" t="s">
        <v>436</v>
      </c>
      <c r="K176" t="s">
        <v>74</v>
      </c>
      <c r="L176" t="s">
        <v>74</v>
      </c>
      <c r="M176" t="s">
        <v>78</v>
      </c>
      <c r="N176" t="s">
        <v>79</v>
      </c>
      <c r="O176" t="s">
        <v>74</v>
      </c>
      <c r="P176" t="s">
        <v>74</v>
      </c>
      <c r="Q176" t="s">
        <v>74</v>
      </c>
      <c r="R176" t="s">
        <v>74</v>
      </c>
      <c r="S176" t="s">
        <v>74</v>
      </c>
      <c r="T176" t="s">
        <v>2091</v>
      </c>
      <c r="U176" t="s">
        <v>2092</v>
      </c>
      <c r="V176" t="s">
        <v>2093</v>
      </c>
      <c r="W176" t="s">
        <v>2094</v>
      </c>
      <c r="X176" t="s">
        <v>716</v>
      </c>
      <c r="Y176" t="s">
        <v>2095</v>
      </c>
      <c r="Z176" t="s">
        <v>2096</v>
      </c>
      <c r="AA176" t="s">
        <v>7625</v>
      </c>
      <c r="AB176" t="s">
        <v>720</v>
      </c>
      <c r="AC176" t="s">
        <v>74</v>
      </c>
      <c r="AD176" t="s">
        <v>74</v>
      </c>
      <c r="AE176" t="s">
        <v>74</v>
      </c>
      <c r="AF176" t="s">
        <v>74</v>
      </c>
      <c r="AG176">
        <v>49</v>
      </c>
      <c r="AH176">
        <v>320</v>
      </c>
      <c r="AI176">
        <v>330</v>
      </c>
      <c r="AJ176">
        <v>26</v>
      </c>
      <c r="AK176">
        <v>431</v>
      </c>
      <c r="AL176" t="s">
        <v>446</v>
      </c>
      <c r="AM176" t="s">
        <v>447</v>
      </c>
      <c r="AN176" t="s">
        <v>448</v>
      </c>
      <c r="AO176" t="s">
        <v>449</v>
      </c>
      <c r="AP176" t="s">
        <v>450</v>
      </c>
      <c r="AQ176" t="s">
        <v>74</v>
      </c>
      <c r="AR176" t="s">
        <v>451</v>
      </c>
      <c r="AS176" t="s">
        <v>452</v>
      </c>
      <c r="AT176" t="s">
        <v>760</v>
      </c>
      <c r="AU176">
        <v>2012</v>
      </c>
      <c r="AV176">
        <v>31</v>
      </c>
      <c r="AW176">
        <v>3</v>
      </c>
      <c r="AX176" t="s">
        <v>74</v>
      </c>
      <c r="AY176" t="s">
        <v>74</v>
      </c>
      <c r="AZ176" t="s">
        <v>259</v>
      </c>
      <c r="BA176" t="s">
        <v>74</v>
      </c>
      <c r="BB176">
        <v>493</v>
      </c>
      <c r="BC176">
        <v>520</v>
      </c>
      <c r="BD176" t="s">
        <v>74</v>
      </c>
      <c r="BE176" t="s">
        <v>2099</v>
      </c>
      <c r="BF176" t="str">
        <f>HYPERLINK("http://dx.doi.org/10.1287/mksc.1110.0700","http://dx.doi.org/10.1287/mksc.1110.0700")</f>
        <v>http://dx.doi.org/10.1287/mksc.1110.0700</v>
      </c>
      <c r="BG176" t="s">
        <v>74</v>
      </c>
      <c r="BH176" t="s">
        <v>74</v>
      </c>
      <c r="BI176">
        <v>28</v>
      </c>
      <c r="BJ176" t="s">
        <v>153</v>
      </c>
      <c r="BK176" t="s">
        <v>101</v>
      </c>
      <c r="BL176" t="s">
        <v>154</v>
      </c>
      <c r="BM176" t="s">
        <v>762</v>
      </c>
      <c r="BN176" t="s">
        <v>74</v>
      </c>
      <c r="BO176" t="s">
        <v>156</v>
      </c>
      <c r="BP176" t="s">
        <v>218</v>
      </c>
      <c r="BQ176" t="s">
        <v>219</v>
      </c>
      <c r="BR176" t="s">
        <v>6098</v>
      </c>
      <c r="BS176" t="s">
        <v>2100</v>
      </c>
      <c r="BT176" t="str">
        <f>HYPERLINK("https%3A%2F%2Fwww.webofscience.com%2Fwos%2Fwoscc%2Ffull-record%2FWOS:000304638000008","View Full Record in Web of Science")</f>
        <v>View Full Record in Web of Science</v>
      </c>
      <c r="BU176" t="s">
        <v>6100</v>
      </c>
      <c r="BV176" s="1" t="s">
        <v>6080</v>
      </c>
      <c r="BW176" s="1" t="s">
        <v>6080</v>
      </c>
    </row>
    <row r="177" spans="1:75" x14ac:dyDescent="0.35">
      <c r="A177" t="s">
        <v>72</v>
      </c>
      <c r="B177" t="s">
        <v>1385</v>
      </c>
      <c r="C177" t="s">
        <v>74</v>
      </c>
      <c r="D177" t="s">
        <v>74</v>
      </c>
      <c r="E177" t="s">
        <v>74</v>
      </c>
      <c r="F177" t="s">
        <v>1386</v>
      </c>
      <c r="G177" t="s">
        <v>74</v>
      </c>
      <c r="H177" t="s">
        <v>74</v>
      </c>
      <c r="I177" t="s">
        <v>1387</v>
      </c>
      <c r="J177" t="s">
        <v>436</v>
      </c>
      <c r="K177" t="s">
        <v>74</v>
      </c>
      <c r="L177" t="s">
        <v>74</v>
      </c>
      <c r="M177" t="s">
        <v>78</v>
      </c>
      <c r="N177" t="s">
        <v>79</v>
      </c>
      <c r="O177" t="s">
        <v>74</v>
      </c>
      <c r="P177" t="s">
        <v>74</v>
      </c>
      <c r="Q177" t="s">
        <v>74</v>
      </c>
      <c r="R177" t="s">
        <v>74</v>
      </c>
      <c r="S177" t="s">
        <v>74</v>
      </c>
      <c r="T177" t="s">
        <v>1388</v>
      </c>
      <c r="U177" t="s">
        <v>1389</v>
      </c>
      <c r="V177" t="s">
        <v>1390</v>
      </c>
      <c r="W177" t="s">
        <v>1391</v>
      </c>
      <c r="X177" t="s">
        <v>1392</v>
      </c>
      <c r="Y177" t="s">
        <v>1393</v>
      </c>
      <c r="Z177" t="s">
        <v>1394</v>
      </c>
      <c r="AA177" t="s">
        <v>74</v>
      </c>
      <c r="AB177" t="s">
        <v>74</v>
      </c>
      <c r="AC177" t="s">
        <v>74</v>
      </c>
      <c r="AD177" t="s">
        <v>74</v>
      </c>
      <c r="AE177" t="s">
        <v>74</v>
      </c>
      <c r="AF177" t="s">
        <v>74</v>
      </c>
      <c r="AG177">
        <v>71</v>
      </c>
      <c r="AH177">
        <v>361</v>
      </c>
      <c r="AI177">
        <v>368</v>
      </c>
      <c r="AJ177">
        <v>40</v>
      </c>
      <c r="AK177">
        <v>320</v>
      </c>
      <c r="AL177" t="s">
        <v>446</v>
      </c>
      <c r="AM177" t="s">
        <v>447</v>
      </c>
      <c r="AN177" t="s">
        <v>448</v>
      </c>
      <c r="AO177" t="s">
        <v>449</v>
      </c>
      <c r="AP177" t="s">
        <v>450</v>
      </c>
      <c r="AQ177" t="s">
        <v>74</v>
      </c>
      <c r="AR177" t="s">
        <v>451</v>
      </c>
      <c r="AS177" t="s">
        <v>452</v>
      </c>
      <c r="AT177" t="s">
        <v>760</v>
      </c>
      <c r="AU177">
        <v>2012</v>
      </c>
      <c r="AV177">
        <v>31</v>
      </c>
      <c r="AW177">
        <v>3</v>
      </c>
      <c r="AX177" t="s">
        <v>74</v>
      </c>
      <c r="AY177" t="s">
        <v>74</v>
      </c>
      <c r="AZ177" t="s">
        <v>259</v>
      </c>
      <c r="BA177" t="s">
        <v>74</v>
      </c>
      <c r="BB177">
        <v>521</v>
      </c>
      <c r="BC177">
        <v>543</v>
      </c>
      <c r="BD177" t="s">
        <v>74</v>
      </c>
      <c r="BE177" t="s">
        <v>1395</v>
      </c>
      <c r="BF177" t="str">
        <f>HYPERLINK("http://dx.doi.org/10.1287/mksc.1120.0713","http://dx.doi.org/10.1287/mksc.1120.0713")</f>
        <v>http://dx.doi.org/10.1287/mksc.1120.0713</v>
      </c>
      <c r="BG177" t="s">
        <v>74</v>
      </c>
      <c r="BH177" t="s">
        <v>74</v>
      </c>
      <c r="BI177">
        <v>23</v>
      </c>
      <c r="BJ177" t="s">
        <v>153</v>
      </c>
      <c r="BK177" t="s">
        <v>101</v>
      </c>
      <c r="BL177" t="s">
        <v>154</v>
      </c>
      <c r="BM177" t="s">
        <v>762</v>
      </c>
      <c r="BN177" t="s">
        <v>74</v>
      </c>
      <c r="BO177" t="s">
        <v>74</v>
      </c>
      <c r="BP177" t="s">
        <v>218</v>
      </c>
      <c r="BQ177" t="s">
        <v>219</v>
      </c>
      <c r="BR177" t="s">
        <v>6098</v>
      </c>
      <c r="BS177" t="s">
        <v>1396</v>
      </c>
      <c r="BT177" t="str">
        <f>HYPERLINK("https%3A%2F%2Fwww.webofscience.com%2Fwos%2Fwoscc%2Ffull-record%2FWOS:000304638000009","View Full Record in Web of Science")</f>
        <v>View Full Record in Web of Science</v>
      </c>
      <c r="BU177" t="s">
        <v>6100</v>
      </c>
      <c r="BV177" s="1" t="s">
        <v>6080</v>
      </c>
      <c r="BW177" s="1" t="s">
        <v>6080</v>
      </c>
    </row>
    <row r="178" spans="1:75" x14ac:dyDescent="0.35">
      <c r="A178" t="s">
        <v>2064</v>
      </c>
      <c r="B178" t="s">
        <v>9353</v>
      </c>
      <c r="C178" t="s">
        <v>9354</v>
      </c>
      <c r="D178" t="s">
        <v>74</v>
      </c>
      <c r="E178" t="s">
        <v>74</v>
      </c>
      <c r="F178" t="s">
        <v>9355</v>
      </c>
      <c r="G178" t="s">
        <v>9354</v>
      </c>
      <c r="H178" t="s">
        <v>74</v>
      </c>
      <c r="I178" t="s">
        <v>9356</v>
      </c>
      <c r="J178" t="s">
        <v>9357</v>
      </c>
      <c r="K178" t="s">
        <v>74</v>
      </c>
      <c r="L178" t="s">
        <v>74</v>
      </c>
      <c r="M178" t="s">
        <v>78</v>
      </c>
      <c r="N178" t="s">
        <v>3379</v>
      </c>
      <c r="O178" t="s">
        <v>74</v>
      </c>
      <c r="P178" t="s">
        <v>74</v>
      </c>
      <c r="Q178" t="s">
        <v>74</v>
      </c>
      <c r="R178" t="s">
        <v>74</v>
      </c>
      <c r="S178" t="s">
        <v>74</v>
      </c>
      <c r="T178" t="s">
        <v>74</v>
      </c>
      <c r="U178" t="s">
        <v>74</v>
      </c>
      <c r="V178" t="s">
        <v>9358</v>
      </c>
      <c r="W178" t="s">
        <v>9359</v>
      </c>
      <c r="X178" t="s">
        <v>9360</v>
      </c>
      <c r="Y178" t="s">
        <v>9361</v>
      </c>
      <c r="Z178" t="s">
        <v>74</v>
      </c>
      <c r="AA178" t="s">
        <v>9362</v>
      </c>
      <c r="AB178" t="s">
        <v>74</v>
      </c>
      <c r="AC178" t="s">
        <v>74</v>
      </c>
      <c r="AD178" t="s">
        <v>74</v>
      </c>
      <c r="AE178" t="s">
        <v>74</v>
      </c>
      <c r="AF178" t="s">
        <v>74</v>
      </c>
      <c r="AG178">
        <v>30</v>
      </c>
      <c r="AH178">
        <v>2</v>
      </c>
      <c r="AI178">
        <v>2</v>
      </c>
      <c r="AJ178">
        <v>0</v>
      </c>
      <c r="AK178">
        <v>2</v>
      </c>
      <c r="AL178" t="s">
        <v>7526</v>
      </c>
      <c r="AM178" t="s">
        <v>7527</v>
      </c>
      <c r="AN178" t="s">
        <v>7528</v>
      </c>
      <c r="AO178" t="s">
        <v>74</v>
      </c>
      <c r="AP178" t="s">
        <v>74</v>
      </c>
      <c r="AQ178" t="s">
        <v>9363</v>
      </c>
      <c r="AR178" t="s">
        <v>74</v>
      </c>
      <c r="AS178" t="s">
        <v>74</v>
      </c>
      <c r="AT178" t="s">
        <v>74</v>
      </c>
      <c r="AU178">
        <v>2012</v>
      </c>
      <c r="AV178" t="s">
        <v>74</v>
      </c>
      <c r="AW178" t="s">
        <v>74</v>
      </c>
      <c r="AX178" t="s">
        <v>74</v>
      </c>
      <c r="AY178" t="s">
        <v>74</v>
      </c>
      <c r="AZ178" t="s">
        <v>74</v>
      </c>
      <c r="BA178" t="s">
        <v>74</v>
      </c>
      <c r="BB178">
        <v>122</v>
      </c>
      <c r="BC178">
        <v>146</v>
      </c>
      <c r="BD178" t="s">
        <v>74</v>
      </c>
      <c r="BE178" t="s">
        <v>9364</v>
      </c>
      <c r="BF178" t="str">
        <f>HYPERLINK("http://dx.doi.org/10.4018/978-1-61350-038-5.ch006","http://dx.doi.org/10.4018/978-1-61350-038-5.ch006")</f>
        <v>http://dx.doi.org/10.4018/978-1-61350-038-5.ch006</v>
      </c>
      <c r="BG178" t="s">
        <v>9365</v>
      </c>
      <c r="BH178" t="s">
        <v>74</v>
      </c>
      <c r="BI178">
        <v>25</v>
      </c>
      <c r="BJ178" t="s">
        <v>9366</v>
      </c>
      <c r="BK178" t="s">
        <v>2415</v>
      </c>
      <c r="BL178" t="s">
        <v>3857</v>
      </c>
      <c r="BM178" t="s">
        <v>9367</v>
      </c>
      <c r="BN178" t="s">
        <v>74</v>
      </c>
      <c r="BO178" t="s">
        <v>74</v>
      </c>
      <c r="BP178" t="s">
        <v>74</v>
      </c>
      <c r="BQ178" t="s">
        <v>74</v>
      </c>
      <c r="BR178" t="s">
        <v>6098</v>
      </c>
      <c r="BS178" t="s">
        <v>9368</v>
      </c>
      <c r="BT178" t="str">
        <f>HYPERLINK("https%3A%2F%2Fwww.webofscience.com%2Fwos%2Fwoscc%2Ffull-record%2FWOS:000363452000008","View Full Record in Web of Science")</f>
        <v>View Full Record in Web of Science</v>
      </c>
      <c r="BU178" t="s">
        <v>6100</v>
      </c>
      <c r="BV178" s="1" t="s">
        <v>10653</v>
      </c>
    </row>
    <row r="179" spans="1:75" x14ac:dyDescent="0.35">
      <c r="A179" t="s">
        <v>72</v>
      </c>
      <c r="B179" t="s">
        <v>9678</v>
      </c>
      <c r="C179" t="s">
        <v>74</v>
      </c>
      <c r="D179" t="s">
        <v>74</v>
      </c>
      <c r="E179" t="s">
        <v>74</v>
      </c>
      <c r="F179" t="s">
        <v>9679</v>
      </c>
      <c r="G179" t="s">
        <v>74</v>
      </c>
      <c r="H179" t="s">
        <v>74</v>
      </c>
      <c r="I179" t="s">
        <v>9680</v>
      </c>
      <c r="J179" t="s">
        <v>3838</v>
      </c>
      <c r="K179" t="s">
        <v>74</v>
      </c>
      <c r="L179" t="s">
        <v>74</v>
      </c>
      <c r="M179" t="s">
        <v>78</v>
      </c>
      <c r="N179" t="s">
        <v>79</v>
      </c>
      <c r="O179" t="s">
        <v>74</v>
      </c>
      <c r="P179" t="s">
        <v>74</v>
      </c>
      <c r="Q179" t="s">
        <v>74</v>
      </c>
      <c r="R179" t="s">
        <v>74</v>
      </c>
      <c r="S179" t="s">
        <v>74</v>
      </c>
      <c r="T179" t="s">
        <v>9681</v>
      </c>
      <c r="U179" t="s">
        <v>9682</v>
      </c>
      <c r="V179" t="s">
        <v>9683</v>
      </c>
      <c r="W179" t="s">
        <v>9684</v>
      </c>
      <c r="X179" t="s">
        <v>9685</v>
      </c>
      <c r="Y179" t="s">
        <v>9686</v>
      </c>
      <c r="Z179" t="s">
        <v>9687</v>
      </c>
      <c r="AA179" t="s">
        <v>9688</v>
      </c>
      <c r="AB179" t="s">
        <v>9689</v>
      </c>
      <c r="AC179" t="s">
        <v>74</v>
      </c>
      <c r="AD179" t="s">
        <v>74</v>
      </c>
      <c r="AE179" t="s">
        <v>74</v>
      </c>
      <c r="AF179" t="s">
        <v>74</v>
      </c>
      <c r="AG179">
        <v>84</v>
      </c>
      <c r="AH179">
        <v>35</v>
      </c>
      <c r="AI179">
        <v>35</v>
      </c>
      <c r="AJ179">
        <v>1</v>
      </c>
      <c r="AK179">
        <v>109</v>
      </c>
      <c r="AL179" t="s">
        <v>1180</v>
      </c>
      <c r="AM179" t="s">
        <v>1181</v>
      </c>
      <c r="AN179" t="s">
        <v>1182</v>
      </c>
      <c r="AO179" t="s">
        <v>3851</v>
      </c>
      <c r="AP179" t="s">
        <v>3852</v>
      </c>
      <c r="AQ179" t="s">
        <v>74</v>
      </c>
      <c r="AR179" t="s">
        <v>3853</v>
      </c>
      <c r="AS179" t="s">
        <v>3854</v>
      </c>
      <c r="AT179" t="s">
        <v>2617</v>
      </c>
      <c r="AU179">
        <v>2012</v>
      </c>
      <c r="AV179">
        <v>16</v>
      </c>
      <c r="AW179">
        <v>4</v>
      </c>
      <c r="AX179" t="s">
        <v>74</v>
      </c>
      <c r="AY179" t="s">
        <v>74</v>
      </c>
      <c r="AZ179" t="s">
        <v>74</v>
      </c>
      <c r="BA179" t="s">
        <v>74</v>
      </c>
      <c r="BB179">
        <v>19</v>
      </c>
      <c r="BC179">
        <v>51</v>
      </c>
      <c r="BD179" t="s">
        <v>74</v>
      </c>
      <c r="BE179" t="s">
        <v>9690</v>
      </c>
      <c r="BF179" t="str">
        <f>HYPERLINK("http://dx.doi.org/10.2753/JEC1086-4415160402","http://dx.doi.org/10.2753/JEC1086-4415160402")</f>
        <v>http://dx.doi.org/10.2753/JEC1086-4415160402</v>
      </c>
      <c r="BG179" t="s">
        <v>74</v>
      </c>
      <c r="BH179" t="s">
        <v>74</v>
      </c>
      <c r="BI179">
        <v>33</v>
      </c>
      <c r="BJ179" t="s">
        <v>3856</v>
      </c>
      <c r="BK179" t="s">
        <v>520</v>
      </c>
      <c r="BL179" t="s">
        <v>3857</v>
      </c>
      <c r="BM179" t="s">
        <v>9691</v>
      </c>
      <c r="BN179" t="s">
        <v>74</v>
      </c>
      <c r="BO179" t="s">
        <v>74</v>
      </c>
      <c r="BP179" t="s">
        <v>74</v>
      </c>
      <c r="BQ179" t="s">
        <v>74</v>
      </c>
      <c r="BR179" t="s">
        <v>6098</v>
      </c>
      <c r="BS179" t="s">
        <v>9692</v>
      </c>
      <c r="BT179" t="str">
        <f>HYPERLINK("https%3A%2F%2Fwww.webofscience.com%2Fwos%2Fwoscc%2Ffull-record%2FWOS:000305696000002","View Full Record in Web of Science")</f>
        <v>View Full Record in Web of Science</v>
      </c>
      <c r="BU179" t="s">
        <v>6100</v>
      </c>
      <c r="BV179" s="1" t="s">
        <v>10653</v>
      </c>
    </row>
    <row r="180" spans="1:75" ht="319" x14ac:dyDescent="0.35">
      <c r="A180" s="1" t="s">
        <v>72</v>
      </c>
      <c r="B180" s="1" t="s">
        <v>158</v>
      </c>
      <c r="C180" s="1" t="s">
        <v>74</v>
      </c>
      <c r="D180" s="1" t="s">
        <v>74</v>
      </c>
      <c r="E180" s="1" t="s">
        <v>74</v>
      </c>
      <c r="F180" s="1" t="s">
        <v>159</v>
      </c>
      <c r="G180" s="1" t="s">
        <v>74</v>
      </c>
      <c r="H180" s="1" t="s">
        <v>74</v>
      </c>
      <c r="I180" s="1" t="s">
        <v>160</v>
      </c>
      <c r="J180" s="1" t="s">
        <v>161</v>
      </c>
      <c r="K180" s="1" t="s">
        <v>74</v>
      </c>
      <c r="L180" s="1" t="s">
        <v>74</v>
      </c>
      <c r="M180" s="1" t="s">
        <v>78</v>
      </c>
      <c r="N180" s="1" t="s">
        <v>79</v>
      </c>
      <c r="O180" s="1" t="s">
        <v>74</v>
      </c>
      <c r="P180" s="1" t="s">
        <v>74</v>
      </c>
      <c r="Q180" s="1" t="s">
        <v>74</v>
      </c>
      <c r="R180" s="1" t="s">
        <v>74</v>
      </c>
      <c r="S180" s="1" t="s">
        <v>74</v>
      </c>
      <c r="T180" s="1" t="s">
        <v>74</v>
      </c>
      <c r="U180" s="1" t="s">
        <v>162</v>
      </c>
      <c r="V180" s="1" t="s">
        <v>163</v>
      </c>
      <c r="W180" s="1" t="s">
        <v>164</v>
      </c>
      <c r="X180" s="1" t="s">
        <v>165</v>
      </c>
      <c r="Y180" s="1" t="s">
        <v>166</v>
      </c>
      <c r="Z180" s="1" t="s">
        <v>167</v>
      </c>
      <c r="AA180" s="1" t="s">
        <v>168</v>
      </c>
      <c r="AB180" s="1" t="s">
        <v>169</v>
      </c>
      <c r="AC180" s="1" t="s">
        <v>74</v>
      </c>
      <c r="AD180" s="1" t="s">
        <v>74</v>
      </c>
      <c r="AE180" s="1" t="s">
        <v>74</v>
      </c>
      <c r="AF180" s="1" t="s">
        <v>74</v>
      </c>
      <c r="AG180" s="1">
        <v>139</v>
      </c>
      <c r="AH180" s="1">
        <v>232</v>
      </c>
      <c r="AI180" s="1">
        <v>236</v>
      </c>
      <c r="AJ180" s="1">
        <v>1</v>
      </c>
      <c r="AK180" s="1">
        <v>171</v>
      </c>
      <c r="AL180" s="1" t="s">
        <v>170</v>
      </c>
      <c r="AM180" s="1" t="s">
        <v>171</v>
      </c>
      <c r="AN180" s="1" t="s">
        <v>172</v>
      </c>
      <c r="AO180" s="1" t="s">
        <v>173</v>
      </c>
      <c r="AP180" s="1" t="s">
        <v>174</v>
      </c>
      <c r="AQ180" s="1" t="s">
        <v>74</v>
      </c>
      <c r="AR180" s="1" t="s">
        <v>175</v>
      </c>
      <c r="AS180" s="1" t="s">
        <v>176</v>
      </c>
      <c r="AT180" s="1" t="s">
        <v>177</v>
      </c>
      <c r="AU180" s="1">
        <v>2013</v>
      </c>
      <c r="AV180" s="1">
        <v>39</v>
      </c>
      <c r="AW180" s="1">
        <v>5</v>
      </c>
      <c r="AX180" s="1" t="s">
        <v>74</v>
      </c>
      <c r="AY180" s="1" t="s">
        <v>74</v>
      </c>
      <c r="AZ180" s="1" t="s">
        <v>74</v>
      </c>
      <c r="BA180" s="1" t="s">
        <v>74</v>
      </c>
      <c r="BB180" s="1">
        <v>899</v>
      </c>
      <c r="BC180" s="1">
        <v>917</v>
      </c>
      <c r="BD180" s="1" t="s">
        <v>74</v>
      </c>
      <c r="BE180" s="1" t="s">
        <v>178</v>
      </c>
      <c r="BF180" s="1" t="str">
        <f>HYPERLINK("http://dx.doi.org/10.1086/666595","http://dx.doi.org/10.1086/666595")</f>
        <v>http://dx.doi.org/10.1086/666595</v>
      </c>
      <c r="BG180" s="1" t="s">
        <v>74</v>
      </c>
      <c r="BH180" s="1" t="s">
        <v>74</v>
      </c>
      <c r="BI180" s="1">
        <v>19</v>
      </c>
      <c r="BJ180" s="1" t="s">
        <v>153</v>
      </c>
      <c r="BK180" s="1" t="s">
        <v>101</v>
      </c>
      <c r="BL180" s="1" t="s">
        <v>154</v>
      </c>
      <c r="BM180" s="1" t="s">
        <v>179</v>
      </c>
      <c r="BN180" s="1" t="s">
        <v>74</v>
      </c>
      <c r="BO180" s="1" t="s">
        <v>74</v>
      </c>
      <c r="BP180" s="1" t="s">
        <v>74</v>
      </c>
      <c r="BQ180" s="1" t="s">
        <v>74</v>
      </c>
      <c r="BR180" s="1" t="s">
        <v>104</v>
      </c>
      <c r="BS180" s="1" t="s">
        <v>180</v>
      </c>
      <c r="BT180" s="1" t="str">
        <f>HYPERLINK("https%3A%2F%2Fwww.webofscience.com%2Fwos%2Fwoscc%2Ffull-record%2FWOS:000314099700001","View Full Record in Web of Science")</f>
        <v>View Full Record in Web of Science</v>
      </c>
      <c r="BU180" s="1" t="s">
        <v>2040</v>
      </c>
      <c r="BV180" s="1" t="s">
        <v>6080</v>
      </c>
      <c r="BW180" s="1" t="s">
        <v>6080</v>
      </c>
    </row>
    <row r="181" spans="1:75" ht="304.5" x14ac:dyDescent="0.35">
      <c r="A181" s="1" t="s">
        <v>72</v>
      </c>
      <c r="B181" s="1" t="s">
        <v>457</v>
      </c>
      <c r="C181" s="1" t="s">
        <v>74</v>
      </c>
      <c r="D181" s="1" t="s">
        <v>74</v>
      </c>
      <c r="E181" s="1" t="s">
        <v>74</v>
      </c>
      <c r="F181" s="1" t="s">
        <v>458</v>
      </c>
      <c r="G181" s="1" t="s">
        <v>74</v>
      </c>
      <c r="H181" s="1" t="s">
        <v>74</v>
      </c>
      <c r="I181" s="1" t="s">
        <v>459</v>
      </c>
      <c r="J181" s="1" t="s">
        <v>136</v>
      </c>
      <c r="K181" s="1" t="s">
        <v>74</v>
      </c>
      <c r="L181" s="1" t="s">
        <v>74</v>
      </c>
      <c r="M181" s="1" t="s">
        <v>78</v>
      </c>
      <c r="N181" s="1" t="s">
        <v>79</v>
      </c>
      <c r="O181" s="1" t="s">
        <v>74</v>
      </c>
      <c r="P181" s="1" t="s">
        <v>74</v>
      </c>
      <c r="Q181" s="1" t="s">
        <v>74</v>
      </c>
      <c r="R181" s="1" t="s">
        <v>74</v>
      </c>
      <c r="S181" s="1" t="s">
        <v>74</v>
      </c>
      <c r="T181" s="1" t="s">
        <v>460</v>
      </c>
      <c r="U181" s="1" t="s">
        <v>461</v>
      </c>
      <c r="V181" s="1" t="s">
        <v>462</v>
      </c>
      <c r="W181" s="1" t="s">
        <v>463</v>
      </c>
      <c r="X181" s="1" t="s">
        <v>464</v>
      </c>
      <c r="Y181" s="1" t="s">
        <v>465</v>
      </c>
      <c r="Z181" s="1" t="s">
        <v>466</v>
      </c>
      <c r="AA181" s="1" t="s">
        <v>467</v>
      </c>
      <c r="AB181" s="1" t="s">
        <v>468</v>
      </c>
      <c r="AC181" s="1" t="s">
        <v>74</v>
      </c>
      <c r="AD181" s="1" t="s">
        <v>74</v>
      </c>
      <c r="AE181" s="1" t="s">
        <v>74</v>
      </c>
      <c r="AF181" s="1" t="s">
        <v>74</v>
      </c>
      <c r="AG181" s="1">
        <v>78</v>
      </c>
      <c r="AH181" s="1">
        <v>240</v>
      </c>
      <c r="AI181" s="1">
        <v>246</v>
      </c>
      <c r="AJ181" s="1">
        <v>20</v>
      </c>
      <c r="AK181" s="1">
        <v>211</v>
      </c>
      <c r="AL181" s="1" t="s">
        <v>144</v>
      </c>
      <c r="AM181" s="1" t="s">
        <v>145</v>
      </c>
      <c r="AN181" s="1" t="s">
        <v>146</v>
      </c>
      <c r="AO181" s="1" t="s">
        <v>147</v>
      </c>
      <c r="AP181" s="1" t="s">
        <v>148</v>
      </c>
      <c r="AQ181" s="1" t="s">
        <v>74</v>
      </c>
      <c r="AR181" s="1" t="s">
        <v>149</v>
      </c>
      <c r="AS181" s="1" t="s">
        <v>150</v>
      </c>
      <c r="AT181" s="1" t="s">
        <v>469</v>
      </c>
      <c r="AU181" s="1">
        <v>2013</v>
      </c>
      <c r="AV181" s="1">
        <v>50</v>
      </c>
      <c r="AW181" s="1">
        <v>4</v>
      </c>
      <c r="AX181" s="1" t="s">
        <v>74</v>
      </c>
      <c r="AY181" s="1" t="s">
        <v>74</v>
      </c>
      <c r="AZ181" s="1" t="s">
        <v>74</v>
      </c>
      <c r="BA181" s="1" t="s">
        <v>74</v>
      </c>
      <c r="BB181" s="1">
        <v>463</v>
      </c>
      <c r="BC181" s="1">
        <v>476</v>
      </c>
      <c r="BD181" s="1" t="s">
        <v>74</v>
      </c>
      <c r="BE181" s="1" t="s">
        <v>470</v>
      </c>
      <c r="BF181" s="1" t="str">
        <f>HYPERLINK("http://dx.doi.org/10.1509/jmr.12.0063","http://dx.doi.org/10.1509/jmr.12.0063")</f>
        <v>http://dx.doi.org/10.1509/jmr.12.0063</v>
      </c>
      <c r="BG181" s="1" t="s">
        <v>74</v>
      </c>
      <c r="BH181" s="1" t="s">
        <v>74</v>
      </c>
      <c r="BI181" s="1">
        <v>14</v>
      </c>
      <c r="BJ181" s="1" t="s">
        <v>153</v>
      </c>
      <c r="BK181" s="1" t="s">
        <v>101</v>
      </c>
      <c r="BL181" s="1" t="s">
        <v>154</v>
      </c>
      <c r="BM181" s="1" t="s">
        <v>471</v>
      </c>
      <c r="BN181" s="1" t="s">
        <v>74</v>
      </c>
      <c r="BO181" s="1" t="s">
        <v>74</v>
      </c>
      <c r="BP181" s="1" t="s">
        <v>74</v>
      </c>
      <c r="BQ181" s="1" t="s">
        <v>74</v>
      </c>
      <c r="BR181" s="1" t="s">
        <v>104</v>
      </c>
      <c r="BS181" s="1" t="s">
        <v>472</v>
      </c>
      <c r="BT181" s="1" t="str">
        <f>HYPERLINK("https%3A%2F%2Fwww.webofscience.com%2Fwos%2Fwoscc%2Ffull-record%2FWOS:000321880900003","View Full Record in Web of Science")</f>
        <v>View Full Record in Web of Science</v>
      </c>
      <c r="BU181" s="1" t="s">
        <v>2040</v>
      </c>
      <c r="BV181" s="1" t="s">
        <v>6080</v>
      </c>
      <c r="BW181" s="1" t="s">
        <v>6080</v>
      </c>
    </row>
    <row r="182" spans="1:75" ht="319" x14ac:dyDescent="0.35">
      <c r="A182" s="1" t="s">
        <v>72</v>
      </c>
      <c r="B182" s="1" t="s">
        <v>922</v>
      </c>
      <c r="C182" s="1" t="s">
        <v>74</v>
      </c>
      <c r="D182" s="1" t="s">
        <v>74</v>
      </c>
      <c r="E182" s="1" t="s">
        <v>74</v>
      </c>
      <c r="F182" s="1" t="s">
        <v>923</v>
      </c>
      <c r="G182" s="1" t="s">
        <v>74</v>
      </c>
      <c r="H182" s="1" t="s">
        <v>74</v>
      </c>
      <c r="I182" s="1" t="s">
        <v>924</v>
      </c>
      <c r="J182" s="1" t="s">
        <v>161</v>
      </c>
      <c r="K182" s="1" t="s">
        <v>74</v>
      </c>
      <c r="L182" s="1" t="s">
        <v>74</v>
      </c>
      <c r="M182" s="1" t="s">
        <v>78</v>
      </c>
      <c r="N182" s="1" t="s">
        <v>79</v>
      </c>
      <c r="O182" s="1" t="s">
        <v>74</v>
      </c>
      <c r="P182" s="1" t="s">
        <v>74</v>
      </c>
      <c r="Q182" s="1" t="s">
        <v>74</v>
      </c>
      <c r="R182" s="1" t="s">
        <v>74</v>
      </c>
      <c r="S182" s="1" t="s">
        <v>74</v>
      </c>
      <c r="T182" s="1" t="s">
        <v>74</v>
      </c>
      <c r="U182" s="1" t="s">
        <v>925</v>
      </c>
      <c r="V182" s="1" t="s">
        <v>926</v>
      </c>
      <c r="W182" s="1" t="s">
        <v>927</v>
      </c>
      <c r="X182" s="1" t="s">
        <v>928</v>
      </c>
      <c r="Y182" s="1" t="s">
        <v>929</v>
      </c>
      <c r="Z182" s="1" t="s">
        <v>930</v>
      </c>
      <c r="AA182" s="1" t="s">
        <v>74</v>
      </c>
      <c r="AB182" s="1" t="s">
        <v>74</v>
      </c>
      <c r="AC182" s="1" t="s">
        <v>74</v>
      </c>
      <c r="AD182" s="1" t="s">
        <v>74</v>
      </c>
      <c r="AE182" s="1" t="s">
        <v>74</v>
      </c>
      <c r="AF182" s="1" t="s">
        <v>74</v>
      </c>
      <c r="AG182" s="1">
        <v>88</v>
      </c>
      <c r="AH182" s="1">
        <v>96</v>
      </c>
      <c r="AI182" s="1">
        <v>98</v>
      </c>
      <c r="AJ182" s="1">
        <v>5</v>
      </c>
      <c r="AK182" s="1">
        <v>97</v>
      </c>
      <c r="AL182" s="1" t="s">
        <v>357</v>
      </c>
      <c r="AM182" s="1" t="s">
        <v>233</v>
      </c>
      <c r="AN182" s="1" t="s">
        <v>358</v>
      </c>
      <c r="AO182" s="1" t="s">
        <v>173</v>
      </c>
      <c r="AP182" s="1" t="s">
        <v>174</v>
      </c>
      <c r="AQ182" s="1" t="s">
        <v>74</v>
      </c>
      <c r="AR182" s="1" t="s">
        <v>175</v>
      </c>
      <c r="AS182" s="1" t="s">
        <v>176</v>
      </c>
      <c r="AT182" s="1" t="s">
        <v>348</v>
      </c>
      <c r="AU182" s="1">
        <v>2013</v>
      </c>
      <c r="AV182" s="1">
        <v>40</v>
      </c>
      <c r="AW182" s="1">
        <v>4</v>
      </c>
      <c r="AX182" s="1" t="s">
        <v>74</v>
      </c>
      <c r="AY182" s="1" t="s">
        <v>74</v>
      </c>
      <c r="AZ182" s="1" t="s">
        <v>74</v>
      </c>
      <c r="BA182" s="1" t="s">
        <v>74</v>
      </c>
      <c r="BB182" s="1">
        <v>773</v>
      </c>
      <c r="BC182" s="1">
        <v>795</v>
      </c>
      <c r="BD182" s="1" t="s">
        <v>74</v>
      </c>
      <c r="BE182" s="1" t="s">
        <v>931</v>
      </c>
      <c r="BF182" s="1" t="str">
        <f>HYPERLINK("http://dx.doi.org/10.1086/672358","http://dx.doi.org/10.1086/672358")</f>
        <v>http://dx.doi.org/10.1086/672358</v>
      </c>
      <c r="BG182" s="1" t="s">
        <v>74</v>
      </c>
      <c r="BH182" s="1" t="s">
        <v>74</v>
      </c>
      <c r="BI182" s="1">
        <v>23</v>
      </c>
      <c r="BJ182" s="1" t="s">
        <v>153</v>
      </c>
      <c r="BK182" s="1" t="s">
        <v>101</v>
      </c>
      <c r="BL182" s="1" t="s">
        <v>154</v>
      </c>
      <c r="BM182" s="1" t="s">
        <v>932</v>
      </c>
      <c r="BN182" s="1" t="s">
        <v>74</v>
      </c>
      <c r="BO182" s="1" t="s">
        <v>367</v>
      </c>
      <c r="BP182" s="1" t="s">
        <v>74</v>
      </c>
      <c r="BQ182" s="1" t="s">
        <v>74</v>
      </c>
      <c r="BR182" s="1" t="s">
        <v>104</v>
      </c>
      <c r="BS182" s="1" t="s">
        <v>933</v>
      </c>
      <c r="BT182" s="1" t="str">
        <f>HYPERLINK("https%3A%2F%2Fwww.webofscience.com%2Fwos%2Fwoscc%2Ffull-record%2FWOS:000331704400012","View Full Record in Web of Science")</f>
        <v>View Full Record in Web of Science</v>
      </c>
      <c r="BU182" s="1" t="s">
        <v>2040</v>
      </c>
      <c r="BV182" s="1" t="s">
        <v>6080</v>
      </c>
      <c r="BW182" s="1" t="s">
        <v>6080</v>
      </c>
    </row>
    <row r="183" spans="1:75" ht="377" x14ac:dyDescent="0.35">
      <c r="A183" s="1" t="s">
        <v>72</v>
      </c>
      <c r="B183" s="1" t="s">
        <v>1128</v>
      </c>
      <c r="C183" s="1" t="s">
        <v>74</v>
      </c>
      <c r="D183" s="1" t="s">
        <v>74</v>
      </c>
      <c r="E183" s="1" t="s">
        <v>74</v>
      </c>
      <c r="F183" s="1" t="s">
        <v>1129</v>
      </c>
      <c r="G183" s="1" t="s">
        <v>74</v>
      </c>
      <c r="H183" s="1" t="s">
        <v>74</v>
      </c>
      <c r="I183" s="1" t="s">
        <v>1130</v>
      </c>
      <c r="J183" s="1" t="s">
        <v>240</v>
      </c>
      <c r="K183" s="1" t="s">
        <v>74</v>
      </c>
      <c r="L183" s="1" t="s">
        <v>74</v>
      </c>
      <c r="M183" s="1" t="s">
        <v>78</v>
      </c>
      <c r="N183" s="1" t="s">
        <v>79</v>
      </c>
      <c r="O183" s="1" t="s">
        <v>74</v>
      </c>
      <c r="P183" s="1" t="s">
        <v>74</v>
      </c>
      <c r="Q183" s="1" t="s">
        <v>74</v>
      </c>
      <c r="R183" s="1" t="s">
        <v>74</v>
      </c>
      <c r="S183" s="1" t="s">
        <v>74</v>
      </c>
      <c r="T183" s="1" t="s">
        <v>1131</v>
      </c>
      <c r="U183" s="1" t="s">
        <v>1132</v>
      </c>
      <c r="V183" s="1" t="s">
        <v>1133</v>
      </c>
      <c r="W183" s="1" t="s">
        <v>1134</v>
      </c>
      <c r="X183" s="1" t="s">
        <v>1135</v>
      </c>
      <c r="Y183" s="1" t="s">
        <v>1136</v>
      </c>
      <c r="Z183" s="1" t="s">
        <v>1137</v>
      </c>
      <c r="AA183" s="1" t="s">
        <v>1138</v>
      </c>
      <c r="AB183" s="1" t="s">
        <v>1139</v>
      </c>
      <c r="AC183" s="1" t="s">
        <v>74</v>
      </c>
      <c r="AD183" s="1" t="s">
        <v>74</v>
      </c>
      <c r="AE183" s="1" t="s">
        <v>74</v>
      </c>
      <c r="AF183" s="1" t="s">
        <v>74</v>
      </c>
      <c r="AG183" s="1">
        <v>79</v>
      </c>
      <c r="AH183" s="1">
        <v>371</v>
      </c>
      <c r="AI183" s="1">
        <v>376</v>
      </c>
      <c r="AJ183" s="1">
        <v>38</v>
      </c>
      <c r="AK183" s="1">
        <v>476</v>
      </c>
      <c r="AL183" s="1" t="s">
        <v>144</v>
      </c>
      <c r="AM183" s="1" t="s">
        <v>145</v>
      </c>
      <c r="AN183" s="1" t="s">
        <v>146</v>
      </c>
      <c r="AO183" s="1" t="s">
        <v>254</v>
      </c>
      <c r="AP183" s="1" t="s">
        <v>255</v>
      </c>
      <c r="AQ183" s="1" t="s">
        <v>74</v>
      </c>
      <c r="AR183" s="1" t="s">
        <v>256</v>
      </c>
      <c r="AS183" s="1" t="s">
        <v>257</v>
      </c>
      <c r="AT183" s="1" t="s">
        <v>213</v>
      </c>
      <c r="AU183" s="1">
        <v>2013</v>
      </c>
      <c r="AV183" s="1">
        <v>77</v>
      </c>
      <c r="AW183" s="1">
        <v>1</v>
      </c>
      <c r="AX183" s="1" t="s">
        <v>74</v>
      </c>
      <c r="AY183" s="1" t="s">
        <v>74</v>
      </c>
      <c r="AZ183" s="1" t="s">
        <v>74</v>
      </c>
      <c r="BA183" s="1" t="s">
        <v>74</v>
      </c>
      <c r="BB183" s="1">
        <v>87</v>
      </c>
      <c r="BC183" s="1">
        <v>103</v>
      </c>
      <c r="BD183" s="1" t="s">
        <v>74</v>
      </c>
      <c r="BE183" s="1" t="s">
        <v>1140</v>
      </c>
      <c r="BF183" s="1" t="str">
        <f>HYPERLINK("http://dx.doi.org/10.1509/jm.11.0560","http://dx.doi.org/10.1509/jm.11.0560")</f>
        <v>http://dx.doi.org/10.1509/jm.11.0560</v>
      </c>
      <c r="BG183" s="1" t="s">
        <v>74</v>
      </c>
      <c r="BH183" s="1" t="s">
        <v>74</v>
      </c>
      <c r="BI183" s="1">
        <v>17</v>
      </c>
      <c r="BJ183" s="1" t="s">
        <v>153</v>
      </c>
      <c r="BK183" s="1" t="s">
        <v>101</v>
      </c>
      <c r="BL183" s="1" t="s">
        <v>154</v>
      </c>
      <c r="BM183" s="1" t="s">
        <v>1141</v>
      </c>
      <c r="BN183" s="1" t="s">
        <v>74</v>
      </c>
      <c r="BO183" s="1" t="s">
        <v>828</v>
      </c>
      <c r="BP183" s="1" t="s">
        <v>218</v>
      </c>
      <c r="BQ183" s="1" t="s">
        <v>219</v>
      </c>
      <c r="BR183" s="1" t="s">
        <v>104</v>
      </c>
      <c r="BS183" s="1" t="s">
        <v>1142</v>
      </c>
      <c r="BT183" s="1" t="str">
        <f>HYPERLINK("https%3A%2F%2Fwww.webofscience.com%2Fwos%2Fwoscc%2Ffull-record%2FWOS:000312685900006","View Full Record in Web of Science")</f>
        <v>View Full Record in Web of Science</v>
      </c>
      <c r="BU183" s="1" t="s">
        <v>2040</v>
      </c>
      <c r="BV183" s="1" t="s">
        <v>6080</v>
      </c>
      <c r="BW183" s="1" t="s">
        <v>6080</v>
      </c>
    </row>
    <row r="184" spans="1:75" ht="275.5" x14ac:dyDescent="0.35">
      <c r="A184" s="1" t="s">
        <v>72</v>
      </c>
      <c r="B184" s="1" t="s">
        <v>1249</v>
      </c>
      <c r="C184" s="1" t="s">
        <v>74</v>
      </c>
      <c r="D184" s="1" t="s">
        <v>74</v>
      </c>
      <c r="E184" s="1" t="s">
        <v>74</v>
      </c>
      <c r="F184" s="1" t="s">
        <v>1250</v>
      </c>
      <c r="G184" s="1" t="s">
        <v>74</v>
      </c>
      <c r="H184" s="1" t="s">
        <v>74</v>
      </c>
      <c r="I184" s="1" t="s">
        <v>1251</v>
      </c>
      <c r="J184" s="1" t="s">
        <v>161</v>
      </c>
      <c r="K184" s="1" t="s">
        <v>74</v>
      </c>
      <c r="L184" s="1" t="s">
        <v>74</v>
      </c>
      <c r="M184" s="1" t="s">
        <v>78</v>
      </c>
      <c r="N184" s="1" t="s">
        <v>79</v>
      </c>
      <c r="O184" s="1" t="s">
        <v>74</v>
      </c>
      <c r="P184" s="1" t="s">
        <v>74</v>
      </c>
      <c r="Q184" s="1" t="s">
        <v>74</v>
      </c>
      <c r="R184" s="1" t="s">
        <v>74</v>
      </c>
      <c r="S184" s="1" t="s">
        <v>74</v>
      </c>
      <c r="T184" s="1" t="s">
        <v>74</v>
      </c>
      <c r="U184" s="1" t="s">
        <v>1252</v>
      </c>
      <c r="V184" s="1" t="s">
        <v>1253</v>
      </c>
      <c r="W184" s="1" t="s">
        <v>1254</v>
      </c>
      <c r="X184" s="1" t="s">
        <v>1255</v>
      </c>
      <c r="Y184" s="1" t="s">
        <v>1256</v>
      </c>
      <c r="Z184" s="1" t="s">
        <v>1257</v>
      </c>
      <c r="AA184" s="1" t="s">
        <v>74</v>
      </c>
      <c r="AB184" s="1" t="s">
        <v>74</v>
      </c>
      <c r="AC184" s="1" t="s">
        <v>74</v>
      </c>
      <c r="AD184" s="1" t="s">
        <v>74</v>
      </c>
      <c r="AE184" s="1" t="s">
        <v>74</v>
      </c>
      <c r="AF184" s="1" t="s">
        <v>74</v>
      </c>
      <c r="AG184" s="1">
        <v>103</v>
      </c>
      <c r="AH184" s="1">
        <v>231</v>
      </c>
      <c r="AI184" s="1">
        <v>235</v>
      </c>
      <c r="AJ184" s="1">
        <v>4</v>
      </c>
      <c r="AK184" s="1">
        <v>149</v>
      </c>
      <c r="AL184" s="1" t="s">
        <v>170</v>
      </c>
      <c r="AM184" s="1" t="s">
        <v>171</v>
      </c>
      <c r="AN184" s="1" t="s">
        <v>172</v>
      </c>
      <c r="AO184" s="1" t="s">
        <v>173</v>
      </c>
      <c r="AP184" s="1" t="s">
        <v>174</v>
      </c>
      <c r="AQ184" s="1" t="s">
        <v>74</v>
      </c>
      <c r="AR184" s="1" t="s">
        <v>175</v>
      </c>
      <c r="AS184" s="1" t="s">
        <v>176</v>
      </c>
      <c r="AT184" s="1" t="s">
        <v>151</v>
      </c>
      <c r="AU184" s="1">
        <v>2013</v>
      </c>
      <c r="AV184" s="1">
        <v>40</v>
      </c>
      <c r="AW184" s="1">
        <v>1</v>
      </c>
      <c r="AX184" s="1" t="s">
        <v>74</v>
      </c>
      <c r="AY184" s="1" t="s">
        <v>74</v>
      </c>
      <c r="AZ184" s="1" t="s">
        <v>74</v>
      </c>
      <c r="BA184" s="1" t="s">
        <v>74</v>
      </c>
      <c r="BB184" s="1">
        <v>136</v>
      </c>
      <c r="BC184" s="1">
        <v>158</v>
      </c>
      <c r="BD184" s="1" t="s">
        <v>74</v>
      </c>
      <c r="BE184" s="1" t="s">
        <v>1258</v>
      </c>
      <c r="BF184" s="1" t="str">
        <f>HYPERLINK("http://dx.doi.org/10.1086/669042","http://dx.doi.org/10.1086/669042")</f>
        <v>http://dx.doi.org/10.1086/669042</v>
      </c>
      <c r="BG184" s="1" t="s">
        <v>74</v>
      </c>
      <c r="BH184" s="1" t="s">
        <v>74</v>
      </c>
      <c r="BI184" s="1">
        <v>23</v>
      </c>
      <c r="BJ184" s="1" t="s">
        <v>153</v>
      </c>
      <c r="BK184" s="1" t="s">
        <v>101</v>
      </c>
      <c r="BL184" s="1" t="s">
        <v>154</v>
      </c>
      <c r="BM184" s="1" t="s">
        <v>1259</v>
      </c>
      <c r="BN184" s="1" t="s">
        <v>74</v>
      </c>
      <c r="BO184" s="1" t="s">
        <v>74</v>
      </c>
      <c r="BP184" s="1" t="s">
        <v>74</v>
      </c>
      <c r="BQ184" s="1" t="s">
        <v>74</v>
      </c>
      <c r="BR184" s="1" t="s">
        <v>104</v>
      </c>
      <c r="BS184" s="1" t="s">
        <v>1260</v>
      </c>
      <c r="BT184" s="1" t="str">
        <f>HYPERLINK("https%3A%2F%2Fwww.webofscience.com%2Fwos%2Fwoscc%2Ffull-record%2FWOS:000319055700009","View Full Record in Web of Science")</f>
        <v>View Full Record in Web of Science</v>
      </c>
      <c r="BU184" s="1" t="s">
        <v>2040</v>
      </c>
      <c r="BV184" s="1" t="s">
        <v>6080</v>
      </c>
      <c r="BW184" s="1" t="s">
        <v>10653</v>
      </c>
    </row>
    <row r="185" spans="1:75" ht="275.5" x14ac:dyDescent="0.35">
      <c r="A185" s="1" t="s">
        <v>72</v>
      </c>
      <c r="B185" s="1" t="s">
        <v>1703</v>
      </c>
      <c r="C185" s="1" t="s">
        <v>74</v>
      </c>
      <c r="D185" s="1" t="s">
        <v>74</v>
      </c>
      <c r="E185" s="1" t="s">
        <v>74</v>
      </c>
      <c r="F185" s="1" t="s">
        <v>1704</v>
      </c>
      <c r="G185" s="1" t="s">
        <v>74</v>
      </c>
      <c r="H185" s="1" t="s">
        <v>74</v>
      </c>
      <c r="I185" s="1" t="s">
        <v>1705</v>
      </c>
      <c r="J185" s="1" t="s">
        <v>161</v>
      </c>
      <c r="K185" s="1" t="s">
        <v>74</v>
      </c>
      <c r="L185" s="1" t="s">
        <v>74</v>
      </c>
      <c r="M185" s="1" t="s">
        <v>78</v>
      </c>
      <c r="N185" s="1" t="s">
        <v>79</v>
      </c>
      <c r="O185" s="1" t="s">
        <v>74</v>
      </c>
      <c r="P185" s="1" t="s">
        <v>74</v>
      </c>
      <c r="Q185" s="1" t="s">
        <v>74</v>
      </c>
      <c r="R185" s="1" t="s">
        <v>74</v>
      </c>
      <c r="S185" s="1" t="s">
        <v>74</v>
      </c>
      <c r="T185" s="1" t="s">
        <v>74</v>
      </c>
      <c r="U185" s="1" t="s">
        <v>1706</v>
      </c>
      <c r="V185" s="1" t="s">
        <v>1707</v>
      </c>
      <c r="W185" s="1" t="s">
        <v>1708</v>
      </c>
      <c r="X185" s="1" t="s">
        <v>1709</v>
      </c>
      <c r="Y185" s="1" t="s">
        <v>1710</v>
      </c>
      <c r="Z185" s="1" t="s">
        <v>1711</v>
      </c>
      <c r="AA185" s="1" t="s">
        <v>1712</v>
      </c>
      <c r="AB185" s="1" t="s">
        <v>1713</v>
      </c>
      <c r="AC185" s="1" t="s">
        <v>74</v>
      </c>
      <c r="AD185" s="1" t="s">
        <v>74</v>
      </c>
      <c r="AE185" s="1" t="s">
        <v>74</v>
      </c>
      <c r="AF185" s="1" t="s">
        <v>74</v>
      </c>
      <c r="AG185" s="1">
        <v>105</v>
      </c>
      <c r="AH185" s="1">
        <v>320</v>
      </c>
      <c r="AI185" s="1">
        <v>327</v>
      </c>
      <c r="AJ185" s="1">
        <v>7</v>
      </c>
      <c r="AK185" s="1">
        <v>136</v>
      </c>
      <c r="AL185" s="1" t="s">
        <v>170</v>
      </c>
      <c r="AM185" s="1" t="s">
        <v>171</v>
      </c>
      <c r="AN185" s="1" t="s">
        <v>172</v>
      </c>
      <c r="AO185" s="1" t="s">
        <v>173</v>
      </c>
      <c r="AP185" s="1" t="s">
        <v>174</v>
      </c>
      <c r="AQ185" s="1" t="s">
        <v>74</v>
      </c>
      <c r="AR185" s="1" t="s">
        <v>175</v>
      </c>
      <c r="AS185" s="1" t="s">
        <v>176</v>
      </c>
      <c r="AT185" s="1" t="s">
        <v>294</v>
      </c>
      <c r="AU185" s="1">
        <v>2013</v>
      </c>
      <c r="AV185" s="1">
        <v>39</v>
      </c>
      <c r="AW185" s="1">
        <v>6</v>
      </c>
      <c r="AX185" s="1" t="s">
        <v>74</v>
      </c>
      <c r="AY185" s="1" t="s">
        <v>74</v>
      </c>
      <c r="AZ185" s="1" t="s">
        <v>74</v>
      </c>
      <c r="BA185" s="1" t="s">
        <v>74</v>
      </c>
      <c r="BB185" s="1">
        <v>1234</v>
      </c>
      <c r="BC185" s="1">
        <v>1257</v>
      </c>
      <c r="BD185" s="1" t="s">
        <v>74</v>
      </c>
      <c r="BE185" s="1" t="s">
        <v>1714</v>
      </c>
      <c r="BF185" s="1" t="str">
        <f>HYPERLINK("http://dx.doi.org/10.1086/668298","http://dx.doi.org/10.1086/668298")</f>
        <v>http://dx.doi.org/10.1086/668298</v>
      </c>
      <c r="BG185" s="1" t="s">
        <v>74</v>
      </c>
      <c r="BH185" s="1" t="s">
        <v>74</v>
      </c>
      <c r="BI185" s="1">
        <v>24</v>
      </c>
      <c r="BJ185" s="1" t="s">
        <v>153</v>
      </c>
      <c r="BK185" s="1" t="s">
        <v>101</v>
      </c>
      <c r="BL185" s="1" t="s">
        <v>154</v>
      </c>
      <c r="BM185" s="1" t="s">
        <v>1715</v>
      </c>
      <c r="BN185" s="1" t="s">
        <v>74</v>
      </c>
      <c r="BO185" s="1" t="s">
        <v>74</v>
      </c>
      <c r="BP185" s="1" t="s">
        <v>218</v>
      </c>
      <c r="BQ185" s="1" t="s">
        <v>219</v>
      </c>
      <c r="BR185" s="1" t="s">
        <v>104</v>
      </c>
      <c r="BS185" s="1" t="s">
        <v>1716</v>
      </c>
      <c r="BT185" s="1" t="str">
        <f>HYPERLINK("https%3A%2F%2Fwww.webofscience.com%2Fwos%2Fwoscc%2Ffull-record%2FWOS:000316003900007","View Full Record in Web of Science")</f>
        <v>View Full Record in Web of Science</v>
      </c>
      <c r="BU185" s="1" t="s">
        <v>2040</v>
      </c>
      <c r="BV185" s="1" t="s">
        <v>6080</v>
      </c>
      <c r="BW185" s="1" t="s">
        <v>10653</v>
      </c>
    </row>
    <row r="186" spans="1:75" ht="409.5" x14ac:dyDescent="0.35">
      <c r="A186" s="1" t="s">
        <v>1967</v>
      </c>
      <c r="B186" s="1" t="s">
        <v>1968</v>
      </c>
      <c r="C186" s="1" t="s">
        <v>74</v>
      </c>
      <c r="D186" s="1" t="s">
        <v>1969</v>
      </c>
      <c r="E186" s="1" t="s">
        <v>74</v>
      </c>
      <c r="F186" s="1" t="s">
        <v>1970</v>
      </c>
      <c r="G186" s="1" t="s">
        <v>74</v>
      </c>
      <c r="H186" s="1" t="s">
        <v>74</v>
      </c>
      <c r="I186" s="1" t="s">
        <v>1971</v>
      </c>
      <c r="J186" s="1" t="s">
        <v>1972</v>
      </c>
      <c r="K186" s="1" t="s">
        <v>1973</v>
      </c>
      <c r="L186" s="1" t="s">
        <v>74</v>
      </c>
      <c r="M186" s="1" t="s">
        <v>78</v>
      </c>
      <c r="N186" s="1" t="s">
        <v>1974</v>
      </c>
      <c r="O186" s="1" t="s">
        <v>74</v>
      </c>
      <c r="P186" s="1" t="s">
        <v>74</v>
      </c>
      <c r="Q186" s="1" t="s">
        <v>74</v>
      </c>
      <c r="R186" s="1" t="s">
        <v>74</v>
      </c>
      <c r="S186" s="1" t="s">
        <v>74</v>
      </c>
      <c r="T186" s="1" t="s">
        <v>1975</v>
      </c>
      <c r="U186" s="1" t="s">
        <v>1976</v>
      </c>
      <c r="V186" s="1" t="s">
        <v>1977</v>
      </c>
      <c r="W186" s="1" t="s">
        <v>1978</v>
      </c>
      <c r="X186" s="1" t="s">
        <v>1979</v>
      </c>
      <c r="Y186" s="1" t="s">
        <v>1980</v>
      </c>
      <c r="Z186" s="1" t="s">
        <v>74</v>
      </c>
      <c r="AA186" s="1" t="s">
        <v>74</v>
      </c>
      <c r="AB186" s="1" t="s">
        <v>1981</v>
      </c>
      <c r="AC186" s="1" t="s">
        <v>74</v>
      </c>
      <c r="AD186" s="1" t="s">
        <v>74</v>
      </c>
      <c r="AE186" s="1" t="s">
        <v>74</v>
      </c>
      <c r="AF186" s="1" t="s">
        <v>74</v>
      </c>
      <c r="AG186" s="1">
        <v>146</v>
      </c>
      <c r="AH186" s="1">
        <v>6</v>
      </c>
      <c r="AI186" s="1">
        <v>6</v>
      </c>
      <c r="AJ186" s="1">
        <v>3</v>
      </c>
      <c r="AK186" s="1">
        <v>4</v>
      </c>
      <c r="AL186" s="1" t="s">
        <v>1982</v>
      </c>
      <c r="AM186" s="1" t="s">
        <v>1983</v>
      </c>
      <c r="AN186" s="1" t="s">
        <v>1984</v>
      </c>
      <c r="AO186" s="1" t="s">
        <v>1985</v>
      </c>
      <c r="AP186" s="1" t="s">
        <v>74</v>
      </c>
      <c r="AQ186" s="1" t="s">
        <v>1986</v>
      </c>
      <c r="AR186" s="1" t="s">
        <v>1987</v>
      </c>
      <c r="AS186" s="1" t="s">
        <v>74</v>
      </c>
      <c r="AT186" s="1" t="s">
        <v>74</v>
      </c>
      <c r="AU186" s="1">
        <v>2013</v>
      </c>
      <c r="AV186" s="1">
        <v>10</v>
      </c>
      <c r="AW186" s="1" t="s">
        <v>74</v>
      </c>
      <c r="AX186" s="1" t="s">
        <v>74</v>
      </c>
      <c r="AY186" s="1" t="s">
        <v>74</v>
      </c>
      <c r="AZ186" s="1" t="s">
        <v>74</v>
      </c>
      <c r="BA186" s="1" t="s">
        <v>74</v>
      </c>
      <c r="BB186" s="1">
        <v>213</v>
      </c>
      <c r="BC186" s="1">
        <v>253</v>
      </c>
      <c r="BD186" s="1" t="s">
        <v>74</v>
      </c>
      <c r="BE186" s="1" t="s">
        <v>1988</v>
      </c>
      <c r="BF186" s="1" t="str">
        <f>HYPERLINK("http://dx.doi.org/10.1108/S1548-6435(2013)0000010012","http://dx.doi.org/10.1108/S1548-6435(2013)0000010012")</f>
        <v>http://dx.doi.org/10.1108/S1548-6435(2013)0000010012</v>
      </c>
      <c r="BG186" s="1" t="s">
        <v>74</v>
      </c>
      <c r="BH186" s="1" t="s">
        <v>74</v>
      </c>
      <c r="BI186" s="1">
        <v>41</v>
      </c>
      <c r="BJ186" s="1" t="s">
        <v>877</v>
      </c>
      <c r="BK186" s="1" t="s">
        <v>1989</v>
      </c>
      <c r="BL186" s="1" t="s">
        <v>154</v>
      </c>
      <c r="BM186" s="1" t="s">
        <v>1990</v>
      </c>
      <c r="BN186" s="1" t="s">
        <v>74</v>
      </c>
      <c r="BO186" s="1" t="s">
        <v>74</v>
      </c>
      <c r="BP186" s="1" t="s">
        <v>74</v>
      </c>
      <c r="BQ186" s="1" t="s">
        <v>74</v>
      </c>
      <c r="BR186" s="1" t="s">
        <v>104</v>
      </c>
      <c r="BS186" s="1" t="s">
        <v>1991</v>
      </c>
      <c r="BT186" s="1" t="str">
        <f>HYPERLINK("https%3A%2F%2Fwww.webofscience.com%2Fwos%2Fwoscc%2Ffull-record%2FWOS:000358642300009","View Full Record in Web of Science")</f>
        <v>View Full Record in Web of Science</v>
      </c>
      <c r="BU186" s="1" t="s">
        <v>2040</v>
      </c>
      <c r="BV186" s="1" t="s">
        <v>6080</v>
      </c>
      <c r="BW186" s="1" t="s">
        <v>10653</v>
      </c>
    </row>
    <row r="187" spans="1:75" ht="319" x14ac:dyDescent="0.35">
      <c r="A187" s="1" t="s">
        <v>72</v>
      </c>
      <c r="B187" s="1" t="s">
        <v>922</v>
      </c>
      <c r="C187" s="1" t="s">
        <v>74</v>
      </c>
      <c r="D187" s="1" t="s">
        <v>74</v>
      </c>
      <c r="E187" s="1" t="s">
        <v>74</v>
      </c>
      <c r="F187" s="1" t="s">
        <v>923</v>
      </c>
      <c r="G187" s="1" t="s">
        <v>74</v>
      </c>
      <c r="H187" s="1" t="s">
        <v>74</v>
      </c>
      <c r="I187" s="1" t="s">
        <v>924</v>
      </c>
      <c r="J187" s="1" t="s">
        <v>161</v>
      </c>
      <c r="K187" s="1" t="s">
        <v>74</v>
      </c>
      <c r="L187" s="1" t="s">
        <v>74</v>
      </c>
      <c r="M187" s="1" t="s">
        <v>78</v>
      </c>
      <c r="N187" s="1" t="s">
        <v>79</v>
      </c>
      <c r="O187" s="1" t="s">
        <v>74</v>
      </c>
      <c r="P187" s="1" t="s">
        <v>74</v>
      </c>
      <c r="Q187" s="1" t="s">
        <v>74</v>
      </c>
      <c r="R187" s="1" t="s">
        <v>74</v>
      </c>
      <c r="S187" s="1" t="s">
        <v>74</v>
      </c>
      <c r="T187" s="1" t="s">
        <v>74</v>
      </c>
      <c r="U187" s="1" t="s">
        <v>925</v>
      </c>
      <c r="V187" s="1" t="s">
        <v>926</v>
      </c>
      <c r="W187" s="1" t="s">
        <v>927</v>
      </c>
      <c r="X187" s="1" t="s">
        <v>928</v>
      </c>
      <c r="Y187" s="1" t="s">
        <v>929</v>
      </c>
      <c r="Z187" s="1" t="s">
        <v>930</v>
      </c>
      <c r="AA187" s="1" t="s">
        <v>74</v>
      </c>
      <c r="AB187" s="1" t="s">
        <v>74</v>
      </c>
      <c r="AC187" s="1" t="s">
        <v>74</v>
      </c>
      <c r="AD187" s="1" t="s">
        <v>74</v>
      </c>
      <c r="AE187" s="1" t="s">
        <v>74</v>
      </c>
      <c r="AF187" s="1" t="s">
        <v>74</v>
      </c>
      <c r="AG187" s="1">
        <v>88</v>
      </c>
      <c r="AH187" s="1">
        <v>96</v>
      </c>
      <c r="AI187" s="1">
        <v>98</v>
      </c>
      <c r="AJ187" s="1">
        <v>5</v>
      </c>
      <c r="AK187" s="1">
        <v>97</v>
      </c>
      <c r="AL187" s="1" t="s">
        <v>357</v>
      </c>
      <c r="AM187" s="1" t="s">
        <v>233</v>
      </c>
      <c r="AN187" s="1" t="s">
        <v>358</v>
      </c>
      <c r="AO187" s="1" t="s">
        <v>173</v>
      </c>
      <c r="AP187" s="1" t="s">
        <v>174</v>
      </c>
      <c r="AQ187" s="1" t="s">
        <v>74</v>
      </c>
      <c r="AR187" s="1" t="s">
        <v>175</v>
      </c>
      <c r="AS187" s="1" t="s">
        <v>176</v>
      </c>
      <c r="AT187" s="1" t="s">
        <v>348</v>
      </c>
      <c r="AU187" s="1">
        <v>2013</v>
      </c>
      <c r="AV187" s="1">
        <v>40</v>
      </c>
      <c r="AW187" s="1">
        <v>4</v>
      </c>
      <c r="AX187" s="1" t="s">
        <v>74</v>
      </c>
      <c r="AY187" s="1" t="s">
        <v>74</v>
      </c>
      <c r="AZ187" s="1" t="s">
        <v>74</v>
      </c>
      <c r="BA187" s="1" t="s">
        <v>74</v>
      </c>
      <c r="BB187" s="1">
        <v>773</v>
      </c>
      <c r="BC187" s="1">
        <v>795</v>
      </c>
      <c r="BD187" s="1" t="s">
        <v>74</v>
      </c>
      <c r="BE187" s="1" t="s">
        <v>931</v>
      </c>
      <c r="BF187" s="1" t="str">
        <f>HYPERLINK("http://dx.doi.org/10.1086/672358","http://dx.doi.org/10.1086/672358")</f>
        <v>http://dx.doi.org/10.1086/672358</v>
      </c>
      <c r="BG187" s="1" t="s">
        <v>74</v>
      </c>
      <c r="BH187" s="1" t="s">
        <v>74</v>
      </c>
      <c r="BI187" s="1">
        <v>23</v>
      </c>
      <c r="BJ187" s="1" t="s">
        <v>153</v>
      </c>
      <c r="BK187" s="1" t="s">
        <v>101</v>
      </c>
      <c r="BL187" s="1" t="s">
        <v>154</v>
      </c>
      <c r="BM187" s="1" t="s">
        <v>932</v>
      </c>
      <c r="BN187" s="1" t="s">
        <v>74</v>
      </c>
      <c r="BO187" s="1" t="s">
        <v>367</v>
      </c>
      <c r="BP187" s="1" t="s">
        <v>74</v>
      </c>
      <c r="BQ187" s="1" t="s">
        <v>74</v>
      </c>
      <c r="BR187" s="1" t="s">
        <v>104</v>
      </c>
      <c r="BS187" s="1" t="s">
        <v>933</v>
      </c>
      <c r="BT187" s="1" t="str">
        <f>HYPERLINK("https%3A%2F%2Fwww.webofscience.com%2Fwos%2Fwoscc%2Ffull-record%2FWOS:000331704400012","View Full Record in Web of Science")</f>
        <v>View Full Record in Web of Science</v>
      </c>
      <c r="BU187" s="1" t="s">
        <v>3776</v>
      </c>
      <c r="BV187" s="1" t="s">
        <v>6080</v>
      </c>
      <c r="BW187" s="1" t="s">
        <v>6080</v>
      </c>
    </row>
    <row r="188" spans="1:75" ht="246.5" x14ac:dyDescent="0.35">
      <c r="A188" s="1" t="s">
        <v>72</v>
      </c>
      <c r="B188" s="1" t="s">
        <v>2581</v>
      </c>
      <c r="C188" s="1" t="s">
        <v>74</v>
      </c>
      <c r="D188" s="1" t="s">
        <v>74</v>
      </c>
      <c r="E188" s="1" t="s">
        <v>74</v>
      </c>
      <c r="F188" s="1" t="s">
        <v>2582</v>
      </c>
      <c r="G188" s="1" t="s">
        <v>74</v>
      </c>
      <c r="H188" s="1" t="s">
        <v>74</v>
      </c>
      <c r="I188" s="1" t="s">
        <v>2583</v>
      </c>
      <c r="J188" s="1" t="s">
        <v>542</v>
      </c>
      <c r="K188" s="1" t="s">
        <v>74</v>
      </c>
      <c r="L188" s="1" t="s">
        <v>74</v>
      </c>
      <c r="M188" s="1" t="s">
        <v>78</v>
      </c>
      <c r="N188" s="1" t="s">
        <v>79</v>
      </c>
      <c r="O188" s="1" t="s">
        <v>74</v>
      </c>
      <c r="P188" s="1" t="s">
        <v>74</v>
      </c>
      <c r="Q188" s="1" t="s">
        <v>74</v>
      </c>
      <c r="R188" s="1" t="s">
        <v>74</v>
      </c>
      <c r="S188" s="1" t="s">
        <v>74</v>
      </c>
      <c r="T188" s="1" t="s">
        <v>74</v>
      </c>
      <c r="U188" s="1" t="s">
        <v>2584</v>
      </c>
      <c r="V188" s="1" t="s">
        <v>2585</v>
      </c>
      <c r="W188" s="1" t="s">
        <v>2586</v>
      </c>
      <c r="X188" s="1" t="s">
        <v>2587</v>
      </c>
      <c r="Y188" s="1" t="s">
        <v>2588</v>
      </c>
      <c r="Z188" s="1" t="s">
        <v>2589</v>
      </c>
      <c r="AA188" s="1" t="s">
        <v>2590</v>
      </c>
      <c r="AB188" s="1" t="s">
        <v>2591</v>
      </c>
      <c r="AC188" s="1" t="s">
        <v>2592</v>
      </c>
      <c r="AD188" s="1" t="s">
        <v>2593</v>
      </c>
      <c r="AE188" s="1" t="s">
        <v>2594</v>
      </c>
      <c r="AF188" s="1" t="s">
        <v>74</v>
      </c>
      <c r="AG188" s="1">
        <v>52</v>
      </c>
      <c r="AH188" s="1">
        <v>144</v>
      </c>
      <c r="AI188" s="1">
        <v>145</v>
      </c>
      <c r="AJ188" s="1">
        <v>2</v>
      </c>
      <c r="AK188" s="1">
        <v>107</v>
      </c>
      <c r="AL188" s="1" t="s">
        <v>553</v>
      </c>
      <c r="AM188" s="1" t="s">
        <v>554</v>
      </c>
      <c r="AN188" s="1" t="s">
        <v>555</v>
      </c>
      <c r="AO188" s="1" t="s">
        <v>556</v>
      </c>
      <c r="AP188" s="1" t="s">
        <v>74</v>
      </c>
      <c r="AQ188" s="1" t="s">
        <v>74</v>
      </c>
      <c r="AR188" s="1" t="s">
        <v>542</v>
      </c>
      <c r="AS188" s="1" t="s">
        <v>557</v>
      </c>
      <c r="AT188" s="1" t="s">
        <v>2595</v>
      </c>
      <c r="AU188" s="1">
        <v>2013</v>
      </c>
      <c r="AV188" s="1">
        <v>8</v>
      </c>
      <c r="AW188" s="1">
        <v>8</v>
      </c>
      <c r="AX188" s="1" t="s">
        <v>74</v>
      </c>
      <c r="AY188" s="1" t="s">
        <v>74</v>
      </c>
      <c r="AZ188" s="1" t="s">
        <v>74</v>
      </c>
      <c r="BA188" s="1" t="s">
        <v>74</v>
      </c>
      <c r="BB188" s="1" t="s">
        <v>74</v>
      </c>
      <c r="BC188" s="1" t="s">
        <v>74</v>
      </c>
      <c r="BD188" s="1" t="s">
        <v>2596</v>
      </c>
      <c r="BE188" s="1" t="s">
        <v>2597</v>
      </c>
      <c r="BF188" s="1" t="str">
        <f>HYPERLINK("http://dx.doi.org/10.1371/journal.pone.0071226","http://dx.doi.org/10.1371/journal.pone.0071226")</f>
        <v>http://dx.doi.org/10.1371/journal.pone.0071226</v>
      </c>
      <c r="BG188" s="1" t="s">
        <v>74</v>
      </c>
      <c r="BH188" s="1" t="s">
        <v>74</v>
      </c>
      <c r="BI188" s="1">
        <v>8</v>
      </c>
      <c r="BJ188" s="1" t="s">
        <v>561</v>
      </c>
      <c r="BK188" s="1" t="s">
        <v>129</v>
      </c>
      <c r="BL188" s="1" t="s">
        <v>562</v>
      </c>
      <c r="BM188" s="1" t="s">
        <v>2598</v>
      </c>
      <c r="BN188" s="1">
        <v>23990938</v>
      </c>
      <c r="BO188" s="1" t="s">
        <v>2599</v>
      </c>
      <c r="BP188" s="1" t="s">
        <v>74</v>
      </c>
      <c r="BQ188" s="1" t="s">
        <v>74</v>
      </c>
      <c r="BR188" s="1" t="s">
        <v>104</v>
      </c>
      <c r="BS188" s="1" t="s">
        <v>2600</v>
      </c>
      <c r="BT188" s="1" t="str">
        <f>HYPERLINK("https%3A%2F%2Fwww.webofscience.com%2Fwos%2Fwoscc%2Ffull-record%2FWOS:000324470100040","View Full Record in Web of Science")</f>
        <v>View Full Record in Web of Science</v>
      </c>
      <c r="BU188" s="1" t="s">
        <v>3776</v>
      </c>
      <c r="BV188" s="1" t="s">
        <v>10653</v>
      </c>
      <c r="BW188" s="1" t="s">
        <v>10653</v>
      </c>
    </row>
    <row r="189" spans="1:75" ht="304.5" x14ac:dyDescent="0.35">
      <c r="A189" s="1" t="s">
        <v>72</v>
      </c>
      <c r="B189" s="1" t="s">
        <v>2601</v>
      </c>
      <c r="C189" s="1" t="s">
        <v>74</v>
      </c>
      <c r="D189" s="1" t="s">
        <v>74</v>
      </c>
      <c r="E189" s="1" t="s">
        <v>74</v>
      </c>
      <c r="F189" s="1" t="s">
        <v>2602</v>
      </c>
      <c r="G189" s="1" t="s">
        <v>74</v>
      </c>
      <c r="H189" s="1" t="s">
        <v>74</v>
      </c>
      <c r="I189" s="1" t="s">
        <v>2603</v>
      </c>
      <c r="J189" s="1" t="s">
        <v>2604</v>
      </c>
      <c r="K189" s="1" t="s">
        <v>74</v>
      </c>
      <c r="L189" s="1" t="s">
        <v>74</v>
      </c>
      <c r="M189" s="1" t="s">
        <v>78</v>
      </c>
      <c r="N189" s="1" t="s">
        <v>79</v>
      </c>
      <c r="O189" s="1" t="s">
        <v>74</v>
      </c>
      <c r="P189" s="1" t="s">
        <v>74</v>
      </c>
      <c r="Q189" s="1" t="s">
        <v>74</v>
      </c>
      <c r="R189" s="1" t="s">
        <v>74</v>
      </c>
      <c r="S189" s="1" t="s">
        <v>74</v>
      </c>
      <c r="T189" s="1" t="s">
        <v>74</v>
      </c>
      <c r="U189" s="1" t="s">
        <v>2605</v>
      </c>
      <c r="V189" s="1" t="s">
        <v>2606</v>
      </c>
      <c r="W189" s="1" t="s">
        <v>2607</v>
      </c>
      <c r="X189" s="1" t="s">
        <v>2608</v>
      </c>
      <c r="Y189" s="1" t="s">
        <v>2609</v>
      </c>
      <c r="Z189" s="1" t="s">
        <v>2610</v>
      </c>
      <c r="AA189" s="1" t="s">
        <v>2611</v>
      </c>
      <c r="AB189" s="1" t="s">
        <v>74</v>
      </c>
      <c r="AC189" s="1" t="s">
        <v>74</v>
      </c>
      <c r="AD189" s="1" t="s">
        <v>74</v>
      </c>
      <c r="AE189" s="1" t="s">
        <v>74</v>
      </c>
      <c r="AF189" s="1" t="s">
        <v>74</v>
      </c>
      <c r="AG189" s="1">
        <v>85</v>
      </c>
      <c r="AH189" s="1">
        <v>1168</v>
      </c>
      <c r="AI189" s="1">
        <v>1193</v>
      </c>
      <c r="AJ189" s="1">
        <v>24</v>
      </c>
      <c r="AK189" s="1">
        <v>218</v>
      </c>
      <c r="AL189" s="1" t="s">
        <v>2066</v>
      </c>
      <c r="AM189" s="1" t="s">
        <v>2067</v>
      </c>
      <c r="AN189" s="1" t="s">
        <v>2612</v>
      </c>
      <c r="AO189" s="1" t="s">
        <v>2613</v>
      </c>
      <c r="AP189" s="1" t="s">
        <v>2614</v>
      </c>
      <c r="AQ189" s="1" t="s">
        <v>74</v>
      </c>
      <c r="AR189" s="1" t="s">
        <v>2615</v>
      </c>
      <c r="AS189" s="1" t="s">
        <v>2616</v>
      </c>
      <c r="AT189" s="1" t="s">
        <v>2617</v>
      </c>
      <c r="AU189" s="1">
        <v>2013</v>
      </c>
      <c r="AV189" s="1">
        <v>21</v>
      </c>
      <c r="AW189" s="1">
        <v>3</v>
      </c>
      <c r="AX189" s="1" t="s">
        <v>74</v>
      </c>
      <c r="AY189" s="1" t="s">
        <v>74</v>
      </c>
      <c r="AZ189" s="1" t="s">
        <v>74</v>
      </c>
      <c r="BA189" s="1" t="s">
        <v>74</v>
      </c>
      <c r="BB189" s="1">
        <v>267</v>
      </c>
      <c r="BC189" s="1">
        <v>297</v>
      </c>
      <c r="BD189" s="1" t="s">
        <v>74</v>
      </c>
      <c r="BE189" s="1" t="s">
        <v>2618</v>
      </c>
      <c r="BF189" s="1" t="str">
        <f>HYPERLINK("http://dx.doi.org/10.1093/pan/mps028","http://dx.doi.org/10.1093/pan/mps028")</f>
        <v>http://dx.doi.org/10.1093/pan/mps028</v>
      </c>
      <c r="BG189" s="1" t="s">
        <v>74</v>
      </c>
      <c r="BH189" s="1" t="s">
        <v>74</v>
      </c>
      <c r="BI189" s="1">
        <v>31</v>
      </c>
      <c r="BJ189" s="1" t="s">
        <v>2619</v>
      </c>
      <c r="BK189" s="1" t="s">
        <v>101</v>
      </c>
      <c r="BL189" s="1" t="s">
        <v>2620</v>
      </c>
      <c r="BM189" s="1" t="s">
        <v>2621</v>
      </c>
      <c r="BN189" s="1" t="s">
        <v>74</v>
      </c>
      <c r="BO189" s="1" t="s">
        <v>2622</v>
      </c>
      <c r="BP189" s="1" t="s">
        <v>218</v>
      </c>
      <c r="BQ189" s="1" t="s">
        <v>219</v>
      </c>
      <c r="BR189" s="1" t="s">
        <v>104</v>
      </c>
      <c r="BS189" s="1" t="s">
        <v>2623</v>
      </c>
      <c r="BT189" s="1" t="str">
        <f>HYPERLINK("https%3A%2F%2Fwww.webofscience.com%2Fwos%2Fwoscc%2Ffull-record%2FWOS:000321825000001","View Full Record in Web of Science")</f>
        <v>View Full Record in Web of Science</v>
      </c>
      <c r="BU189" s="1" t="s">
        <v>3776</v>
      </c>
      <c r="BV189" s="1" t="s">
        <v>10653</v>
      </c>
    </row>
    <row r="190" spans="1:75" ht="275.5" x14ac:dyDescent="0.35">
      <c r="A190" s="1" t="s">
        <v>72</v>
      </c>
      <c r="B190" s="1" t="s">
        <v>1249</v>
      </c>
      <c r="C190" s="1" t="s">
        <v>74</v>
      </c>
      <c r="D190" s="1" t="s">
        <v>74</v>
      </c>
      <c r="E190" s="1" t="s">
        <v>74</v>
      </c>
      <c r="F190" s="1" t="s">
        <v>1250</v>
      </c>
      <c r="G190" s="1" t="s">
        <v>74</v>
      </c>
      <c r="H190" s="1" t="s">
        <v>74</v>
      </c>
      <c r="I190" s="1" t="s">
        <v>1251</v>
      </c>
      <c r="J190" s="1" t="s">
        <v>161</v>
      </c>
      <c r="K190" s="1" t="s">
        <v>74</v>
      </c>
      <c r="L190" s="1" t="s">
        <v>74</v>
      </c>
      <c r="M190" s="1" t="s">
        <v>78</v>
      </c>
      <c r="N190" s="1" t="s">
        <v>79</v>
      </c>
      <c r="O190" s="1" t="s">
        <v>74</v>
      </c>
      <c r="P190" s="1" t="s">
        <v>74</v>
      </c>
      <c r="Q190" s="1" t="s">
        <v>74</v>
      </c>
      <c r="R190" s="1" t="s">
        <v>74</v>
      </c>
      <c r="S190" s="1" t="s">
        <v>74</v>
      </c>
      <c r="T190" s="1" t="s">
        <v>74</v>
      </c>
      <c r="U190" s="1" t="s">
        <v>1252</v>
      </c>
      <c r="V190" s="1" t="s">
        <v>1253</v>
      </c>
      <c r="W190" s="1" t="s">
        <v>1254</v>
      </c>
      <c r="X190" s="1" t="s">
        <v>1255</v>
      </c>
      <c r="Y190" s="1" t="s">
        <v>1256</v>
      </c>
      <c r="Z190" s="1" t="s">
        <v>1257</v>
      </c>
      <c r="AA190" s="1" t="s">
        <v>74</v>
      </c>
      <c r="AB190" s="1" t="s">
        <v>74</v>
      </c>
      <c r="AC190" s="1" t="s">
        <v>74</v>
      </c>
      <c r="AD190" s="1" t="s">
        <v>74</v>
      </c>
      <c r="AE190" s="1" t="s">
        <v>74</v>
      </c>
      <c r="AF190" s="1" t="s">
        <v>74</v>
      </c>
      <c r="AG190" s="1">
        <v>103</v>
      </c>
      <c r="AH190" s="1">
        <v>231</v>
      </c>
      <c r="AI190" s="1">
        <v>235</v>
      </c>
      <c r="AJ190" s="1">
        <v>4</v>
      </c>
      <c r="AK190" s="1">
        <v>149</v>
      </c>
      <c r="AL190" s="1" t="s">
        <v>170</v>
      </c>
      <c r="AM190" s="1" t="s">
        <v>171</v>
      </c>
      <c r="AN190" s="1" t="s">
        <v>172</v>
      </c>
      <c r="AO190" s="1" t="s">
        <v>173</v>
      </c>
      <c r="AP190" s="1" t="s">
        <v>174</v>
      </c>
      <c r="AQ190" s="1" t="s">
        <v>74</v>
      </c>
      <c r="AR190" s="1" t="s">
        <v>175</v>
      </c>
      <c r="AS190" s="1" t="s">
        <v>176</v>
      </c>
      <c r="AT190" s="1" t="s">
        <v>151</v>
      </c>
      <c r="AU190" s="1">
        <v>2013</v>
      </c>
      <c r="AV190" s="1">
        <v>40</v>
      </c>
      <c r="AW190" s="1">
        <v>1</v>
      </c>
      <c r="AX190" s="1" t="s">
        <v>74</v>
      </c>
      <c r="AY190" s="1" t="s">
        <v>74</v>
      </c>
      <c r="AZ190" s="1" t="s">
        <v>74</v>
      </c>
      <c r="BA190" s="1" t="s">
        <v>74</v>
      </c>
      <c r="BB190" s="1">
        <v>136</v>
      </c>
      <c r="BC190" s="1">
        <v>158</v>
      </c>
      <c r="BD190" s="1" t="s">
        <v>74</v>
      </c>
      <c r="BE190" s="1" t="s">
        <v>1258</v>
      </c>
      <c r="BF190" s="1" t="str">
        <f>HYPERLINK("http://dx.doi.org/10.1086/669042","http://dx.doi.org/10.1086/669042")</f>
        <v>http://dx.doi.org/10.1086/669042</v>
      </c>
      <c r="BG190" s="1" t="s">
        <v>74</v>
      </c>
      <c r="BH190" s="1" t="s">
        <v>74</v>
      </c>
      <c r="BI190" s="1">
        <v>23</v>
      </c>
      <c r="BJ190" s="1" t="s">
        <v>153</v>
      </c>
      <c r="BK190" s="1" t="s">
        <v>101</v>
      </c>
      <c r="BL190" s="1" t="s">
        <v>154</v>
      </c>
      <c r="BM190" s="1" t="s">
        <v>1259</v>
      </c>
      <c r="BN190" s="1" t="s">
        <v>74</v>
      </c>
      <c r="BO190" s="1" t="s">
        <v>74</v>
      </c>
      <c r="BP190" s="1" t="s">
        <v>74</v>
      </c>
      <c r="BQ190" s="1" t="s">
        <v>74</v>
      </c>
      <c r="BR190" s="1" t="s">
        <v>104</v>
      </c>
      <c r="BS190" s="1" t="s">
        <v>1260</v>
      </c>
      <c r="BT190" s="1" t="str">
        <f>HYPERLINK("https%3A%2F%2Fwww.webofscience.com%2Fwos%2Fwoscc%2Ffull-record%2FWOS:000319055700009","View Full Record in Web of Science")</f>
        <v>View Full Record in Web of Science</v>
      </c>
      <c r="BU190" s="1" t="s">
        <v>3776</v>
      </c>
      <c r="BV190" s="1" t="s">
        <v>6080</v>
      </c>
      <c r="BW190" s="1" t="s">
        <v>10653</v>
      </c>
    </row>
    <row r="191" spans="1:75" ht="29" x14ac:dyDescent="0.35">
      <c r="A191" s="1" t="s">
        <v>72</v>
      </c>
      <c r="B191" s="1" t="s">
        <v>2624</v>
      </c>
      <c r="C191" s="1" t="s">
        <v>74</v>
      </c>
      <c r="D191" s="1" t="s">
        <v>74</v>
      </c>
      <c r="E191" s="1" t="s">
        <v>74</v>
      </c>
      <c r="F191" s="1" t="s">
        <v>2625</v>
      </c>
      <c r="G191" s="1" t="s">
        <v>74</v>
      </c>
      <c r="H191" s="1" t="s">
        <v>74</v>
      </c>
      <c r="I191" s="1" t="s">
        <v>2626</v>
      </c>
      <c r="J191" s="1" t="s">
        <v>1022</v>
      </c>
      <c r="K191" s="1" t="s">
        <v>74</v>
      </c>
      <c r="L191" s="1" t="s">
        <v>74</v>
      </c>
      <c r="M191" s="1" t="s">
        <v>78</v>
      </c>
      <c r="N191" s="1" t="s">
        <v>2627</v>
      </c>
      <c r="O191" s="1" t="s">
        <v>74</v>
      </c>
      <c r="P191" s="1" t="s">
        <v>74</v>
      </c>
      <c r="Q191" s="1" t="s">
        <v>74</v>
      </c>
      <c r="R191" s="1" t="s">
        <v>74</v>
      </c>
      <c r="S191" s="1" t="s">
        <v>74</v>
      </c>
      <c r="T191" s="1" t="s">
        <v>74</v>
      </c>
      <c r="U191" s="1" t="s">
        <v>74</v>
      </c>
      <c r="V191" s="1" t="s">
        <v>74</v>
      </c>
      <c r="W191" s="1" t="s">
        <v>74</v>
      </c>
      <c r="X191" s="1" t="s">
        <v>74</v>
      </c>
      <c r="Y191" s="1" t="s">
        <v>74</v>
      </c>
      <c r="Z191" s="1" t="s">
        <v>74</v>
      </c>
      <c r="AA191" s="1" t="s">
        <v>74</v>
      </c>
      <c r="AB191" s="1" t="s">
        <v>74</v>
      </c>
      <c r="AC191" s="1" t="s">
        <v>74</v>
      </c>
      <c r="AD191" s="1" t="s">
        <v>74</v>
      </c>
      <c r="AE191" s="1" t="s">
        <v>74</v>
      </c>
      <c r="AF191" s="1" t="s">
        <v>74</v>
      </c>
      <c r="AG191" s="1">
        <v>1</v>
      </c>
      <c r="AH191" s="1">
        <v>2</v>
      </c>
      <c r="AI191" s="1">
        <v>2</v>
      </c>
      <c r="AJ191" s="1">
        <v>0</v>
      </c>
      <c r="AK191" s="1">
        <v>4</v>
      </c>
      <c r="AL191" s="1" t="s">
        <v>2628</v>
      </c>
      <c r="AM191" s="1" t="s">
        <v>121</v>
      </c>
      <c r="AN191" s="1" t="s">
        <v>2629</v>
      </c>
      <c r="AO191" s="1" t="s">
        <v>1036</v>
      </c>
      <c r="AP191" s="1" t="s">
        <v>74</v>
      </c>
      <c r="AQ191" s="1" t="s">
        <v>74</v>
      </c>
      <c r="AR191" s="1" t="s">
        <v>1022</v>
      </c>
      <c r="AS191" s="1" t="s">
        <v>1038</v>
      </c>
      <c r="AT191" s="1" t="s">
        <v>2630</v>
      </c>
      <c r="AU191" s="1">
        <v>2013</v>
      </c>
      <c r="AV191" s="1">
        <v>496</v>
      </c>
      <c r="AW191" s="1">
        <v>7446</v>
      </c>
      <c r="AX191" s="1" t="s">
        <v>74</v>
      </c>
      <c r="AY191" s="1" t="s">
        <v>74</v>
      </c>
      <c r="AZ191" s="1" t="s">
        <v>74</v>
      </c>
      <c r="BA191" s="1" t="s">
        <v>74</v>
      </c>
      <c r="BB191" s="1">
        <v>411</v>
      </c>
      <c r="BC191" s="1">
        <v>411</v>
      </c>
      <c r="BD191" s="1" t="s">
        <v>74</v>
      </c>
      <c r="BE191" s="1" t="s">
        <v>2631</v>
      </c>
      <c r="BF191" s="1" t="str">
        <f>HYPERLINK("http://dx.doi.org/10.1038/496411a","http://dx.doi.org/10.1038/496411a")</f>
        <v>http://dx.doi.org/10.1038/496411a</v>
      </c>
      <c r="BG191" s="1" t="s">
        <v>74</v>
      </c>
      <c r="BH191" s="1" t="s">
        <v>74</v>
      </c>
      <c r="BI191" s="1">
        <v>1</v>
      </c>
      <c r="BJ191" s="1" t="s">
        <v>561</v>
      </c>
      <c r="BK191" s="1" t="s">
        <v>129</v>
      </c>
      <c r="BL191" s="1" t="s">
        <v>562</v>
      </c>
      <c r="BM191" s="1" t="s">
        <v>2632</v>
      </c>
      <c r="BN191" s="1">
        <v>23619672</v>
      </c>
      <c r="BO191" s="1" t="s">
        <v>334</v>
      </c>
      <c r="BP191" s="1" t="s">
        <v>74</v>
      </c>
      <c r="BQ191" s="1" t="s">
        <v>74</v>
      </c>
      <c r="BR191" s="1" t="s">
        <v>104</v>
      </c>
      <c r="BS191" s="1" t="s">
        <v>2633</v>
      </c>
      <c r="BT191" s="1" t="str">
        <f>HYPERLINK("https%3A%2F%2Fwww.webofscience.com%2Fwos%2Fwoscc%2Ffull-record%2FWOS:000317984400010","View Full Record in Web of Science")</f>
        <v>View Full Record in Web of Science</v>
      </c>
      <c r="BU191" s="1" t="s">
        <v>3776</v>
      </c>
      <c r="BV191" s="1" t="s">
        <v>10653</v>
      </c>
    </row>
    <row r="192" spans="1:75" ht="203" x14ac:dyDescent="0.35">
      <c r="A192" s="1" t="s">
        <v>72</v>
      </c>
      <c r="B192" s="1" t="s">
        <v>2634</v>
      </c>
      <c r="C192" s="1" t="s">
        <v>74</v>
      </c>
      <c r="D192" s="1" t="s">
        <v>74</v>
      </c>
      <c r="E192" s="1" t="s">
        <v>74</v>
      </c>
      <c r="F192" s="1" t="s">
        <v>2635</v>
      </c>
      <c r="G192" s="1" t="s">
        <v>74</v>
      </c>
      <c r="H192" s="1" t="s">
        <v>74</v>
      </c>
      <c r="I192" s="1" t="s">
        <v>2636</v>
      </c>
      <c r="J192" s="1" t="s">
        <v>2637</v>
      </c>
      <c r="K192" s="1" t="s">
        <v>74</v>
      </c>
      <c r="L192" s="1" t="s">
        <v>74</v>
      </c>
      <c r="M192" s="1" t="s">
        <v>78</v>
      </c>
      <c r="N192" s="1" t="s">
        <v>79</v>
      </c>
      <c r="O192" s="1" t="s">
        <v>74</v>
      </c>
      <c r="P192" s="1" t="s">
        <v>74</v>
      </c>
      <c r="Q192" s="1" t="s">
        <v>74</v>
      </c>
      <c r="R192" s="1" t="s">
        <v>74</v>
      </c>
      <c r="S192" s="1" t="s">
        <v>74</v>
      </c>
      <c r="T192" s="1" t="s">
        <v>2638</v>
      </c>
      <c r="U192" s="1" t="s">
        <v>2639</v>
      </c>
      <c r="V192" s="1" t="s">
        <v>2640</v>
      </c>
      <c r="W192" s="1" t="s">
        <v>2641</v>
      </c>
      <c r="X192" s="1" t="s">
        <v>2642</v>
      </c>
      <c r="Y192" s="1" t="s">
        <v>2643</v>
      </c>
      <c r="Z192" s="1" t="s">
        <v>2644</v>
      </c>
      <c r="AA192" s="1" t="s">
        <v>2645</v>
      </c>
      <c r="AB192" s="1" t="s">
        <v>2646</v>
      </c>
      <c r="AC192" s="1" t="s">
        <v>74</v>
      </c>
      <c r="AD192" s="1" t="s">
        <v>74</v>
      </c>
      <c r="AE192" s="1" t="s">
        <v>74</v>
      </c>
      <c r="AF192" s="1" t="s">
        <v>74</v>
      </c>
      <c r="AG192" s="1">
        <v>48</v>
      </c>
      <c r="AH192" s="1">
        <v>69</v>
      </c>
      <c r="AI192" s="1">
        <v>74</v>
      </c>
      <c r="AJ192" s="1">
        <v>1</v>
      </c>
      <c r="AK192" s="1">
        <v>43</v>
      </c>
      <c r="AL192" s="1" t="s">
        <v>144</v>
      </c>
      <c r="AM192" s="1" t="s">
        <v>145</v>
      </c>
      <c r="AN192" s="1" t="s">
        <v>146</v>
      </c>
      <c r="AO192" s="1" t="s">
        <v>2647</v>
      </c>
      <c r="AP192" s="1" t="s">
        <v>2648</v>
      </c>
      <c r="AQ192" s="1" t="s">
        <v>74</v>
      </c>
      <c r="AR192" s="1" t="s">
        <v>2649</v>
      </c>
      <c r="AS192" s="1" t="s">
        <v>2650</v>
      </c>
      <c r="AT192" s="1" t="s">
        <v>294</v>
      </c>
      <c r="AU192" s="1">
        <v>2013</v>
      </c>
      <c r="AV192" s="1">
        <v>44</v>
      </c>
      <c r="AW192" s="1">
        <v>3</v>
      </c>
      <c r="AX192" s="1" t="s">
        <v>74</v>
      </c>
      <c r="AY192" s="1" t="s">
        <v>74</v>
      </c>
      <c r="AZ192" s="1" t="s">
        <v>74</v>
      </c>
      <c r="BA192" s="1" t="s">
        <v>74</v>
      </c>
      <c r="BB192" s="1">
        <v>406</v>
      </c>
      <c r="BC192" s="1">
        <v>415</v>
      </c>
      <c r="BD192" s="1" t="s">
        <v>74</v>
      </c>
      <c r="BE192" s="1" t="s">
        <v>2651</v>
      </c>
      <c r="BF192" s="1" t="str">
        <f>HYPERLINK("http://dx.doi.org/10.1177/0022022112455100","http://dx.doi.org/10.1177/0022022112455100")</f>
        <v>http://dx.doi.org/10.1177/0022022112455100</v>
      </c>
      <c r="BG192" s="1" t="s">
        <v>74</v>
      </c>
      <c r="BH192" s="1" t="s">
        <v>74</v>
      </c>
      <c r="BI192" s="1">
        <v>10</v>
      </c>
      <c r="BJ192" s="1" t="s">
        <v>100</v>
      </c>
      <c r="BK192" s="1" t="s">
        <v>101</v>
      </c>
      <c r="BL192" s="1" t="s">
        <v>102</v>
      </c>
      <c r="BM192" s="1" t="s">
        <v>2652</v>
      </c>
      <c r="BN192" s="1" t="s">
        <v>74</v>
      </c>
      <c r="BO192" s="1" t="s">
        <v>74</v>
      </c>
      <c r="BP192" s="1" t="s">
        <v>74</v>
      </c>
      <c r="BQ192" s="1" t="s">
        <v>74</v>
      </c>
      <c r="BR192" s="1" t="s">
        <v>104</v>
      </c>
      <c r="BS192" s="1" t="s">
        <v>2653</v>
      </c>
      <c r="BT192" s="1" t="str">
        <f>HYPERLINK("https%3A%2F%2Fwww.webofscience.com%2Fwos%2Fwoscc%2Ffull-record%2FWOS:000330300700005","View Full Record in Web of Science")</f>
        <v>View Full Record in Web of Science</v>
      </c>
      <c r="BU192" s="1" t="s">
        <v>3776</v>
      </c>
      <c r="BV192" s="1" t="s">
        <v>10653</v>
      </c>
    </row>
    <row r="193" spans="1:75" ht="319" x14ac:dyDescent="0.35">
      <c r="A193" s="1" t="s">
        <v>72</v>
      </c>
      <c r="B193" s="1" t="s">
        <v>2654</v>
      </c>
      <c r="C193" s="1" t="s">
        <v>74</v>
      </c>
      <c r="D193" s="1" t="s">
        <v>74</v>
      </c>
      <c r="E193" s="1" t="s">
        <v>74</v>
      </c>
      <c r="F193" s="1" t="s">
        <v>2655</v>
      </c>
      <c r="G193" s="1" t="s">
        <v>74</v>
      </c>
      <c r="H193" s="1" t="s">
        <v>74</v>
      </c>
      <c r="I193" s="1" t="s">
        <v>2656</v>
      </c>
      <c r="J193" s="1" t="s">
        <v>609</v>
      </c>
      <c r="K193" s="1" t="s">
        <v>74</v>
      </c>
      <c r="L193" s="1" t="s">
        <v>74</v>
      </c>
      <c r="M193" s="1" t="s">
        <v>78</v>
      </c>
      <c r="N193" s="1" t="s">
        <v>79</v>
      </c>
      <c r="O193" s="1" t="s">
        <v>74</v>
      </c>
      <c r="P193" s="1" t="s">
        <v>74</v>
      </c>
      <c r="Q193" s="1" t="s">
        <v>74</v>
      </c>
      <c r="R193" s="1" t="s">
        <v>74</v>
      </c>
      <c r="S193" s="1" t="s">
        <v>74</v>
      </c>
      <c r="T193" s="1" t="s">
        <v>2657</v>
      </c>
      <c r="U193" s="1" t="s">
        <v>2658</v>
      </c>
      <c r="V193" s="1" t="s">
        <v>2659</v>
      </c>
      <c r="W193" s="1" t="s">
        <v>2660</v>
      </c>
      <c r="X193" s="1" t="s">
        <v>2661</v>
      </c>
      <c r="Y193" s="1" t="s">
        <v>2662</v>
      </c>
      <c r="Z193" s="1" t="s">
        <v>2663</v>
      </c>
      <c r="AA193" s="1" t="s">
        <v>74</v>
      </c>
      <c r="AB193" s="1" t="s">
        <v>2664</v>
      </c>
      <c r="AC193" s="1" t="s">
        <v>2665</v>
      </c>
      <c r="AD193" s="1" t="s">
        <v>2534</v>
      </c>
      <c r="AE193" s="1" t="s">
        <v>74</v>
      </c>
      <c r="AF193" s="1" t="s">
        <v>74</v>
      </c>
      <c r="AG193" s="1">
        <v>125</v>
      </c>
      <c r="AH193" s="1">
        <v>47</v>
      </c>
      <c r="AI193" s="1">
        <v>48</v>
      </c>
      <c r="AJ193" s="1">
        <v>0</v>
      </c>
      <c r="AK193" s="1">
        <v>82</v>
      </c>
      <c r="AL193" s="1" t="s">
        <v>144</v>
      </c>
      <c r="AM193" s="1" t="s">
        <v>145</v>
      </c>
      <c r="AN193" s="1" t="s">
        <v>146</v>
      </c>
      <c r="AO193" s="1" t="s">
        <v>617</v>
      </c>
      <c r="AP193" s="1" t="s">
        <v>618</v>
      </c>
      <c r="AQ193" s="1" t="s">
        <v>74</v>
      </c>
      <c r="AR193" s="1" t="s">
        <v>619</v>
      </c>
      <c r="AS193" s="1" t="s">
        <v>620</v>
      </c>
      <c r="AT193" s="1" t="s">
        <v>294</v>
      </c>
      <c r="AU193" s="1">
        <v>2013</v>
      </c>
      <c r="AV193" s="1">
        <v>78</v>
      </c>
      <c r="AW193" s="1">
        <v>2</v>
      </c>
      <c r="AX193" s="1" t="s">
        <v>74</v>
      </c>
      <c r="AY193" s="1" t="s">
        <v>74</v>
      </c>
      <c r="AZ193" s="1" t="s">
        <v>74</v>
      </c>
      <c r="BA193" s="1" t="s">
        <v>74</v>
      </c>
      <c r="BB193" s="1">
        <v>266</v>
      </c>
      <c r="BC193" s="1">
        <v>289</v>
      </c>
      <c r="BD193" s="1" t="s">
        <v>74</v>
      </c>
      <c r="BE193" s="1" t="s">
        <v>2666</v>
      </c>
      <c r="BF193" s="1" t="str">
        <f>HYPERLINK("http://dx.doi.org/10.1177/0003122413480362","http://dx.doi.org/10.1177/0003122413480362")</f>
        <v>http://dx.doi.org/10.1177/0003122413480362</v>
      </c>
      <c r="BG193" s="1" t="s">
        <v>74</v>
      </c>
      <c r="BH193" s="1" t="s">
        <v>74</v>
      </c>
      <c r="BI193" s="1">
        <v>24</v>
      </c>
      <c r="BJ193" s="1" t="s">
        <v>365</v>
      </c>
      <c r="BK193" s="1" t="s">
        <v>101</v>
      </c>
      <c r="BL193" s="1" t="s">
        <v>365</v>
      </c>
      <c r="BM193" s="1" t="s">
        <v>2667</v>
      </c>
      <c r="BN193" s="1" t="s">
        <v>74</v>
      </c>
      <c r="BO193" s="1" t="s">
        <v>74</v>
      </c>
      <c r="BP193" s="1" t="s">
        <v>74</v>
      </c>
      <c r="BQ193" s="1" t="s">
        <v>74</v>
      </c>
      <c r="BR193" s="1" t="s">
        <v>104</v>
      </c>
      <c r="BS193" s="1" t="s">
        <v>2668</v>
      </c>
      <c r="BT193" s="1" t="str">
        <f>HYPERLINK("https%3A%2F%2Fwww.webofscience.com%2Fwos%2Fwoscc%2Ffull-record%2FWOS:000316743900005","View Full Record in Web of Science")</f>
        <v>View Full Record in Web of Science</v>
      </c>
      <c r="BU193" s="1" t="s">
        <v>3776</v>
      </c>
      <c r="BV193" s="1" t="s">
        <v>10653</v>
      </c>
    </row>
    <row r="194" spans="1:75" ht="319" x14ac:dyDescent="0.35">
      <c r="A194" s="1" t="s">
        <v>72</v>
      </c>
      <c r="B194" s="1" t="s">
        <v>158</v>
      </c>
      <c r="C194" s="1" t="s">
        <v>74</v>
      </c>
      <c r="D194" s="1" t="s">
        <v>74</v>
      </c>
      <c r="E194" s="1" t="s">
        <v>74</v>
      </c>
      <c r="F194" s="1" t="s">
        <v>159</v>
      </c>
      <c r="G194" s="1" t="s">
        <v>74</v>
      </c>
      <c r="H194" s="1" t="s">
        <v>74</v>
      </c>
      <c r="I194" s="1" t="s">
        <v>160</v>
      </c>
      <c r="J194" s="1" t="s">
        <v>161</v>
      </c>
      <c r="K194" s="1" t="s">
        <v>74</v>
      </c>
      <c r="L194" s="1" t="s">
        <v>74</v>
      </c>
      <c r="M194" s="1" t="s">
        <v>78</v>
      </c>
      <c r="N194" s="1" t="s">
        <v>79</v>
      </c>
      <c r="O194" s="1" t="s">
        <v>74</v>
      </c>
      <c r="P194" s="1" t="s">
        <v>74</v>
      </c>
      <c r="Q194" s="1" t="s">
        <v>74</v>
      </c>
      <c r="R194" s="1" t="s">
        <v>74</v>
      </c>
      <c r="S194" s="1" t="s">
        <v>74</v>
      </c>
      <c r="T194" s="1" t="s">
        <v>74</v>
      </c>
      <c r="U194" s="1" t="s">
        <v>162</v>
      </c>
      <c r="V194" s="1" t="s">
        <v>163</v>
      </c>
      <c r="W194" s="1" t="s">
        <v>164</v>
      </c>
      <c r="X194" s="1" t="s">
        <v>165</v>
      </c>
      <c r="Y194" s="1" t="s">
        <v>166</v>
      </c>
      <c r="Z194" s="1" t="s">
        <v>167</v>
      </c>
      <c r="AA194" s="1" t="s">
        <v>168</v>
      </c>
      <c r="AB194" s="1" t="s">
        <v>169</v>
      </c>
      <c r="AC194" s="1" t="s">
        <v>74</v>
      </c>
      <c r="AD194" s="1" t="s">
        <v>74</v>
      </c>
      <c r="AE194" s="1" t="s">
        <v>74</v>
      </c>
      <c r="AF194" s="1" t="s">
        <v>74</v>
      </c>
      <c r="AG194" s="1">
        <v>139</v>
      </c>
      <c r="AH194" s="1">
        <v>232</v>
      </c>
      <c r="AI194" s="1">
        <v>236</v>
      </c>
      <c r="AJ194" s="1">
        <v>1</v>
      </c>
      <c r="AK194" s="1">
        <v>171</v>
      </c>
      <c r="AL194" s="1" t="s">
        <v>170</v>
      </c>
      <c r="AM194" s="1" t="s">
        <v>171</v>
      </c>
      <c r="AN194" s="1" t="s">
        <v>172</v>
      </c>
      <c r="AO194" s="1" t="s">
        <v>173</v>
      </c>
      <c r="AP194" s="1" t="s">
        <v>174</v>
      </c>
      <c r="AQ194" s="1" t="s">
        <v>74</v>
      </c>
      <c r="AR194" s="1" t="s">
        <v>175</v>
      </c>
      <c r="AS194" s="1" t="s">
        <v>176</v>
      </c>
      <c r="AT194" s="1" t="s">
        <v>177</v>
      </c>
      <c r="AU194" s="1">
        <v>2013</v>
      </c>
      <c r="AV194" s="1">
        <v>39</v>
      </c>
      <c r="AW194" s="1">
        <v>5</v>
      </c>
      <c r="AX194" s="1" t="s">
        <v>74</v>
      </c>
      <c r="AY194" s="1" t="s">
        <v>74</v>
      </c>
      <c r="AZ194" s="1" t="s">
        <v>74</v>
      </c>
      <c r="BA194" s="1" t="s">
        <v>74</v>
      </c>
      <c r="BB194" s="1">
        <v>899</v>
      </c>
      <c r="BC194" s="1">
        <v>917</v>
      </c>
      <c r="BD194" s="1" t="s">
        <v>74</v>
      </c>
      <c r="BE194" s="1" t="s">
        <v>178</v>
      </c>
      <c r="BF194" s="1" t="str">
        <f>HYPERLINK("http://dx.doi.org/10.1086/666595","http://dx.doi.org/10.1086/666595")</f>
        <v>http://dx.doi.org/10.1086/666595</v>
      </c>
      <c r="BG194" s="1" t="s">
        <v>74</v>
      </c>
      <c r="BH194" s="1" t="s">
        <v>74</v>
      </c>
      <c r="BI194" s="1">
        <v>19</v>
      </c>
      <c r="BJ194" s="1" t="s">
        <v>153</v>
      </c>
      <c r="BK194" s="1" t="s">
        <v>101</v>
      </c>
      <c r="BL194" s="1" t="s">
        <v>154</v>
      </c>
      <c r="BM194" s="1" t="s">
        <v>179</v>
      </c>
      <c r="BN194" s="1" t="s">
        <v>74</v>
      </c>
      <c r="BO194" s="1" t="s">
        <v>74</v>
      </c>
      <c r="BP194" s="1" t="s">
        <v>74</v>
      </c>
      <c r="BQ194" s="1" t="s">
        <v>74</v>
      </c>
      <c r="BR194" s="1" t="s">
        <v>104</v>
      </c>
      <c r="BS194" s="1" t="s">
        <v>180</v>
      </c>
      <c r="BT194" s="1" t="str">
        <f>HYPERLINK("https%3A%2F%2Fwww.webofscience.com%2Fwos%2Fwoscc%2Ffull-record%2FWOS:000314099700001","View Full Record in Web of Science")</f>
        <v>View Full Record in Web of Science</v>
      </c>
      <c r="BU194" s="1" t="s">
        <v>3776</v>
      </c>
      <c r="BV194" s="1" t="s">
        <v>6080</v>
      </c>
      <c r="BW194" s="1" t="s">
        <v>6080</v>
      </c>
    </row>
    <row r="195" spans="1:75" ht="409.5" x14ac:dyDescent="0.35">
      <c r="A195" s="1" t="s">
        <v>72</v>
      </c>
      <c r="B195" s="1" t="s">
        <v>2669</v>
      </c>
      <c r="C195" s="1" t="s">
        <v>74</v>
      </c>
      <c r="D195" s="1" t="s">
        <v>74</v>
      </c>
      <c r="E195" s="1" t="s">
        <v>74</v>
      </c>
      <c r="F195" s="1" t="s">
        <v>2670</v>
      </c>
      <c r="G195" s="1" t="s">
        <v>74</v>
      </c>
      <c r="H195" s="1" t="s">
        <v>74</v>
      </c>
      <c r="I195" s="1" t="s">
        <v>2671</v>
      </c>
      <c r="J195" s="1" t="s">
        <v>2672</v>
      </c>
      <c r="K195" s="1" t="s">
        <v>74</v>
      </c>
      <c r="L195" s="1" t="s">
        <v>74</v>
      </c>
      <c r="M195" s="1" t="s">
        <v>78</v>
      </c>
      <c r="N195" s="1" t="s">
        <v>79</v>
      </c>
      <c r="O195" s="1" t="s">
        <v>74</v>
      </c>
      <c r="P195" s="1" t="s">
        <v>74</v>
      </c>
      <c r="Q195" s="1" t="s">
        <v>74</v>
      </c>
      <c r="R195" s="1" t="s">
        <v>74</v>
      </c>
      <c r="S195" s="1" t="s">
        <v>74</v>
      </c>
      <c r="T195" s="1" t="s">
        <v>2673</v>
      </c>
      <c r="U195" s="1" t="s">
        <v>2674</v>
      </c>
      <c r="V195" s="1" t="s">
        <v>2675</v>
      </c>
      <c r="W195" s="1" t="s">
        <v>2676</v>
      </c>
      <c r="X195" s="1" t="s">
        <v>2677</v>
      </c>
      <c r="Y195" s="1" t="s">
        <v>2678</v>
      </c>
      <c r="Z195" s="1" t="s">
        <v>2679</v>
      </c>
      <c r="AA195" s="1" t="s">
        <v>74</v>
      </c>
      <c r="AB195" s="1" t="s">
        <v>2680</v>
      </c>
      <c r="AC195" s="1" t="s">
        <v>74</v>
      </c>
      <c r="AD195" s="1" t="s">
        <v>74</v>
      </c>
      <c r="AE195" s="1" t="s">
        <v>74</v>
      </c>
      <c r="AF195" s="1" t="s">
        <v>74</v>
      </c>
      <c r="AG195" s="1">
        <v>106</v>
      </c>
      <c r="AH195" s="1">
        <v>109</v>
      </c>
      <c r="AI195" s="1">
        <v>115</v>
      </c>
      <c r="AJ195" s="1">
        <v>1</v>
      </c>
      <c r="AK195" s="1">
        <v>94</v>
      </c>
      <c r="AL195" s="1" t="s">
        <v>409</v>
      </c>
      <c r="AM195" s="1" t="s">
        <v>410</v>
      </c>
      <c r="AN195" s="1" t="s">
        <v>411</v>
      </c>
      <c r="AO195" s="1" t="s">
        <v>2681</v>
      </c>
      <c r="AP195" s="1" t="s">
        <v>2682</v>
      </c>
      <c r="AQ195" s="1" t="s">
        <v>74</v>
      </c>
      <c r="AR195" s="1" t="s">
        <v>2672</v>
      </c>
      <c r="AS195" s="1" t="s">
        <v>2683</v>
      </c>
      <c r="AT195" s="1" t="s">
        <v>2684</v>
      </c>
      <c r="AU195" s="1">
        <v>2013</v>
      </c>
      <c r="AV195" s="1">
        <v>100</v>
      </c>
      <c r="AW195" s="1" t="s">
        <v>74</v>
      </c>
      <c r="AX195" s="1" t="s">
        <v>74</v>
      </c>
      <c r="AY195" s="1" t="s">
        <v>74</v>
      </c>
      <c r="AZ195" s="1" t="s">
        <v>259</v>
      </c>
      <c r="BA195" s="1" t="s">
        <v>74</v>
      </c>
      <c r="BB195" s="1">
        <v>86</v>
      </c>
      <c r="BC195" s="1">
        <v>97</v>
      </c>
      <c r="BD195" s="1" t="s">
        <v>74</v>
      </c>
      <c r="BE195" s="1" t="s">
        <v>2685</v>
      </c>
      <c r="BF195" s="1" t="str">
        <f>HYPERLINK("http://dx.doi.org/10.1016/j.neucom.2011.12.038","http://dx.doi.org/10.1016/j.neucom.2011.12.038")</f>
        <v>http://dx.doi.org/10.1016/j.neucom.2011.12.038</v>
      </c>
      <c r="BG195" s="1" t="s">
        <v>74</v>
      </c>
      <c r="BH195" s="1" t="s">
        <v>74</v>
      </c>
      <c r="BI195" s="1">
        <v>12</v>
      </c>
      <c r="BJ195" s="1" t="s">
        <v>1552</v>
      </c>
      <c r="BK195" s="1" t="s">
        <v>520</v>
      </c>
      <c r="BL195" s="1" t="s">
        <v>417</v>
      </c>
      <c r="BM195" s="1" t="s">
        <v>2686</v>
      </c>
      <c r="BN195" s="1" t="s">
        <v>74</v>
      </c>
      <c r="BO195" s="1" t="s">
        <v>156</v>
      </c>
      <c r="BP195" s="1" t="s">
        <v>74</v>
      </c>
      <c r="BQ195" s="1" t="s">
        <v>74</v>
      </c>
      <c r="BR195" s="1" t="s">
        <v>104</v>
      </c>
      <c r="BS195" s="1" t="s">
        <v>2687</v>
      </c>
      <c r="BT195" s="1" t="str">
        <f>HYPERLINK("https%3A%2F%2Fwww.webofscience.com%2Fwos%2Fwoscc%2Ffull-record%2FWOS:000312175500009","View Full Record in Web of Science")</f>
        <v>View Full Record in Web of Science</v>
      </c>
      <c r="BU195" s="1" t="s">
        <v>3776</v>
      </c>
      <c r="BV195" s="1" t="s">
        <v>10653</v>
      </c>
    </row>
    <row r="196" spans="1:75" ht="188.5" x14ac:dyDescent="0.35">
      <c r="A196" s="1" t="s">
        <v>72</v>
      </c>
      <c r="B196" s="1" t="s">
        <v>2688</v>
      </c>
      <c r="C196" s="1" t="s">
        <v>74</v>
      </c>
      <c r="D196" s="1" t="s">
        <v>74</v>
      </c>
      <c r="E196" s="1" t="s">
        <v>74</v>
      </c>
      <c r="F196" s="1" t="s">
        <v>2689</v>
      </c>
      <c r="G196" s="1" t="s">
        <v>74</v>
      </c>
      <c r="H196" s="1" t="s">
        <v>74</v>
      </c>
      <c r="I196" s="1" t="s">
        <v>2690</v>
      </c>
      <c r="J196" s="1" t="s">
        <v>1518</v>
      </c>
      <c r="K196" s="1" t="s">
        <v>74</v>
      </c>
      <c r="L196" s="1" t="s">
        <v>74</v>
      </c>
      <c r="M196" s="1" t="s">
        <v>78</v>
      </c>
      <c r="N196" s="1" t="s">
        <v>79</v>
      </c>
      <c r="O196" s="1" t="s">
        <v>74</v>
      </c>
      <c r="P196" s="1" t="s">
        <v>74</v>
      </c>
      <c r="Q196" s="1" t="s">
        <v>74</v>
      </c>
      <c r="R196" s="1" t="s">
        <v>74</v>
      </c>
      <c r="S196" s="1" t="s">
        <v>74</v>
      </c>
      <c r="T196" s="1" t="s">
        <v>2691</v>
      </c>
      <c r="U196" s="1" t="s">
        <v>2692</v>
      </c>
      <c r="V196" s="1" t="s">
        <v>2693</v>
      </c>
      <c r="W196" s="1" t="s">
        <v>2694</v>
      </c>
      <c r="X196" s="1" t="s">
        <v>2695</v>
      </c>
      <c r="Y196" s="1" t="s">
        <v>2696</v>
      </c>
      <c r="Z196" s="1" t="s">
        <v>2697</v>
      </c>
      <c r="AA196" s="1" t="s">
        <v>2698</v>
      </c>
      <c r="AB196" s="1" t="s">
        <v>2699</v>
      </c>
      <c r="AC196" s="1" t="s">
        <v>74</v>
      </c>
      <c r="AD196" s="1" t="s">
        <v>74</v>
      </c>
      <c r="AE196" s="1" t="s">
        <v>74</v>
      </c>
      <c r="AF196" s="1" t="s">
        <v>74</v>
      </c>
      <c r="AG196" s="1">
        <v>171</v>
      </c>
      <c r="AH196" s="1">
        <v>93</v>
      </c>
      <c r="AI196" s="1">
        <v>95</v>
      </c>
      <c r="AJ196" s="1">
        <v>7</v>
      </c>
      <c r="AK196" s="1">
        <v>128</v>
      </c>
      <c r="AL196" s="1" t="s">
        <v>144</v>
      </c>
      <c r="AM196" s="1" t="s">
        <v>145</v>
      </c>
      <c r="AN196" s="1" t="s">
        <v>146</v>
      </c>
      <c r="AO196" s="1" t="s">
        <v>1526</v>
      </c>
      <c r="AP196" s="1" t="s">
        <v>1527</v>
      </c>
      <c r="AQ196" s="1" t="s">
        <v>74</v>
      </c>
      <c r="AR196" s="1" t="s">
        <v>1528</v>
      </c>
      <c r="AS196" s="1" t="s">
        <v>1529</v>
      </c>
      <c r="AT196" s="1" t="s">
        <v>213</v>
      </c>
      <c r="AU196" s="1">
        <v>2013</v>
      </c>
      <c r="AV196" s="1">
        <v>16</v>
      </c>
      <c r="AW196" s="1">
        <v>1</v>
      </c>
      <c r="AX196" s="1" t="s">
        <v>74</v>
      </c>
      <c r="AY196" s="1" t="s">
        <v>74</v>
      </c>
      <c r="AZ196" s="1" t="s">
        <v>74</v>
      </c>
      <c r="BA196" s="1" t="s">
        <v>74</v>
      </c>
      <c r="BB196" s="1">
        <v>152</v>
      </c>
      <c r="BC196" s="1">
        <v>184</v>
      </c>
      <c r="BD196" s="1" t="s">
        <v>74</v>
      </c>
      <c r="BE196" s="1" t="s">
        <v>2700</v>
      </c>
      <c r="BF196" s="1" t="str">
        <f>HYPERLINK("http://dx.doi.org/10.1177/1094428112459910","http://dx.doi.org/10.1177/1094428112459910")</f>
        <v>http://dx.doi.org/10.1177/1094428112459910</v>
      </c>
      <c r="BG196" s="1" t="s">
        <v>74</v>
      </c>
      <c r="BH196" s="1" t="s">
        <v>74</v>
      </c>
      <c r="BI196" s="1">
        <v>33</v>
      </c>
      <c r="BJ196" s="1" t="s">
        <v>1531</v>
      </c>
      <c r="BK196" s="1" t="s">
        <v>101</v>
      </c>
      <c r="BL196" s="1" t="s">
        <v>1533</v>
      </c>
      <c r="BM196" s="1" t="s">
        <v>2701</v>
      </c>
      <c r="BN196" s="1" t="s">
        <v>74</v>
      </c>
      <c r="BO196" s="1" t="s">
        <v>156</v>
      </c>
      <c r="BP196" s="1" t="s">
        <v>74</v>
      </c>
      <c r="BQ196" s="1" t="s">
        <v>74</v>
      </c>
      <c r="BR196" s="1" t="s">
        <v>104</v>
      </c>
      <c r="BS196" s="1" t="s">
        <v>2702</v>
      </c>
      <c r="BT196" s="1" t="str">
        <f>HYPERLINK("https%3A%2F%2Fwww.webofscience.com%2Fwos%2Fwoscc%2Ffull-record%2FWOS:000318265900009","View Full Record in Web of Science")</f>
        <v>View Full Record in Web of Science</v>
      </c>
      <c r="BU196" s="1" t="s">
        <v>3776</v>
      </c>
      <c r="BV196" s="1" t="s">
        <v>10653</v>
      </c>
    </row>
    <row r="197" spans="1:75" ht="377" x14ac:dyDescent="0.35">
      <c r="A197" s="1" t="s">
        <v>72</v>
      </c>
      <c r="B197" s="1" t="s">
        <v>1128</v>
      </c>
      <c r="C197" s="1" t="s">
        <v>74</v>
      </c>
      <c r="D197" s="1" t="s">
        <v>74</v>
      </c>
      <c r="E197" s="1" t="s">
        <v>74</v>
      </c>
      <c r="F197" s="1" t="s">
        <v>1129</v>
      </c>
      <c r="G197" s="1" t="s">
        <v>74</v>
      </c>
      <c r="H197" s="1" t="s">
        <v>74</v>
      </c>
      <c r="I197" s="1" t="s">
        <v>1130</v>
      </c>
      <c r="J197" s="1" t="s">
        <v>240</v>
      </c>
      <c r="K197" s="1" t="s">
        <v>74</v>
      </c>
      <c r="L197" s="1" t="s">
        <v>74</v>
      </c>
      <c r="M197" s="1" t="s">
        <v>78</v>
      </c>
      <c r="N197" s="1" t="s">
        <v>79</v>
      </c>
      <c r="O197" s="1" t="s">
        <v>74</v>
      </c>
      <c r="P197" s="1" t="s">
        <v>74</v>
      </c>
      <c r="Q197" s="1" t="s">
        <v>74</v>
      </c>
      <c r="R197" s="1" t="s">
        <v>74</v>
      </c>
      <c r="S197" s="1" t="s">
        <v>74</v>
      </c>
      <c r="T197" s="1" t="s">
        <v>1131</v>
      </c>
      <c r="U197" s="1" t="s">
        <v>1132</v>
      </c>
      <c r="V197" s="1" t="s">
        <v>1133</v>
      </c>
      <c r="W197" s="1" t="s">
        <v>1134</v>
      </c>
      <c r="X197" s="1" t="s">
        <v>1135</v>
      </c>
      <c r="Y197" s="1" t="s">
        <v>1136</v>
      </c>
      <c r="Z197" s="1" t="s">
        <v>1137</v>
      </c>
      <c r="AA197" s="1" t="s">
        <v>1138</v>
      </c>
      <c r="AB197" s="1" t="s">
        <v>1139</v>
      </c>
      <c r="AC197" s="1" t="s">
        <v>74</v>
      </c>
      <c r="AD197" s="1" t="s">
        <v>74</v>
      </c>
      <c r="AE197" s="1" t="s">
        <v>74</v>
      </c>
      <c r="AF197" s="1" t="s">
        <v>74</v>
      </c>
      <c r="AG197" s="1">
        <v>79</v>
      </c>
      <c r="AH197" s="1">
        <v>371</v>
      </c>
      <c r="AI197" s="1">
        <v>376</v>
      </c>
      <c r="AJ197" s="1">
        <v>38</v>
      </c>
      <c r="AK197" s="1">
        <v>476</v>
      </c>
      <c r="AL197" s="1" t="s">
        <v>144</v>
      </c>
      <c r="AM197" s="1" t="s">
        <v>145</v>
      </c>
      <c r="AN197" s="1" t="s">
        <v>146</v>
      </c>
      <c r="AO197" s="1" t="s">
        <v>254</v>
      </c>
      <c r="AP197" s="1" t="s">
        <v>255</v>
      </c>
      <c r="AQ197" s="1" t="s">
        <v>74</v>
      </c>
      <c r="AR197" s="1" t="s">
        <v>256</v>
      </c>
      <c r="AS197" s="1" t="s">
        <v>257</v>
      </c>
      <c r="AT197" s="1" t="s">
        <v>213</v>
      </c>
      <c r="AU197" s="1">
        <v>2013</v>
      </c>
      <c r="AV197" s="1">
        <v>77</v>
      </c>
      <c r="AW197" s="1">
        <v>1</v>
      </c>
      <c r="AX197" s="1" t="s">
        <v>74</v>
      </c>
      <c r="AY197" s="1" t="s">
        <v>74</v>
      </c>
      <c r="AZ197" s="1" t="s">
        <v>74</v>
      </c>
      <c r="BA197" s="1" t="s">
        <v>74</v>
      </c>
      <c r="BB197" s="1">
        <v>87</v>
      </c>
      <c r="BC197" s="1">
        <v>103</v>
      </c>
      <c r="BD197" s="1" t="s">
        <v>74</v>
      </c>
      <c r="BE197" s="1" t="s">
        <v>1140</v>
      </c>
      <c r="BF197" s="1" t="str">
        <f>HYPERLINK("http://dx.doi.org/10.1509/jm.11.0560","http://dx.doi.org/10.1509/jm.11.0560")</f>
        <v>http://dx.doi.org/10.1509/jm.11.0560</v>
      </c>
      <c r="BG197" s="1" t="s">
        <v>74</v>
      </c>
      <c r="BH197" s="1" t="s">
        <v>74</v>
      </c>
      <c r="BI197" s="1">
        <v>17</v>
      </c>
      <c r="BJ197" s="1" t="s">
        <v>153</v>
      </c>
      <c r="BK197" s="1" t="s">
        <v>101</v>
      </c>
      <c r="BL197" s="1" t="s">
        <v>154</v>
      </c>
      <c r="BM197" s="1" t="s">
        <v>1141</v>
      </c>
      <c r="BN197" s="1" t="s">
        <v>74</v>
      </c>
      <c r="BO197" s="1" t="s">
        <v>828</v>
      </c>
      <c r="BP197" s="1" t="s">
        <v>218</v>
      </c>
      <c r="BQ197" s="1" t="s">
        <v>219</v>
      </c>
      <c r="BR197" s="1" t="s">
        <v>104</v>
      </c>
      <c r="BS197" s="1" t="s">
        <v>1142</v>
      </c>
      <c r="BT197" s="1" t="str">
        <f>HYPERLINK("https%3A%2F%2Fwww.webofscience.com%2Fwos%2Fwoscc%2Ffull-record%2FWOS:000312685900006","View Full Record in Web of Science")</f>
        <v>View Full Record in Web of Science</v>
      </c>
      <c r="BU197" s="1" t="s">
        <v>3776</v>
      </c>
      <c r="BV197" s="1" t="s">
        <v>6080</v>
      </c>
      <c r="BW197" s="1" t="s">
        <v>6080</v>
      </c>
    </row>
    <row r="198" spans="1:75" ht="406" x14ac:dyDescent="0.35">
      <c r="A198" s="1" t="s">
        <v>72</v>
      </c>
      <c r="B198" s="1" t="s">
        <v>2703</v>
      </c>
      <c r="C198" s="1" t="s">
        <v>74</v>
      </c>
      <c r="D198" s="1" t="s">
        <v>74</v>
      </c>
      <c r="E198" s="1" t="s">
        <v>74</v>
      </c>
      <c r="F198" s="1" t="s">
        <v>2704</v>
      </c>
      <c r="G198" s="1" t="s">
        <v>74</v>
      </c>
      <c r="H198" s="1" t="s">
        <v>74</v>
      </c>
      <c r="I198" s="1" t="s">
        <v>2705</v>
      </c>
      <c r="J198" s="1" t="s">
        <v>1618</v>
      </c>
      <c r="K198" s="1" t="s">
        <v>74</v>
      </c>
      <c r="L198" s="1" t="s">
        <v>74</v>
      </c>
      <c r="M198" s="1" t="s">
        <v>78</v>
      </c>
      <c r="N198" s="1" t="s">
        <v>79</v>
      </c>
      <c r="O198" s="1" t="s">
        <v>74</v>
      </c>
      <c r="P198" s="1" t="s">
        <v>74</v>
      </c>
      <c r="Q198" s="1" t="s">
        <v>74</v>
      </c>
      <c r="R198" s="1" t="s">
        <v>74</v>
      </c>
      <c r="S198" s="1" t="s">
        <v>74</v>
      </c>
      <c r="T198" s="1" t="s">
        <v>2706</v>
      </c>
      <c r="U198" s="1" t="s">
        <v>2707</v>
      </c>
      <c r="V198" s="1" t="s">
        <v>2708</v>
      </c>
      <c r="W198" s="1" t="s">
        <v>2709</v>
      </c>
      <c r="X198" s="1" t="s">
        <v>2710</v>
      </c>
      <c r="Y198" s="1" t="s">
        <v>2711</v>
      </c>
      <c r="Z198" s="1" t="s">
        <v>2712</v>
      </c>
      <c r="AA198" s="1" t="s">
        <v>74</v>
      </c>
      <c r="AB198" s="1" t="s">
        <v>74</v>
      </c>
      <c r="AC198" s="1" t="s">
        <v>2713</v>
      </c>
      <c r="AD198" s="1" t="s">
        <v>2714</v>
      </c>
      <c r="AE198" s="1" t="s">
        <v>74</v>
      </c>
      <c r="AF198" s="1" t="s">
        <v>74</v>
      </c>
      <c r="AG198" s="1">
        <v>37</v>
      </c>
      <c r="AH198" s="1">
        <v>85</v>
      </c>
      <c r="AI198" s="1">
        <v>91</v>
      </c>
      <c r="AJ198" s="1">
        <v>7</v>
      </c>
      <c r="AK198" s="1">
        <v>107</v>
      </c>
      <c r="AL198" s="1" t="s">
        <v>1627</v>
      </c>
      <c r="AM198" s="1" t="s">
        <v>1628</v>
      </c>
      <c r="AN198" s="1" t="s">
        <v>1629</v>
      </c>
      <c r="AO198" s="1" t="s">
        <v>1630</v>
      </c>
      <c r="AP198" s="1" t="s">
        <v>74</v>
      </c>
      <c r="AQ198" s="1" t="s">
        <v>74</v>
      </c>
      <c r="AR198" s="1" t="s">
        <v>1632</v>
      </c>
      <c r="AS198" s="1" t="s">
        <v>1633</v>
      </c>
      <c r="AT198" s="1" t="s">
        <v>213</v>
      </c>
      <c r="AU198" s="1">
        <v>2013</v>
      </c>
      <c r="AV198" s="1">
        <v>49</v>
      </c>
      <c r="AW198" s="1">
        <v>1</v>
      </c>
      <c r="AX198" s="1" t="s">
        <v>74</v>
      </c>
      <c r="AY198" s="1" t="s">
        <v>74</v>
      </c>
      <c r="AZ198" s="1" t="s">
        <v>74</v>
      </c>
      <c r="BA198" s="1" t="s">
        <v>74</v>
      </c>
      <c r="BB198" s="1">
        <v>33</v>
      </c>
      <c r="BC198" s="1">
        <v>41</v>
      </c>
      <c r="BD198" s="1" t="s">
        <v>74</v>
      </c>
      <c r="BE198" s="1" t="s">
        <v>2715</v>
      </c>
      <c r="BF198" s="1" t="str">
        <f>HYPERLINK("http://dx.doi.org/10.1016/j.jesp.2012.09.001","http://dx.doi.org/10.1016/j.jesp.2012.09.001")</f>
        <v>http://dx.doi.org/10.1016/j.jesp.2012.09.001</v>
      </c>
      <c r="BG198" s="1" t="s">
        <v>74</v>
      </c>
      <c r="BH198" s="1" t="s">
        <v>74</v>
      </c>
      <c r="BI198" s="1">
        <v>9</v>
      </c>
      <c r="BJ198" s="1" t="s">
        <v>100</v>
      </c>
      <c r="BK198" s="1" t="s">
        <v>101</v>
      </c>
      <c r="BL198" s="1" t="s">
        <v>102</v>
      </c>
      <c r="BM198" s="1" t="s">
        <v>2716</v>
      </c>
      <c r="BN198" s="1">
        <v>24550571</v>
      </c>
      <c r="BO198" s="1" t="s">
        <v>828</v>
      </c>
      <c r="BP198" s="1" t="s">
        <v>74</v>
      </c>
      <c r="BQ198" s="1" t="s">
        <v>74</v>
      </c>
      <c r="BR198" s="1" t="s">
        <v>104</v>
      </c>
      <c r="BS198" s="1" t="s">
        <v>2717</v>
      </c>
      <c r="BT198" s="1" t="str">
        <f>HYPERLINK("https%3A%2F%2Fwww.webofscience.com%2Fwos%2Fwoscc%2Ffull-record%2FWOS:000311176400004","View Full Record in Web of Science")</f>
        <v>View Full Record in Web of Science</v>
      </c>
      <c r="BU198" s="1" t="s">
        <v>3776</v>
      </c>
      <c r="BV198" s="1" t="s">
        <v>10653</v>
      </c>
    </row>
    <row r="199" spans="1:75" ht="391.5" x14ac:dyDescent="0.35">
      <c r="A199" s="1" t="s">
        <v>72</v>
      </c>
      <c r="B199" s="1" t="s">
        <v>3987</v>
      </c>
      <c r="C199" s="1" t="s">
        <v>74</v>
      </c>
      <c r="D199" s="1" t="s">
        <v>74</v>
      </c>
      <c r="E199" s="1" t="s">
        <v>74</v>
      </c>
      <c r="F199" s="1" t="s">
        <v>3988</v>
      </c>
      <c r="G199" s="1" t="s">
        <v>74</v>
      </c>
      <c r="H199" s="1" t="s">
        <v>74</v>
      </c>
      <c r="I199" s="1" t="s">
        <v>3989</v>
      </c>
      <c r="J199" s="1" t="s">
        <v>2103</v>
      </c>
      <c r="K199" s="1" t="s">
        <v>74</v>
      </c>
      <c r="L199" s="1" t="s">
        <v>74</v>
      </c>
      <c r="M199" s="1" t="s">
        <v>78</v>
      </c>
      <c r="N199" s="1" t="s">
        <v>110</v>
      </c>
      <c r="O199" s="1" t="s">
        <v>74</v>
      </c>
      <c r="P199" s="1" t="s">
        <v>74</v>
      </c>
      <c r="Q199" s="1" t="s">
        <v>74</v>
      </c>
      <c r="R199" s="1" t="s">
        <v>74</v>
      </c>
      <c r="S199" s="1" t="s">
        <v>74</v>
      </c>
      <c r="T199" s="1" t="s">
        <v>3990</v>
      </c>
      <c r="U199" s="1" t="s">
        <v>3991</v>
      </c>
      <c r="V199" s="1" t="s">
        <v>3992</v>
      </c>
      <c r="W199" s="1" t="s">
        <v>3993</v>
      </c>
      <c r="X199" s="1" t="s">
        <v>3994</v>
      </c>
      <c r="Y199" s="1" t="s">
        <v>3995</v>
      </c>
      <c r="Z199" s="1" t="s">
        <v>3996</v>
      </c>
      <c r="AA199" s="1" t="s">
        <v>74</v>
      </c>
      <c r="AB199" s="1" t="s">
        <v>3997</v>
      </c>
      <c r="AC199" s="1" t="s">
        <v>74</v>
      </c>
      <c r="AD199" s="1" t="s">
        <v>74</v>
      </c>
      <c r="AE199" s="1" t="s">
        <v>74</v>
      </c>
      <c r="AF199" s="1" t="s">
        <v>74</v>
      </c>
      <c r="AG199" s="1">
        <v>52</v>
      </c>
      <c r="AH199" s="1">
        <v>17</v>
      </c>
      <c r="AI199" s="1">
        <v>17</v>
      </c>
      <c r="AJ199" s="1">
        <v>2</v>
      </c>
      <c r="AK199" s="1">
        <v>40</v>
      </c>
      <c r="AL199" s="1" t="s">
        <v>2104</v>
      </c>
      <c r="AM199" s="1" t="s">
        <v>121</v>
      </c>
      <c r="AN199" s="1" t="s">
        <v>2105</v>
      </c>
      <c r="AO199" s="1" t="s">
        <v>2106</v>
      </c>
      <c r="AP199" s="1" t="s">
        <v>2107</v>
      </c>
      <c r="AQ199" s="1" t="s">
        <v>74</v>
      </c>
      <c r="AR199" s="1" t="s">
        <v>2108</v>
      </c>
      <c r="AS199" s="1" t="s">
        <v>2109</v>
      </c>
      <c r="AT199" s="1" t="s">
        <v>151</v>
      </c>
      <c r="AU199" s="1">
        <v>2013</v>
      </c>
      <c r="AV199" s="1">
        <v>35</v>
      </c>
      <c r="AW199" s="1">
        <v>3</v>
      </c>
      <c r="AX199" s="1" t="s">
        <v>74</v>
      </c>
      <c r="AY199" s="1" t="s">
        <v>74</v>
      </c>
      <c r="AZ199" s="1" t="s">
        <v>74</v>
      </c>
      <c r="BA199" s="1" t="s">
        <v>74</v>
      </c>
      <c r="BB199" s="1">
        <v>645</v>
      </c>
      <c r="BC199" s="1">
        <v>664</v>
      </c>
      <c r="BD199" s="1" t="s">
        <v>74</v>
      </c>
      <c r="BE199" s="1" t="s">
        <v>3998</v>
      </c>
      <c r="BF199" s="1" t="str">
        <f>HYPERLINK("http://dx.doi.org/10.1007/s10115-012-0548-z","http://dx.doi.org/10.1007/s10115-012-0548-z")</f>
        <v>http://dx.doi.org/10.1007/s10115-012-0548-z</v>
      </c>
      <c r="BG199" s="1" t="s">
        <v>74</v>
      </c>
      <c r="BH199" s="1" t="s">
        <v>74</v>
      </c>
      <c r="BI199" s="1">
        <v>20</v>
      </c>
      <c r="BJ199" s="1" t="s">
        <v>2110</v>
      </c>
      <c r="BK199" s="1" t="s">
        <v>3999</v>
      </c>
      <c r="BL199" s="1" t="s">
        <v>417</v>
      </c>
      <c r="BM199" s="1" t="s">
        <v>4000</v>
      </c>
      <c r="BN199" s="1" t="s">
        <v>74</v>
      </c>
      <c r="BO199" s="1" t="s">
        <v>74</v>
      </c>
      <c r="BP199" s="1" t="s">
        <v>74</v>
      </c>
      <c r="BQ199" s="1" t="s">
        <v>74</v>
      </c>
      <c r="BR199" s="1" t="s">
        <v>104</v>
      </c>
      <c r="BS199" s="1" t="s">
        <v>4001</v>
      </c>
      <c r="BT199" s="1" t="str">
        <f>HYPERLINK("https%3A%2F%2Fwww.webofscience.com%2Fwos%2Fwoscc%2Ffull-record%2FWOS:000318374200006","View Full Record in Web of Science")</f>
        <v>View Full Record in Web of Science</v>
      </c>
      <c r="BU199" s="1" t="s">
        <v>4172</v>
      </c>
      <c r="BV199" s="1" t="s">
        <v>10653</v>
      </c>
      <c r="BW199" s="1" t="s">
        <v>10653</v>
      </c>
    </row>
    <row r="200" spans="1:75" ht="406" x14ac:dyDescent="0.35">
      <c r="A200" s="1" t="s">
        <v>72</v>
      </c>
      <c r="B200" s="1" t="s">
        <v>4002</v>
      </c>
      <c r="C200" s="1" t="s">
        <v>74</v>
      </c>
      <c r="D200" s="1" t="s">
        <v>74</v>
      </c>
      <c r="E200" s="1" t="s">
        <v>74</v>
      </c>
      <c r="F200" s="1" t="s">
        <v>4003</v>
      </c>
      <c r="G200" s="1" t="s">
        <v>74</v>
      </c>
      <c r="H200" s="1" t="s">
        <v>74</v>
      </c>
      <c r="I200" s="1" t="s">
        <v>4004</v>
      </c>
      <c r="J200" s="1" t="s">
        <v>642</v>
      </c>
      <c r="K200" s="1" t="s">
        <v>74</v>
      </c>
      <c r="L200" s="1" t="s">
        <v>74</v>
      </c>
      <c r="M200" s="1" t="s">
        <v>78</v>
      </c>
      <c r="N200" s="1" t="s">
        <v>79</v>
      </c>
      <c r="O200" s="1" t="s">
        <v>74</v>
      </c>
      <c r="P200" s="1" t="s">
        <v>74</v>
      </c>
      <c r="Q200" s="1" t="s">
        <v>74</v>
      </c>
      <c r="R200" s="1" t="s">
        <v>74</v>
      </c>
      <c r="S200" s="1" t="s">
        <v>74</v>
      </c>
      <c r="T200" s="1" t="s">
        <v>4005</v>
      </c>
      <c r="U200" s="1" t="s">
        <v>4006</v>
      </c>
      <c r="V200" s="1" t="s">
        <v>4007</v>
      </c>
      <c r="W200" s="1" t="s">
        <v>4008</v>
      </c>
      <c r="X200" s="1" t="s">
        <v>4009</v>
      </c>
      <c r="Y200" s="1" t="s">
        <v>4010</v>
      </c>
      <c r="Z200" s="1" t="s">
        <v>4011</v>
      </c>
      <c r="AA200" s="1" t="s">
        <v>74</v>
      </c>
      <c r="AB200" s="1" t="s">
        <v>74</v>
      </c>
      <c r="AC200" s="1" t="s">
        <v>74</v>
      </c>
      <c r="AD200" s="1" t="s">
        <v>74</v>
      </c>
      <c r="AE200" s="1" t="s">
        <v>74</v>
      </c>
      <c r="AF200" s="1" t="s">
        <v>74</v>
      </c>
      <c r="AG200" s="1">
        <v>76</v>
      </c>
      <c r="AH200" s="1">
        <v>466</v>
      </c>
      <c r="AI200" s="1">
        <v>478</v>
      </c>
      <c r="AJ200" s="1">
        <v>31</v>
      </c>
      <c r="AK200" s="1">
        <v>516</v>
      </c>
      <c r="AL200" s="1" t="s">
        <v>652</v>
      </c>
      <c r="AM200" s="1" t="s">
        <v>653</v>
      </c>
      <c r="AN200" s="1" t="s">
        <v>654</v>
      </c>
      <c r="AO200" s="1" t="s">
        <v>655</v>
      </c>
      <c r="AP200" s="1" t="s">
        <v>656</v>
      </c>
      <c r="AQ200" s="1" t="s">
        <v>74</v>
      </c>
      <c r="AR200" s="1" t="s">
        <v>657</v>
      </c>
      <c r="AS200" s="1" t="s">
        <v>658</v>
      </c>
      <c r="AT200" s="1" t="s">
        <v>151</v>
      </c>
      <c r="AU200" s="1">
        <v>2013</v>
      </c>
      <c r="AV200" s="1">
        <v>33</v>
      </c>
      <c r="AW200" s="1">
        <v>3</v>
      </c>
      <c r="AX200" s="1" t="s">
        <v>74</v>
      </c>
      <c r="AY200" s="1" t="s">
        <v>74</v>
      </c>
      <c r="AZ200" s="1" t="s">
        <v>74</v>
      </c>
      <c r="BA200" s="1" t="s">
        <v>74</v>
      </c>
      <c r="BB200" s="1">
        <v>464</v>
      </c>
      <c r="BC200" s="1">
        <v>472</v>
      </c>
      <c r="BD200" s="1" t="s">
        <v>74</v>
      </c>
      <c r="BE200" s="1" t="s">
        <v>4012</v>
      </c>
      <c r="BF200" s="1" t="str">
        <f>HYPERLINK("http://dx.doi.org/10.1016/j.ijinfomgt.2013.01.001","http://dx.doi.org/10.1016/j.ijinfomgt.2013.01.001")</f>
        <v>http://dx.doi.org/10.1016/j.ijinfomgt.2013.01.001</v>
      </c>
      <c r="BG200" s="1" t="s">
        <v>74</v>
      </c>
      <c r="BH200" s="1" t="s">
        <v>74</v>
      </c>
      <c r="BI200" s="1">
        <v>9</v>
      </c>
      <c r="BJ200" s="1" t="s">
        <v>660</v>
      </c>
      <c r="BK200" s="1" t="s">
        <v>101</v>
      </c>
      <c r="BL200" s="1" t="s">
        <v>660</v>
      </c>
      <c r="BM200" s="1" t="s">
        <v>4013</v>
      </c>
      <c r="BN200" s="1" t="s">
        <v>74</v>
      </c>
      <c r="BO200" s="1" t="s">
        <v>74</v>
      </c>
      <c r="BP200" s="1" t="s">
        <v>218</v>
      </c>
      <c r="BQ200" s="1" t="s">
        <v>219</v>
      </c>
      <c r="BR200" s="1" t="s">
        <v>104</v>
      </c>
      <c r="BS200" s="1" t="s">
        <v>4014</v>
      </c>
      <c r="BT200" s="1" t="str">
        <f>HYPERLINK("https%3A%2F%2Fwww.webofscience.com%2Fwos%2Fwoscc%2Ffull-record%2FWOS:000319311100005","View Full Record in Web of Science")</f>
        <v>View Full Record in Web of Science</v>
      </c>
      <c r="BU200" s="1" t="s">
        <v>4172</v>
      </c>
      <c r="BV200" s="1" t="s">
        <v>10653</v>
      </c>
    </row>
    <row r="201" spans="1:75" ht="203" x14ac:dyDescent="0.35">
      <c r="A201" s="1" t="s">
        <v>72</v>
      </c>
      <c r="B201" s="1" t="s">
        <v>4015</v>
      </c>
      <c r="C201" s="1" t="s">
        <v>74</v>
      </c>
      <c r="D201" s="1" t="s">
        <v>74</v>
      </c>
      <c r="E201" s="1" t="s">
        <v>74</v>
      </c>
      <c r="F201" s="1" t="s">
        <v>4016</v>
      </c>
      <c r="G201" s="1" t="s">
        <v>74</v>
      </c>
      <c r="H201" s="1" t="s">
        <v>74</v>
      </c>
      <c r="I201" s="1" t="s">
        <v>4017</v>
      </c>
      <c r="J201" s="1" t="s">
        <v>4018</v>
      </c>
      <c r="K201" s="1" t="s">
        <v>74</v>
      </c>
      <c r="L201" s="1" t="s">
        <v>74</v>
      </c>
      <c r="M201" s="1" t="s">
        <v>78</v>
      </c>
      <c r="N201" s="1" t="s">
        <v>79</v>
      </c>
      <c r="O201" s="1" t="s">
        <v>74</v>
      </c>
      <c r="P201" s="1" t="s">
        <v>74</v>
      </c>
      <c r="Q201" s="1" t="s">
        <v>74</v>
      </c>
      <c r="R201" s="1" t="s">
        <v>74</v>
      </c>
      <c r="S201" s="1" t="s">
        <v>74</v>
      </c>
      <c r="T201" s="1" t="s">
        <v>74</v>
      </c>
      <c r="U201" s="1" t="s">
        <v>4019</v>
      </c>
      <c r="V201" s="1" t="s">
        <v>4020</v>
      </c>
      <c r="W201" s="1" t="s">
        <v>4021</v>
      </c>
      <c r="X201" s="1" t="s">
        <v>4022</v>
      </c>
      <c r="Y201" s="1" t="s">
        <v>4023</v>
      </c>
      <c r="Z201" s="1" t="s">
        <v>4024</v>
      </c>
      <c r="AA201" s="1" t="s">
        <v>4025</v>
      </c>
      <c r="AB201" s="1" t="s">
        <v>4026</v>
      </c>
      <c r="AC201" s="1" t="s">
        <v>74</v>
      </c>
      <c r="AD201" s="1" t="s">
        <v>74</v>
      </c>
      <c r="AE201" s="1" t="s">
        <v>74</v>
      </c>
      <c r="AF201" s="1" t="s">
        <v>74</v>
      </c>
      <c r="AG201" s="1">
        <v>38</v>
      </c>
      <c r="AH201" s="1">
        <v>78</v>
      </c>
      <c r="AI201" s="1">
        <v>82</v>
      </c>
      <c r="AJ201" s="1">
        <v>4</v>
      </c>
      <c r="AK201" s="1">
        <v>115</v>
      </c>
      <c r="AL201" s="1" t="s">
        <v>1886</v>
      </c>
      <c r="AM201" s="1" t="s">
        <v>121</v>
      </c>
      <c r="AN201" s="1" t="s">
        <v>1887</v>
      </c>
      <c r="AO201" s="1" t="s">
        <v>4027</v>
      </c>
      <c r="AP201" s="1" t="s">
        <v>4028</v>
      </c>
      <c r="AQ201" s="1" t="s">
        <v>74</v>
      </c>
      <c r="AR201" s="1" t="s">
        <v>4029</v>
      </c>
      <c r="AS201" s="1" t="s">
        <v>4030</v>
      </c>
      <c r="AT201" s="1" t="s">
        <v>74</v>
      </c>
      <c r="AU201" s="1">
        <v>2013</v>
      </c>
      <c r="AV201" s="1">
        <v>55</v>
      </c>
      <c r="AW201" s="1">
        <v>4</v>
      </c>
      <c r="AX201" s="1" t="s">
        <v>74</v>
      </c>
      <c r="AY201" s="1" t="s">
        <v>74</v>
      </c>
      <c r="AZ201" s="1" t="s">
        <v>74</v>
      </c>
      <c r="BA201" s="1" t="s">
        <v>74</v>
      </c>
      <c r="BB201" s="1">
        <v>505</v>
      </c>
      <c r="BC201" s="1">
        <v>520</v>
      </c>
      <c r="BD201" s="1" t="s">
        <v>74</v>
      </c>
      <c r="BE201" s="1" t="s">
        <v>4031</v>
      </c>
      <c r="BF201" s="1" t="str">
        <f>HYPERLINK("http://dx.doi.org/10.2501/IJMR-2013-015","http://dx.doi.org/10.2501/IJMR-2013-015")</f>
        <v>http://dx.doi.org/10.2501/IJMR-2013-015</v>
      </c>
      <c r="BG201" s="1" t="s">
        <v>74</v>
      </c>
      <c r="BH201" s="1" t="s">
        <v>74</v>
      </c>
      <c r="BI201" s="1">
        <v>16</v>
      </c>
      <c r="BJ201" s="1" t="s">
        <v>153</v>
      </c>
      <c r="BK201" s="1" t="s">
        <v>101</v>
      </c>
      <c r="BL201" s="1" t="s">
        <v>154</v>
      </c>
      <c r="BM201" s="1" t="s">
        <v>4032</v>
      </c>
      <c r="BN201" s="1" t="s">
        <v>74</v>
      </c>
      <c r="BO201" s="1" t="s">
        <v>156</v>
      </c>
      <c r="BP201" s="1" t="s">
        <v>74</v>
      </c>
      <c r="BQ201" s="1" t="s">
        <v>74</v>
      </c>
      <c r="BR201" s="1" t="s">
        <v>104</v>
      </c>
      <c r="BS201" s="1" t="s">
        <v>4033</v>
      </c>
      <c r="BT201" s="1" t="str">
        <f>HYPERLINK("https%3A%2F%2Fwww.webofscience.com%2Fwos%2Fwoscc%2Ffull-record%2FWOS:000340017200005","View Full Record in Web of Science")</f>
        <v>View Full Record in Web of Science</v>
      </c>
      <c r="BU201" s="1" t="s">
        <v>4172</v>
      </c>
      <c r="BV201" s="1" t="s">
        <v>6080</v>
      </c>
      <c r="BW201" s="1" t="s">
        <v>10653</v>
      </c>
    </row>
    <row r="202" spans="1:75" ht="319" x14ac:dyDescent="0.35">
      <c r="A202" s="1" t="s">
        <v>578</v>
      </c>
      <c r="B202" s="1" t="s">
        <v>4034</v>
      </c>
      <c r="C202" s="1" t="s">
        <v>74</v>
      </c>
      <c r="D202" s="1" t="s">
        <v>74</v>
      </c>
      <c r="E202" s="1" t="s">
        <v>3243</v>
      </c>
      <c r="F202" s="1" t="s">
        <v>4035</v>
      </c>
      <c r="G202" s="1" t="s">
        <v>74</v>
      </c>
      <c r="H202" s="1" t="s">
        <v>74</v>
      </c>
      <c r="I202" s="1" t="s">
        <v>4036</v>
      </c>
      <c r="J202" s="1" t="s">
        <v>4037</v>
      </c>
      <c r="K202" s="1" t="s">
        <v>4038</v>
      </c>
      <c r="L202" s="1" t="s">
        <v>74</v>
      </c>
      <c r="M202" s="1" t="s">
        <v>78</v>
      </c>
      <c r="N202" s="1" t="s">
        <v>584</v>
      </c>
      <c r="O202" s="1" t="s">
        <v>4038</v>
      </c>
      <c r="P202" s="1" t="s">
        <v>4039</v>
      </c>
      <c r="Q202" s="1" t="s">
        <v>4040</v>
      </c>
      <c r="R202" s="1" t="s">
        <v>4041</v>
      </c>
      <c r="S202" s="1" t="s">
        <v>74</v>
      </c>
      <c r="T202" s="1" t="s">
        <v>4042</v>
      </c>
      <c r="U202" s="1" t="s">
        <v>74</v>
      </c>
      <c r="V202" s="1" t="s">
        <v>4043</v>
      </c>
      <c r="W202" s="1" t="s">
        <v>4044</v>
      </c>
      <c r="X202" s="1" t="s">
        <v>4045</v>
      </c>
      <c r="Y202" s="1" t="s">
        <v>4046</v>
      </c>
      <c r="Z202" s="1" t="s">
        <v>4047</v>
      </c>
      <c r="AA202" s="1" t="s">
        <v>4048</v>
      </c>
      <c r="AB202" s="1" t="s">
        <v>4049</v>
      </c>
      <c r="AC202" s="1" t="s">
        <v>4050</v>
      </c>
      <c r="AD202" s="1" t="s">
        <v>4051</v>
      </c>
      <c r="AE202" s="1" t="s">
        <v>4052</v>
      </c>
      <c r="AF202" s="1" t="s">
        <v>74</v>
      </c>
      <c r="AG202" s="1">
        <v>18</v>
      </c>
      <c r="AH202" s="1">
        <v>16</v>
      </c>
      <c r="AI202" s="1">
        <v>17</v>
      </c>
      <c r="AJ202" s="1">
        <v>5</v>
      </c>
      <c r="AK202" s="1">
        <v>27</v>
      </c>
      <c r="AL202" s="1" t="s">
        <v>3243</v>
      </c>
      <c r="AM202" s="1" t="s">
        <v>325</v>
      </c>
      <c r="AN202" s="1" t="s">
        <v>4053</v>
      </c>
      <c r="AO202" s="1" t="s">
        <v>4054</v>
      </c>
      <c r="AP202" s="1" t="s">
        <v>74</v>
      </c>
      <c r="AQ202" s="1" t="s">
        <v>4055</v>
      </c>
      <c r="AR202" s="1" t="s">
        <v>4056</v>
      </c>
      <c r="AS202" s="1" t="s">
        <v>74</v>
      </c>
      <c r="AT202" s="1" t="s">
        <v>74</v>
      </c>
      <c r="AU202" s="1">
        <v>2013</v>
      </c>
      <c r="AV202" s="1" t="s">
        <v>74</v>
      </c>
      <c r="AW202" s="1" t="s">
        <v>74</v>
      </c>
      <c r="AX202" s="1" t="s">
        <v>74</v>
      </c>
      <c r="AY202" s="1" t="s">
        <v>74</v>
      </c>
      <c r="AZ202" s="1" t="s">
        <v>74</v>
      </c>
      <c r="BA202" s="1" t="s">
        <v>74</v>
      </c>
      <c r="BB202" s="1">
        <v>25</v>
      </c>
      <c r="BC202" s="1">
        <v>30</v>
      </c>
      <c r="BD202" s="1" t="s">
        <v>74</v>
      </c>
      <c r="BE202" s="1" t="s">
        <v>4057</v>
      </c>
      <c r="BF202" s="1" t="str">
        <f>HYPERLINK("http://dx.doi.org/10.1109/BigData.Congress.2013.13","http://dx.doi.org/10.1109/BigData.Congress.2013.13")</f>
        <v>http://dx.doi.org/10.1109/BigData.Congress.2013.13</v>
      </c>
      <c r="BG202" s="1" t="s">
        <v>74</v>
      </c>
      <c r="BH202" s="1" t="s">
        <v>74</v>
      </c>
      <c r="BI202" s="1">
        <v>6</v>
      </c>
      <c r="BJ202" s="1" t="s">
        <v>2071</v>
      </c>
      <c r="BK202" s="1" t="s">
        <v>604</v>
      </c>
      <c r="BL202" s="1" t="s">
        <v>733</v>
      </c>
      <c r="BM202" s="1" t="s">
        <v>4058</v>
      </c>
      <c r="BN202" s="1" t="s">
        <v>74</v>
      </c>
      <c r="BO202" s="1" t="s">
        <v>156</v>
      </c>
      <c r="BP202" s="1" t="s">
        <v>74</v>
      </c>
      <c r="BQ202" s="1" t="s">
        <v>74</v>
      </c>
      <c r="BR202" s="1" t="s">
        <v>104</v>
      </c>
      <c r="BS202" s="1" t="s">
        <v>4059</v>
      </c>
      <c r="BT202" s="1" t="str">
        <f>HYPERLINK("https%3A%2F%2Fwww.webofscience.com%2Fwos%2Fwoscc%2Ffull-record%2FWOS:000332528300004","View Full Record in Web of Science")</f>
        <v>View Full Record in Web of Science</v>
      </c>
      <c r="BU202" s="1" t="s">
        <v>4172</v>
      </c>
      <c r="BV202" s="1" t="s">
        <v>10653</v>
      </c>
    </row>
    <row r="203" spans="1:75" ht="377" x14ac:dyDescent="0.35">
      <c r="A203" s="1" t="s">
        <v>72</v>
      </c>
      <c r="B203" s="1" t="s">
        <v>1128</v>
      </c>
      <c r="C203" s="1" t="s">
        <v>74</v>
      </c>
      <c r="D203" s="1" t="s">
        <v>74</v>
      </c>
      <c r="E203" s="1" t="s">
        <v>74</v>
      </c>
      <c r="F203" s="1" t="s">
        <v>1129</v>
      </c>
      <c r="G203" s="1" t="s">
        <v>74</v>
      </c>
      <c r="H203" s="1" t="s">
        <v>74</v>
      </c>
      <c r="I203" s="1" t="s">
        <v>1130</v>
      </c>
      <c r="J203" s="1" t="s">
        <v>240</v>
      </c>
      <c r="K203" s="1" t="s">
        <v>74</v>
      </c>
      <c r="L203" s="1" t="s">
        <v>74</v>
      </c>
      <c r="M203" s="1" t="s">
        <v>78</v>
      </c>
      <c r="N203" s="1" t="s">
        <v>79</v>
      </c>
      <c r="O203" s="1" t="s">
        <v>74</v>
      </c>
      <c r="P203" s="1" t="s">
        <v>74</v>
      </c>
      <c r="Q203" s="1" t="s">
        <v>74</v>
      </c>
      <c r="R203" s="1" t="s">
        <v>74</v>
      </c>
      <c r="S203" s="1" t="s">
        <v>74</v>
      </c>
      <c r="T203" s="1" t="s">
        <v>1131</v>
      </c>
      <c r="U203" s="1" t="s">
        <v>1132</v>
      </c>
      <c r="V203" s="1" t="s">
        <v>1133</v>
      </c>
      <c r="W203" s="1" t="s">
        <v>1134</v>
      </c>
      <c r="X203" s="1" t="s">
        <v>1135</v>
      </c>
      <c r="Y203" s="1" t="s">
        <v>1136</v>
      </c>
      <c r="Z203" s="1" t="s">
        <v>1137</v>
      </c>
      <c r="AA203" s="1" t="s">
        <v>1138</v>
      </c>
      <c r="AB203" s="1" t="s">
        <v>1139</v>
      </c>
      <c r="AC203" s="1" t="s">
        <v>74</v>
      </c>
      <c r="AD203" s="1" t="s">
        <v>74</v>
      </c>
      <c r="AE203" s="1" t="s">
        <v>74</v>
      </c>
      <c r="AF203" s="1" t="s">
        <v>74</v>
      </c>
      <c r="AG203" s="1">
        <v>79</v>
      </c>
      <c r="AH203" s="1">
        <v>371</v>
      </c>
      <c r="AI203" s="1">
        <v>376</v>
      </c>
      <c r="AJ203" s="1">
        <v>38</v>
      </c>
      <c r="AK203" s="1">
        <v>476</v>
      </c>
      <c r="AL203" s="1" t="s">
        <v>144</v>
      </c>
      <c r="AM203" s="1" t="s">
        <v>145</v>
      </c>
      <c r="AN203" s="1" t="s">
        <v>146</v>
      </c>
      <c r="AO203" s="1" t="s">
        <v>254</v>
      </c>
      <c r="AP203" s="1" t="s">
        <v>255</v>
      </c>
      <c r="AQ203" s="1" t="s">
        <v>74</v>
      </c>
      <c r="AR203" s="1" t="s">
        <v>256</v>
      </c>
      <c r="AS203" s="1" t="s">
        <v>257</v>
      </c>
      <c r="AT203" s="1" t="s">
        <v>213</v>
      </c>
      <c r="AU203" s="1">
        <v>2013</v>
      </c>
      <c r="AV203" s="1">
        <v>77</v>
      </c>
      <c r="AW203" s="1">
        <v>1</v>
      </c>
      <c r="AX203" s="1" t="s">
        <v>74</v>
      </c>
      <c r="AY203" s="1" t="s">
        <v>74</v>
      </c>
      <c r="AZ203" s="1" t="s">
        <v>74</v>
      </c>
      <c r="BA203" s="1" t="s">
        <v>74</v>
      </c>
      <c r="BB203" s="1">
        <v>87</v>
      </c>
      <c r="BC203" s="1">
        <v>103</v>
      </c>
      <c r="BD203" s="1" t="s">
        <v>74</v>
      </c>
      <c r="BE203" s="1" t="s">
        <v>1140</v>
      </c>
      <c r="BF203" s="1" t="str">
        <f>HYPERLINK("http://dx.doi.org/10.1509/jm.11.0560","http://dx.doi.org/10.1509/jm.11.0560")</f>
        <v>http://dx.doi.org/10.1509/jm.11.0560</v>
      </c>
      <c r="BG203" s="1" t="s">
        <v>74</v>
      </c>
      <c r="BH203" s="1" t="s">
        <v>74</v>
      </c>
      <c r="BI203" s="1">
        <v>17</v>
      </c>
      <c r="BJ203" s="1" t="s">
        <v>153</v>
      </c>
      <c r="BK203" s="1" t="s">
        <v>101</v>
      </c>
      <c r="BL203" s="1" t="s">
        <v>154</v>
      </c>
      <c r="BM203" s="1" t="s">
        <v>1141</v>
      </c>
      <c r="BN203" s="1" t="s">
        <v>74</v>
      </c>
      <c r="BO203" s="1" t="s">
        <v>828</v>
      </c>
      <c r="BP203" s="1" t="s">
        <v>218</v>
      </c>
      <c r="BQ203" s="1" t="s">
        <v>219</v>
      </c>
      <c r="BR203" s="1" t="s">
        <v>104</v>
      </c>
      <c r="BS203" s="1" t="s">
        <v>1142</v>
      </c>
      <c r="BT203" s="1" t="str">
        <f>HYPERLINK("https%3A%2F%2Fwww.webofscience.com%2Fwos%2Fwoscc%2Ffull-record%2FWOS:000312685900006","View Full Record in Web of Science")</f>
        <v>View Full Record in Web of Science</v>
      </c>
      <c r="BU203" s="1" t="s">
        <v>4172</v>
      </c>
      <c r="BV203" s="1" t="s">
        <v>6080</v>
      </c>
      <c r="BW203" s="1" t="s">
        <v>6080</v>
      </c>
    </row>
    <row r="204" spans="1:75" ht="275.5" x14ac:dyDescent="0.35">
      <c r="A204" s="1" t="s">
        <v>72</v>
      </c>
      <c r="B204" s="1" t="s">
        <v>5729</v>
      </c>
      <c r="C204" s="1" t="s">
        <v>74</v>
      </c>
      <c r="D204" s="1" t="s">
        <v>74</v>
      </c>
      <c r="E204" s="1" t="s">
        <v>74</v>
      </c>
      <c r="F204" s="1" t="s">
        <v>5730</v>
      </c>
      <c r="G204" s="1" t="s">
        <v>74</v>
      </c>
      <c r="H204" s="1" t="s">
        <v>74</v>
      </c>
      <c r="I204" s="1" t="s">
        <v>5731</v>
      </c>
      <c r="J204" s="1" t="s">
        <v>848</v>
      </c>
      <c r="K204" s="1" t="s">
        <v>74</v>
      </c>
      <c r="L204" s="1" t="s">
        <v>74</v>
      </c>
      <c r="M204" s="1" t="s">
        <v>78</v>
      </c>
      <c r="N204" s="1" t="s">
        <v>79</v>
      </c>
      <c r="O204" s="1" t="s">
        <v>74</v>
      </c>
      <c r="P204" s="1" t="s">
        <v>74</v>
      </c>
      <c r="Q204" s="1" t="s">
        <v>74</v>
      </c>
      <c r="R204" s="1" t="s">
        <v>74</v>
      </c>
      <c r="S204" s="1" t="s">
        <v>74</v>
      </c>
      <c r="T204" s="1" t="s">
        <v>5732</v>
      </c>
      <c r="U204" s="1" t="s">
        <v>74</v>
      </c>
      <c r="V204" s="1" t="s">
        <v>5733</v>
      </c>
      <c r="W204" s="1" t="s">
        <v>5734</v>
      </c>
      <c r="X204" s="1" t="s">
        <v>5735</v>
      </c>
      <c r="Y204" s="1" t="s">
        <v>3580</v>
      </c>
      <c r="Z204" s="1" t="s">
        <v>5736</v>
      </c>
      <c r="AA204" s="1" t="s">
        <v>5737</v>
      </c>
      <c r="AB204" s="1" t="s">
        <v>5738</v>
      </c>
      <c r="AC204" s="1" t="s">
        <v>74</v>
      </c>
      <c r="AD204" s="1" t="s">
        <v>74</v>
      </c>
      <c r="AE204" s="1" t="s">
        <v>74</v>
      </c>
      <c r="AF204" s="1" t="s">
        <v>74</v>
      </c>
      <c r="AG204" s="1">
        <v>62</v>
      </c>
      <c r="AH204" s="1">
        <v>75</v>
      </c>
      <c r="AI204" s="1">
        <v>74</v>
      </c>
      <c r="AJ204" s="1">
        <v>1</v>
      </c>
      <c r="AK204" s="1">
        <v>38</v>
      </c>
      <c r="AL204" s="1" t="s">
        <v>409</v>
      </c>
      <c r="AM204" s="1" t="s">
        <v>410</v>
      </c>
      <c r="AN204" s="1" t="s">
        <v>411</v>
      </c>
      <c r="AO204" s="1" t="s">
        <v>856</v>
      </c>
      <c r="AP204" s="1" t="s">
        <v>1945</v>
      </c>
      <c r="AQ204" s="1" t="s">
        <v>74</v>
      </c>
      <c r="AR204" s="1" t="s">
        <v>848</v>
      </c>
      <c r="AS204" s="1" t="s">
        <v>857</v>
      </c>
      <c r="AT204" s="1" t="s">
        <v>348</v>
      </c>
      <c r="AU204" s="1">
        <v>2013</v>
      </c>
      <c r="AV204" s="1">
        <v>41</v>
      </c>
      <c r="AW204" s="1">
        <v>6</v>
      </c>
      <c r="AX204" s="1" t="s">
        <v>74</v>
      </c>
      <c r="AY204" s="1" t="s">
        <v>74</v>
      </c>
      <c r="AZ204" s="1" t="s">
        <v>259</v>
      </c>
      <c r="BA204" s="1" t="s">
        <v>74</v>
      </c>
      <c r="BB204" s="1">
        <v>670</v>
      </c>
      <c r="BC204" s="1">
        <v>700</v>
      </c>
      <c r="BD204" s="1" t="s">
        <v>74</v>
      </c>
      <c r="BE204" s="1" t="s">
        <v>5739</v>
      </c>
      <c r="BF204" s="1" t="str">
        <f>HYPERLINK("http://dx.doi.org/10.1016/j.poetic.2013.08.003","http://dx.doi.org/10.1016/j.poetic.2013.08.003")</f>
        <v>http://dx.doi.org/10.1016/j.poetic.2013.08.003</v>
      </c>
      <c r="BG204" s="1" t="s">
        <v>74</v>
      </c>
      <c r="BH204" s="1" t="s">
        <v>74</v>
      </c>
      <c r="BI204" s="1">
        <v>31</v>
      </c>
      <c r="BJ204" s="1" t="s">
        <v>859</v>
      </c>
      <c r="BK204" s="1" t="s">
        <v>1532</v>
      </c>
      <c r="BL204" s="1" t="s">
        <v>859</v>
      </c>
      <c r="BM204" s="1" t="s">
        <v>5740</v>
      </c>
      <c r="BN204" s="1" t="s">
        <v>74</v>
      </c>
      <c r="BO204" s="1" t="s">
        <v>74</v>
      </c>
      <c r="BP204" s="1" t="s">
        <v>74</v>
      </c>
      <c r="BQ204" s="1" t="s">
        <v>74</v>
      </c>
      <c r="BR204" s="1" t="s">
        <v>4296</v>
      </c>
      <c r="BS204" s="1" t="s">
        <v>5741</v>
      </c>
      <c r="BT204" s="1" t="str">
        <f>HYPERLINK("https%3A%2F%2Fwww.webofscience.com%2Fwos%2Fwoscc%2Ffull-record%2FWOS:000329558200006","View Full Record in Web of Science")</f>
        <v>View Full Record in Web of Science</v>
      </c>
      <c r="BU204" s="1" t="s">
        <v>5876</v>
      </c>
      <c r="BV204" s="1" t="s">
        <v>10653</v>
      </c>
    </row>
    <row r="205" spans="1:75" ht="348" x14ac:dyDescent="0.35">
      <c r="A205" s="1" t="s">
        <v>578</v>
      </c>
      <c r="B205" s="1" t="s">
        <v>5742</v>
      </c>
      <c r="C205" s="1" t="s">
        <v>74</v>
      </c>
      <c r="D205" s="1" t="s">
        <v>5743</v>
      </c>
      <c r="E205" s="1" t="s">
        <v>74</v>
      </c>
      <c r="F205" s="1" t="s">
        <v>5744</v>
      </c>
      <c r="G205" s="1" t="s">
        <v>74</v>
      </c>
      <c r="H205" s="1" t="s">
        <v>74</v>
      </c>
      <c r="I205" s="1" t="s">
        <v>5745</v>
      </c>
      <c r="J205" s="1" t="s">
        <v>5746</v>
      </c>
      <c r="K205" s="1" t="s">
        <v>5747</v>
      </c>
      <c r="L205" s="1" t="s">
        <v>74</v>
      </c>
      <c r="M205" s="1" t="s">
        <v>78</v>
      </c>
      <c r="N205" s="1" t="s">
        <v>584</v>
      </c>
      <c r="O205" s="1" t="s">
        <v>5748</v>
      </c>
      <c r="P205" s="1" t="s">
        <v>5749</v>
      </c>
      <c r="Q205" s="1" t="s">
        <v>5750</v>
      </c>
      <c r="R205" s="1" t="s">
        <v>5751</v>
      </c>
      <c r="S205" s="1" t="s">
        <v>74</v>
      </c>
      <c r="T205" s="1" t="s">
        <v>5752</v>
      </c>
      <c r="U205" s="1" t="s">
        <v>74</v>
      </c>
      <c r="V205" s="1" t="s">
        <v>5753</v>
      </c>
      <c r="W205" s="1" t="s">
        <v>5754</v>
      </c>
      <c r="X205" s="1" t="s">
        <v>5755</v>
      </c>
      <c r="Y205" s="1" t="s">
        <v>5756</v>
      </c>
      <c r="Z205" s="1" t="s">
        <v>5757</v>
      </c>
      <c r="AA205" s="1" t="s">
        <v>5450</v>
      </c>
      <c r="AB205" s="1" t="s">
        <v>5758</v>
      </c>
      <c r="AC205" s="1" t="s">
        <v>74</v>
      </c>
      <c r="AD205" s="1" t="s">
        <v>74</v>
      </c>
      <c r="AE205" s="1" t="s">
        <v>74</v>
      </c>
      <c r="AF205" s="1" t="s">
        <v>74</v>
      </c>
      <c r="AG205" s="1">
        <v>46</v>
      </c>
      <c r="AH205" s="1">
        <v>11</v>
      </c>
      <c r="AI205" s="1">
        <v>11</v>
      </c>
      <c r="AJ205" s="1">
        <v>0</v>
      </c>
      <c r="AK205" s="1">
        <v>1</v>
      </c>
      <c r="AL205" s="1" t="s">
        <v>5678</v>
      </c>
      <c r="AM205" s="1" t="s">
        <v>5679</v>
      </c>
      <c r="AN205" s="1" t="s">
        <v>5680</v>
      </c>
      <c r="AO205" s="1" t="s">
        <v>5759</v>
      </c>
      <c r="AP205" s="1" t="s">
        <v>74</v>
      </c>
      <c r="AQ205" s="1" t="s">
        <v>5760</v>
      </c>
      <c r="AR205" s="1" t="s">
        <v>5761</v>
      </c>
      <c r="AS205" s="1" t="s">
        <v>74</v>
      </c>
      <c r="AT205" s="1" t="s">
        <v>74</v>
      </c>
      <c r="AU205" s="1">
        <v>2013</v>
      </c>
      <c r="AV205" s="1" t="s">
        <v>74</v>
      </c>
      <c r="AW205" s="1" t="s">
        <v>74</v>
      </c>
      <c r="AX205" s="1" t="s">
        <v>74</v>
      </c>
      <c r="AY205" s="1" t="s">
        <v>74</v>
      </c>
      <c r="AZ205" s="1" t="s">
        <v>74</v>
      </c>
      <c r="BA205" s="1" t="s">
        <v>74</v>
      </c>
      <c r="BB205" s="1">
        <v>2702</v>
      </c>
      <c r="BC205" s="1">
        <v>2706</v>
      </c>
      <c r="BD205" s="1" t="s">
        <v>74</v>
      </c>
      <c r="BE205" s="1" t="s">
        <v>74</v>
      </c>
      <c r="BF205" s="1" t="s">
        <v>74</v>
      </c>
      <c r="BG205" s="1" t="s">
        <v>74</v>
      </c>
      <c r="BH205" s="1" t="s">
        <v>74</v>
      </c>
      <c r="BI205" s="1">
        <v>5</v>
      </c>
      <c r="BJ205" s="1" t="s">
        <v>5762</v>
      </c>
      <c r="BK205" s="1" t="s">
        <v>604</v>
      </c>
      <c r="BL205" s="1" t="s">
        <v>733</v>
      </c>
      <c r="BM205" s="1" t="s">
        <v>5763</v>
      </c>
      <c r="BN205" s="1" t="s">
        <v>74</v>
      </c>
      <c r="BO205" s="1" t="s">
        <v>74</v>
      </c>
      <c r="BP205" s="1" t="s">
        <v>74</v>
      </c>
      <c r="BQ205" s="1" t="s">
        <v>74</v>
      </c>
      <c r="BR205" s="1" t="s">
        <v>4296</v>
      </c>
      <c r="BS205" s="1" t="s">
        <v>5764</v>
      </c>
      <c r="BT205" s="1" t="str">
        <f>HYPERLINK("https%3A%2F%2Fwww.webofscience.com%2Fwos%2Fwoscc%2Ffull-record%2FWOS:000395050001083","View Full Record in Web of Science")</f>
        <v>View Full Record in Web of Science</v>
      </c>
      <c r="BU205" s="1" t="s">
        <v>5876</v>
      </c>
      <c r="BV205" s="1" t="s">
        <v>10653</v>
      </c>
    </row>
    <row r="206" spans="1:75" x14ac:dyDescent="0.35">
      <c r="A206" t="s">
        <v>72</v>
      </c>
      <c r="B206" t="s">
        <v>7145</v>
      </c>
      <c r="C206" t="s">
        <v>74</v>
      </c>
      <c r="D206" t="s">
        <v>74</v>
      </c>
      <c r="E206" t="s">
        <v>74</v>
      </c>
      <c r="F206" t="s">
        <v>7146</v>
      </c>
      <c r="G206" t="s">
        <v>74</v>
      </c>
      <c r="H206" t="s">
        <v>74</v>
      </c>
      <c r="I206" t="s">
        <v>7147</v>
      </c>
      <c r="J206" t="s">
        <v>6705</v>
      </c>
      <c r="K206" t="s">
        <v>74</v>
      </c>
      <c r="L206" t="s">
        <v>74</v>
      </c>
      <c r="M206" t="s">
        <v>78</v>
      </c>
      <c r="N206" t="s">
        <v>79</v>
      </c>
      <c r="O206" t="s">
        <v>74</v>
      </c>
      <c r="P206" t="s">
        <v>74</v>
      </c>
      <c r="Q206" t="s">
        <v>74</v>
      </c>
      <c r="R206" t="s">
        <v>74</v>
      </c>
      <c r="S206" t="s">
        <v>74</v>
      </c>
      <c r="T206" t="s">
        <v>7148</v>
      </c>
      <c r="U206" t="s">
        <v>7149</v>
      </c>
      <c r="V206" t="s">
        <v>7150</v>
      </c>
      <c r="W206" t="s">
        <v>7151</v>
      </c>
      <c r="X206" t="s">
        <v>7152</v>
      </c>
      <c r="Y206" t="s">
        <v>7153</v>
      </c>
      <c r="Z206" t="s">
        <v>7154</v>
      </c>
      <c r="AA206" t="s">
        <v>7155</v>
      </c>
      <c r="AB206" t="s">
        <v>7156</v>
      </c>
      <c r="AC206" t="s">
        <v>74</v>
      </c>
      <c r="AD206" t="s">
        <v>74</v>
      </c>
      <c r="AE206" t="s">
        <v>74</v>
      </c>
      <c r="AF206" t="s">
        <v>74</v>
      </c>
      <c r="AG206">
        <v>41</v>
      </c>
      <c r="AH206">
        <v>10</v>
      </c>
      <c r="AI206">
        <v>10</v>
      </c>
      <c r="AJ206">
        <v>1</v>
      </c>
      <c r="AK206">
        <v>40</v>
      </c>
      <c r="AL206" t="s">
        <v>206</v>
      </c>
      <c r="AM206" t="s">
        <v>207</v>
      </c>
      <c r="AN206" t="s">
        <v>208</v>
      </c>
      <c r="AO206" t="s">
        <v>6718</v>
      </c>
      <c r="AP206" t="s">
        <v>6719</v>
      </c>
      <c r="AQ206" t="s">
        <v>74</v>
      </c>
      <c r="AR206" t="s">
        <v>6720</v>
      </c>
      <c r="AS206" t="s">
        <v>6721</v>
      </c>
      <c r="AT206" t="s">
        <v>363</v>
      </c>
      <c r="AU206">
        <v>2013</v>
      </c>
      <c r="AV206">
        <v>37</v>
      </c>
      <c r="AW206">
        <v>2</v>
      </c>
      <c r="AX206" t="s">
        <v>74</v>
      </c>
      <c r="AY206" t="s">
        <v>74</v>
      </c>
      <c r="AZ206" t="s">
        <v>74</v>
      </c>
      <c r="BA206" t="s">
        <v>74</v>
      </c>
      <c r="BB206">
        <v>222</v>
      </c>
      <c r="BC206">
        <v>227</v>
      </c>
      <c r="BD206" t="s">
        <v>74</v>
      </c>
      <c r="BE206" t="s">
        <v>7157</v>
      </c>
      <c r="BF206" t="str">
        <f>HYPERLINK("http://dx.doi.org/10.1111/j.1470-6431.2012.01107.x","http://dx.doi.org/10.1111/j.1470-6431.2012.01107.x")</f>
        <v>http://dx.doi.org/10.1111/j.1470-6431.2012.01107.x</v>
      </c>
      <c r="BG206" t="s">
        <v>74</v>
      </c>
      <c r="BH206" t="s">
        <v>74</v>
      </c>
      <c r="BI206">
        <v>6</v>
      </c>
      <c r="BJ206" t="s">
        <v>153</v>
      </c>
      <c r="BK206" t="s">
        <v>101</v>
      </c>
      <c r="BL206" t="s">
        <v>154</v>
      </c>
      <c r="BM206" t="s">
        <v>3228</v>
      </c>
      <c r="BN206" t="s">
        <v>74</v>
      </c>
      <c r="BO206" t="s">
        <v>74</v>
      </c>
      <c r="BP206" t="s">
        <v>74</v>
      </c>
      <c r="BQ206" t="s">
        <v>74</v>
      </c>
      <c r="BR206" t="s">
        <v>6098</v>
      </c>
      <c r="BS206" t="s">
        <v>7158</v>
      </c>
      <c r="BT206" t="str">
        <f>HYPERLINK("https%3A%2F%2Fwww.webofscience.com%2Fwos%2Fwoscc%2Ffull-record%2FWOS:000314751300014","View Full Record in Web of Science")</f>
        <v>View Full Record in Web of Science</v>
      </c>
      <c r="BU206" t="s">
        <v>6100</v>
      </c>
      <c r="BV206" s="1" t="s">
        <v>6080</v>
      </c>
      <c r="BW206" s="1" t="s">
        <v>10653</v>
      </c>
    </row>
    <row r="207" spans="1:75" x14ac:dyDescent="0.35">
      <c r="A207" t="s">
        <v>72</v>
      </c>
      <c r="B207" t="s">
        <v>1128</v>
      </c>
      <c r="C207" t="s">
        <v>74</v>
      </c>
      <c r="D207" t="s">
        <v>74</v>
      </c>
      <c r="E207" t="s">
        <v>74</v>
      </c>
      <c r="F207" t="s">
        <v>1129</v>
      </c>
      <c r="G207" t="s">
        <v>74</v>
      </c>
      <c r="H207" t="s">
        <v>74</v>
      </c>
      <c r="I207" t="s">
        <v>1130</v>
      </c>
      <c r="J207" t="s">
        <v>240</v>
      </c>
      <c r="K207" t="s">
        <v>74</v>
      </c>
      <c r="L207" t="s">
        <v>74</v>
      </c>
      <c r="M207" t="s">
        <v>78</v>
      </c>
      <c r="N207" t="s">
        <v>79</v>
      </c>
      <c r="O207" t="s">
        <v>74</v>
      </c>
      <c r="P207" t="s">
        <v>74</v>
      </c>
      <c r="Q207" t="s">
        <v>74</v>
      </c>
      <c r="R207" t="s">
        <v>74</v>
      </c>
      <c r="S207" t="s">
        <v>74</v>
      </c>
      <c r="T207" t="s">
        <v>1131</v>
      </c>
      <c r="U207" t="s">
        <v>1132</v>
      </c>
      <c r="V207" t="s">
        <v>1133</v>
      </c>
      <c r="W207" t="s">
        <v>1134</v>
      </c>
      <c r="X207" t="s">
        <v>1135</v>
      </c>
      <c r="Y207" t="s">
        <v>1136</v>
      </c>
      <c r="Z207" t="s">
        <v>1137</v>
      </c>
      <c r="AA207" t="s">
        <v>1154</v>
      </c>
      <c r="AB207" t="s">
        <v>1139</v>
      </c>
      <c r="AC207" t="s">
        <v>74</v>
      </c>
      <c r="AD207" t="s">
        <v>74</v>
      </c>
      <c r="AE207" t="s">
        <v>74</v>
      </c>
      <c r="AF207" t="s">
        <v>74</v>
      </c>
      <c r="AG207">
        <v>79</v>
      </c>
      <c r="AH207">
        <v>377</v>
      </c>
      <c r="AI207">
        <v>382</v>
      </c>
      <c r="AJ207">
        <v>43</v>
      </c>
      <c r="AK207">
        <v>489</v>
      </c>
      <c r="AL207" t="s">
        <v>144</v>
      </c>
      <c r="AM207" t="s">
        <v>145</v>
      </c>
      <c r="AN207" t="s">
        <v>146</v>
      </c>
      <c r="AO207" t="s">
        <v>254</v>
      </c>
      <c r="AP207" t="s">
        <v>255</v>
      </c>
      <c r="AQ207" t="s">
        <v>74</v>
      </c>
      <c r="AR207" t="s">
        <v>256</v>
      </c>
      <c r="AS207" t="s">
        <v>257</v>
      </c>
      <c r="AT207" t="s">
        <v>213</v>
      </c>
      <c r="AU207">
        <v>2013</v>
      </c>
      <c r="AV207">
        <v>77</v>
      </c>
      <c r="AW207">
        <v>1</v>
      </c>
      <c r="AX207" t="s">
        <v>74</v>
      </c>
      <c r="AY207" t="s">
        <v>74</v>
      </c>
      <c r="AZ207" t="s">
        <v>74</v>
      </c>
      <c r="BA207" t="s">
        <v>74</v>
      </c>
      <c r="BB207">
        <v>87</v>
      </c>
      <c r="BC207">
        <v>103</v>
      </c>
      <c r="BD207" t="s">
        <v>74</v>
      </c>
      <c r="BE207" t="s">
        <v>1140</v>
      </c>
      <c r="BF207" t="str">
        <f>HYPERLINK("http://dx.doi.org/10.1509/jm.11.0560","http://dx.doi.org/10.1509/jm.11.0560")</f>
        <v>http://dx.doi.org/10.1509/jm.11.0560</v>
      </c>
      <c r="BG207" t="s">
        <v>74</v>
      </c>
      <c r="BH207" t="s">
        <v>74</v>
      </c>
      <c r="BI207">
        <v>17</v>
      </c>
      <c r="BJ207" t="s">
        <v>153</v>
      </c>
      <c r="BK207" t="s">
        <v>101</v>
      </c>
      <c r="BL207" t="s">
        <v>154</v>
      </c>
      <c r="BM207" t="s">
        <v>1141</v>
      </c>
      <c r="BN207" t="s">
        <v>74</v>
      </c>
      <c r="BO207" t="s">
        <v>828</v>
      </c>
      <c r="BP207" t="s">
        <v>218</v>
      </c>
      <c r="BQ207" t="s">
        <v>219</v>
      </c>
      <c r="BR207" t="s">
        <v>6098</v>
      </c>
      <c r="BS207" t="s">
        <v>1142</v>
      </c>
      <c r="BT207" t="str">
        <f>HYPERLINK("https%3A%2F%2Fwww.webofscience.com%2Fwos%2Fwoscc%2Ffull-record%2FWOS:000312685900006","View Full Record in Web of Science")</f>
        <v>View Full Record in Web of Science</v>
      </c>
      <c r="BU207" t="s">
        <v>6100</v>
      </c>
      <c r="BV207" s="1" t="s">
        <v>6080</v>
      </c>
      <c r="BW207" s="1" t="s">
        <v>6080</v>
      </c>
    </row>
    <row r="208" spans="1:75" ht="275.5" x14ac:dyDescent="0.35">
      <c r="A208" s="1" t="s">
        <v>72</v>
      </c>
      <c r="B208" s="1" t="s">
        <v>133</v>
      </c>
      <c r="C208" s="1" t="s">
        <v>74</v>
      </c>
      <c r="D208" s="1" t="s">
        <v>74</v>
      </c>
      <c r="E208" s="1" t="s">
        <v>74</v>
      </c>
      <c r="F208" s="1" t="s">
        <v>134</v>
      </c>
      <c r="G208" s="1" t="s">
        <v>74</v>
      </c>
      <c r="H208" s="1" t="s">
        <v>74</v>
      </c>
      <c r="I208" s="1" t="s">
        <v>135</v>
      </c>
      <c r="J208" s="1" t="s">
        <v>136</v>
      </c>
      <c r="K208" s="1" t="s">
        <v>74</v>
      </c>
      <c r="L208" s="1" t="s">
        <v>74</v>
      </c>
      <c r="M208" s="1" t="s">
        <v>78</v>
      </c>
      <c r="N208" s="1" t="s">
        <v>79</v>
      </c>
      <c r="O208" s="1" t="s">
        <v>74</v>
      </c>
      <c r="P208" s="1" t="s">
        <v>74</v>
      </c>
      <c r="Q208" s="1" t="s">
        <v>74</v>
      </c>
      <c r="R208" s="1" t="s">
        <v>74</v>
      </c>
      <c r="S208" s="1" t="s">
        <v>74</v>
      </c>
      <c r="T208" s="1" t="s">
        <v>137</v>
      </c>
      <c r="U208" s="1" t="s">
        <v>138</v>
      </c>
      <c r="V208" s="1" t="s">
        <v>139</v>
      </c>
      <c r="W208" s="1" t="s">
        <v>140</v>
      </c>
      <c r="X208" s="1" t="s">
        <v>141</v>
      </c>
      <c r="Y208" s="1" t="s">
        <v>142</v>
      </c>
      <c r="Z208" s="1" t="s">
        <v>143</v>
      </c>
      <c r="AA208" s="1" t="s">
        <v>74</v>
      </c>
      <c r="AB208" s="1" t="s">
        <v>74</v>
      </c>
      <c r="AC208" s="1" t="s">
        <v>74</v>
      </c>
      <c r="AD208" s="1" t="s">
        <v>74</v>
      </c>
      <c r="AE208" s="1" t="s">
        <v>74</v>
      </c>
      <c r="AF208" s="1" t="s">
        <v>74</v>
      </c>
      <c r="AG208" s="1">
        <v>47</v>
      </c>
      <c r="AH208" s="1">
        <v>125</v>
      </c>
      <c r="AI208" s="1">
        <v>128</v>
      </c>
      <c r="AJ208" s="1">
        <v>16</v>
      </c>
      <c r="AK208" s="1">
        <v>146</v>
      </c>
      <c r="AL208" s="1" t="s">
        <v>144</v>
      </c>
      <c r="AM208" s="1" t="s">
        <v>145</v>
      </c>
      <c r="AN208" s="1" t="s">
        <v>146</v>
      </c>
      <c r="AO208" s="1" t="s">
        <v>147</v>
      </c>
      <c r="AP208" s="1" t="s">
        <v>148</v>
      </c>
      <c r="AQ208" s="1" t="s">
        <v>74</v>
      </c>
      <c r="AR208" s="1" t="s">
        <v>149</v>
      </c>
      <c r="AS208" s="1" t="s">
        <v>150</v>
      </c>
      <c r="AT208" s="1" t="s">
        <v>151</v>
      </c>
      <c r="AU208" s="1">
        <v>2014</v>
      </c>
      <c r="AV208" s="1">
        <v>51</v>
      </c>
      <c r="AW208" s="1">
        <v>3</v>
      </c>
      <c r="AX208" s="1" t="s">
        <v>74</v>
      </c>
      <c r="AY208" s="1" t="s">
        <v>74</v>
      </c>
      <c r="AZ208" s="1" t="s">
        <v>74</v>
      </c>
      <c r="BA208" s="1" t="s">
        <v>74</v>
      </c>
      <c r="BB208" s="1">
        <v>249</v>
      </c>
      <c r="BC208" s="1">
        <v>269</v>
      </c>
      <c r="BD208" s="1" t="s">
        <v>74</v>
      </c>
      <c r="BE208" s="1" t="s">
        <v>152</v>
      </c>
      <c r="BF208" s="1" t="str">
        <f>HYPERLINK("http://dx.doi.org/10.1509/jmr.13.0209","http://dx.doi.org/10.1509/jmr.13.0209")</f>
        <v>http://dx.doi.org/10.1509/jmr.13.0209</v>
      </c>
      <c r="BG208" s="1" t="s">
        <v>74</v>
      </c>
      <c r="BH208" s="1" t="s">
        <v>74</v>
      </c>
      <c r="BI208" s="1">
        <v>21</v>
      </c>
      <c r="BJ208" s="1" t="s">
        <v>153</v>
      </c>
      <c r="BK208" s="1" t="s">
        <v>101</v>
      </c>
      <c r="BL208" s="1" t="s">
        <v>154</v>
      </c>
      <c r="BM208" s="1" t="s">
        <v>155</v>
      </c>
      <c r="BN208" s="1" t="s">
        <v>74</v>
      </c>
      <c r="BO208" s="1" t="s">
        <v>156</v>
      </c>
      <c r="BP208" s="1" t="s">
        <v>74</v>
      </c>
      <c r="BQ208" s="1" t="s">
        <v>74</v>
      </c>
      <c r="BR208" s="1" t="s">
        <v>104</v>
      </c>
      <c r="BS208" s="1" t="s">
        <v>157</v>
      </c>
      <c r="BT208" s="1" t="str">
        <f>HYPERLINK("https%3A%2F%2Fwww.webofscience.com%2Fwos%2Fwoscc%2Ffull-record%2FWOS:000340863700001","View Full Record in Web of Science")</f>
        <v>View Full Record in Web of Science</v>
      </c>
      <c r="BU208" s="1" t="s">
        <v>2040</v>
      </c>
      <c r="BV208" s="1" t="s">
        <v>6080</v>
      </c>
      <c r="BW208" s="1" t="s">
        <v>6080</v>
      </c>
    </row>
    <row r="209" spans="1:75" ht="261" x14ac:dyDescent="0.35">
      <c r="A209" s="1" t="s">
        <v>72</v>
      </c>
      <c r="B209" s="1" t="s">
        <v>221</v>
      </c>
      <c r="C209" s="1" t="s">
        <v>74</v>
      </c>
      <c r="D209" s="1" t="s">
        <v>74</v>
      </c>
      <c r="E209" s="1" t="s">
        <v>74</v>
      </c>
      <c r="F209" s="1" t="s">
        <v>222</v>
      </c>
      <c r="G209" s="1" t="s">
        <v>74</v>
      </c>
      <c r="H209" s="1" t="s">
        <v>74</v>
      </c>
      <c r="I209" s="1" t="s">
        <v>223</v>
      </c>
      <c r="J209" s="1" t="s">
        <v>136</v>
      </c>
      <c r="K209" s="1" t="s">
        <v>74</v>
      </c>
      <c r="L209" s="1" t="s">
        <v>74</v>
      </c>
      <c r="M209" s="1" t="s">
        <v>78</v>
      </c>
      <c r="N209" s="1" t="s">
        <v>79</v>
      </c>
      <c r="O209" s="1" t="s">
        <v>74</v>
      </c>
      <c r="P209" s="1" t="s">
        <v>74</v>
      </c>
      <c r="Q209" s="1" t="s">
        <v>74</v>
      </c>
      <c r="R209" s="1" t="s">
        <v>74</v>
      </c>
      <c r="S209" s="1" t="s">
        <v>74</v>
      </c>
      <c r="T209" s="1" t="s">
        <v>224</v>
      </c>
      <c r="U209" s="1" t="s">
        <v>225</v>
      </c>
      <c r="V209" s="1" t="s">
        <v>226</v>
      </c>
      <c r="W209" s="1" t="s">
        <v>227</v>
      </c>
      <c r="X209" s="1" t="s">
        <v>228</v>
      </c>
      <c r="Y209" s="1" t="s">
        <v>229</v>
      </c>
      <c r="Z209" s="1" t="s">
        <v>230</v>
      </c>
      <c r="AA209" s="1" t="s">
        <v>231</v>
      </c>
      <c r="AB209" s="1" t="s">
        <v>74</v>
      </c>
      <c r="AC209" s="1" t="s">
        <v>74</v>
      </c>
      <c r="AD209" s="1" t="s">
        <v>74</v>
      </c>
      <c r="AE209" s="1" t="s">
        <v>74</v>
      </c>
      <c r="AF209" s="1" t="s">
        <v>74</v>
      </c>
      <c r="AG209" s="1">
        <v>97</v>
      </c>
      <c r="AH209" s="1">
        <v>184</v>
      </c>
      <c r="AI209" s="1">
        <v>186</v>
      </c>
      <c r="AJ209" s="1">
        <v>8</v>
      </c>
      <c r="AK209" s="1">
        <v>156</v>
      </c>
      <c r="AL209" s="1" t="s">
        <v>232</v>
      </c>
      <c r="AM209" s="1" t="s">
        <v>233</v>
      </c>
      <c r="AN209" s="1" t="s">
        <v>234</v>
      </c>
      <c r="AO209" s="1" t="s">
        <v>147</v>
      </c>
      <c r="AP209" s="1" t="s">
        <v>148</v>
      </c>
      <c r="AQ209" s="1" t="s">
        <v>74</v>
      </c>
      <c r="AR209" s="1" t="s">
        <v>149</v>
      </c>
      <c r="AS209" s="1" t="s">
        <v>150</v>
      </c>
      <c r="AT209" s="1" t="s">
        <v>151</v>
      </c>
      <c r="AU209" s="1">
        <v>2014</v>
      </c>
      <c r="AV209" s="1">
        <v>51</v>
      </c>
      <c r="AW209" s="1">
        <v>3</v>
      </c>
      <c r="AX209" s="1" t="s">
        <v>74</v>
      </c>
      <c r="AY209" s="1" t="s">
        <v>74</v>
      </c>
      <c r="AZ209" s="1" t="s">
        <v>74</v>
      </c>
      <c r="BA209" s="1" t="s">
        <v>74</v>
      </c>
      <c r="BB209" s="1">
        <v>286</v>
      </c>
      <c r="BC209" s="1">
        <v>299</v>
      </c>
      <c r="BD209" s="1" t="s">
        <v>74</v>
      </c>
      <c r="BE209" s="1" t="s">
        <v>235</v>
      </c>
      <c r="BF209" s="1" t="str">
        <f>HYPERLINK("http://dx.doi.org/10.1509/jmr.13.0238","http://dx.doi.org/10.1509/jmr.13.0238")</f>
        <v>http://dx.doi.org/10.1509/jmr.13.0238</v>
      </c>
      <c r="BG209" s="1" t="s">
        <v>74</v>
      </c>
      <c r="BH209" s="1" t="s">
        <v>74</v>
      </c>
      <c r="BI209" s="1">
        <v>14</v>
      </c>
      <c r="BJ209" s="1" t="s">
        <v>153</v>
      </c>
      <c r="BK209" s="1" t="s">
        <v>101</v>
      </c>
      <c r="BL209" s="1" t="s">
        <v>154</v>
      </c>
      <c r="BM209" s="1" t="s">
        <v>155</v>
      </c>
      <c r="BN209" s="1" t="s">
        <v>74</v>
      </c>
      <c r="BO209" s="1" t="s">
        <v>74</v>
      </c>
      <c r="BP209" s="1" t="s">
        <v>74</v>
      </c>
      <c r="BQ209" s="1" t="s">
        <v>74</v>
      </c>
      <c r="BR209" s="1" t="s">
        <v>104</v>
      </c>
      <c r="BS209" s="1" t="s">
        <v>236</v>
      </c>
      <c r="BT209" s="1" t="str">
        <f>HYPERLINK("https%3A%2F%2Fwww.webofscience.com%2Fwos%2Fwoscc%2Ffull-record%2FWOS:000340863700003","View Full Record in Web of Science")</f>
        <v>View Full Record in Web of Science</v>
      </c>
      <c r="BU209" s="1" t="s">
        <v>2040</v>
      </c>
      <c r="BV209" s="1" t="s">
        <v>6080</v>
      </c>
      <c r="BW209" s="1" t="s">
        <v>10653</v>
      </c>
    </row>
    <row r="210" spans="1:75" ht="333.5" x14ac:dyDescent="0.35">
      <c r="A210" s="1" t="s">
        <v>72</v>
      </c>
      <c r="B210" s="1" t="s">
        <v>264</v>
      </c>
      <c r="C210" s="1" t="s">
        <v>74</v>
      </c>
      <c r="D210" s="1" t="s">
        <v>74</v>
      </c>
      <c r="E210" s="1" t="s">
        <v>74</v>
      </c>
      <c r="F210" s="1" t="s">
        <v>265</v>
      </c>
      <c r="G210" s="1" t="s">
        <v>74</v>
      </c>
      <c r="H210" s="1" t="s">
        <v>74</v>
      </c>
      <c r="I210" s="1" t="s">
        <v>266</v>
      </c>
      <c r="J210" s="1" t="s">
        <v>267</v>
      </c>
      <c r="K210" s="1" t="s">
        <v>74</v>
      </c>
      <c r="L210" s="1" t="s">
        <v>74</v>
      </c>
      <c r="M210" s="1" t="s">
        <v>78</v>
      </c>
      <c r="N210" s="1" t="s">
        <v>110</v>
      </c>
      <c r="O210" s="1" t="s">
        <v>74</v>
      </c>
      <c r="P210" s="1" t="s">
        <v>74</v>
      </c>
      <c r="Q210" s="1" t="s">
        <v>74</v>
      </c>
      <c r="R210" s="1" t="s">
        <v>74</v>
      </c>
      <c r="S210" s="1" t="s">
        <v>74</v>
      </c>
      <c r="T210" s="1" t="s">
        <v>268</v>
      </c>
      <c r="U210" s="1" t="s">
        <v>269</v>
      </c>
      <c r="V210" s="1" t="s">
        <v>270</v>
      </c>
      <c r="W210" s="1" t="s">
        <v>271</v>
      </c>
      <c r="X210" s="1" t="s">
        <v>228</v>
      </c>
      <c r="Y210" s="1" t="s">
        <v>272</v>
      </c>
      <c r="Z210" s="1" t="s">
        <v>273</v>
      </c>
      <c r="AA210" s="1" t="s">
        <v>74</v>
      </c>
      <c r="AB210" s="1" t="s">
        <v>74</v>
      </c>
      <c r="AC210" s="1" t="s">
        <v>74</v>
      </c>
      <c r="AD210" s="1" t="s">
        <v>74</v>
      </c>
      <c r="AE210" s="1" t="s">
        <v>74</v>
      </c>
      <c r="AF210" s="1" t="s">
        <v>74</v>
      </c>
      <c r="AG210" s="1">
        <v>210</v>
      </c>
      <c r="AH210" s="1">
        <v>654</v>
      </c>
      <c r="AI210" s="1">
        <v>671</v>
      </c>
      <c r="AJ210" s="1">
        <v>53</v>
      </c>
      <c r="AK210" s="1">
        <v>623</v>
      </c>
      <c r="AL210" s="1" t="s">
        <v>274</v>
      </c>
      <c r="AM210" s="1" t="s">
        <v>275</v>
      </c>
      <c r="AN210" s="1" t="s">
        <v>276</v>
      </c>
      <c r="AO210" s="1" t="s">
        <v>277</v>
      </c>
      <c r="AP210" s="1" t="s">
        <v>278</v>
      </c>
      <c r="AQ210" s="1" t="s">
        <v>74</v>
      </c>
      <c r="AR210" s="1" t="s">
        <v>279</v>
      </c>
      <c r="AS210" s="1" t="s">
        <v>280</v>
      </c>
      <c r="AT210" s="1" t="s">
        <v>281</v>
      </c>
      <c r="AU210" s="1">
        <v>2014</v>
      </c>
      <c r="AV210" s="1">
        <v>24</v>
      </c>
      <c r="AW210" s="1">
        <v>4</v>
      </c>
      <c r="AX210" s="1" t="s">
        <v>74</v>
      </c>
      <c r="AY210" s="1" t="s">
        <v>74</v>
      </c>
      <c r="AZ210" s="1" t="s">
        <v>74</v>
      </c>
      <c r="BA210" s="1" t="s">
        <v>74</v>
      </c>
      <c r="BB210" s="1">
        <v>586</v>
      </c>
      <c r="BC210" s="1">
        <v>607</v>
      </c>
      <c r="BD210" s="1" t="s">
        <v>74</v>
      </c>
      <c r="BE210" s="1" t="s">
        <v>282</v>
      </c>
      <c r="BF210" s="1" t="str">
        <f>HYPERLINK("http://dx.doi.org/10.1016/j.jcps.2014.05.002","http://dx.doi.org/10.1016/j.jcps.2014.05.002")</f>
        <v>http://dx.doi.org/10.1016/j.jcps.2014.05.002</v>
      </c>
      <c r="BG210" s="1" t="s">
        <v>74</v>
      </c>
      <c r="BH210" s="1" t="s">
        <v>74</v>
      </c>
      <c r="BI210" s="1">
        <v>22</v>
      </c>
      <c r="BJ210" s="1" t="s">
        <v>215</v>
      </c>
      <c r="BK210" s="1" t="s">
        <v>101</v>
      </c>
      <c r="BL210" s="1" t="s">
        <v>216</v>
      </c>
      <c r="BM210" s="1" t="s">
        <v>283</v>
      </c>
      <c r="BN210" s="1" t="s">
        <v>74</v>
      </c>
      <c r="BO210" s="1" t="s">
        <v>74</v>
      </c>
      <c r="BP210" s="1" t="s">
        <v>218</v>
      </c>
      <c r="BQ210" s="1" t="s">
        <v>219</v>
      </c>
      <c r="BR210" s="1" t="s">
        <v>104</v>
      </c>
      <c r="BS210" s="1" t="s">
        <v>284</v>
      </c>
      <c r="BT210" s="1" t="str">
        <f>HYPERLINK("https%3A%2F%2Fwww.webofscience.com%2Fwos%2Fwoscc%2Ffull-record%2FWOS:000340580300012","View Full Record in Web of Science")</f>
        <v>View Full Record in Web of Science</v>
      </c>
      <c r="BU210" s="1" t="s">
        <v>2040</v>
      </c>
      <c r="BV210" s="1" t="s">
        <v>6080</v>
      </c>
      <c r="BW210" s="1" t="s">
        <v>10653</v>
      </c>
    </row>
    <row r="211" spans="1:75" ht="319" x14ac:dyDescent="0.35">
      <c r="A211" s="1" t="s">
        <v>72</v>
      </c>
      <c r="B211" s="1" t="s">
        <v>1001</v>
      </c>
      <c r="C211" s="1" t="s">
        <v>74</v>
      </c>
      <c r="D211" s="1" t="s">
        <v>74</v>
      </c>
      <c r="E211" s="1" t="s">
        <v>74</v>
      </c>
      <c r="F211" s="1" t="s">
        <v>1002</v>
      </c>
      <c r="G211" s="1" t="s">
        <v>74</v>
      </c>
      <c r="H211" s="1" t="s">
        <v>74</v>
      </c>
      <c r="I211" s="1" t="s">
        <v>1003</v>
      </c>
      <c r="J211" s="1" t="s">
        <v>1004</v>
      </c>
      <c r="K211" s="1" t="s">
        <v>74</v>
      </c>
      <c r="L211" s="1" t="s">
        <v>74</v>
      </c>
      <c r="M211" s="1" t="s">
        <v>78</v>
      </c>
      <c r="N211" s="1" t="s">
        <v>79</v>
      </c>
      <c r="O211" s="1" t="s">
        <v>74</v>
      </c>
      <c r="P211" s="1" t="s">
        <v>74</v>
      </c>
      <c r="Q211" s="1" t="s">
        <v>74</v>
      </c>
      <c r="R211" s="1" t="s">
        <v>74</v>
      </c>
      <c r="S211" s="1" t="s">
        <v>74</v>
      </c>
      <c r="T211" s="1" t="s">
        <v>1005</v>
      </c>
      <c r="U211" s="1" t="s">
        <v>74</v>
      </c>
      <c r="V211" s="1" t="s">
        <v>1006</v>
      </c>
      <c r="W211" s="1" t="s">
        <v>1007</v>
      </c>
      <c r="X211" s="1" t="s">
        <v>1008</v>
      </c>
      <c r="Y211" s="1" t="s">
        <v>1009</v>
      </c>
      <c r="Z211" s="1" t="s">
        <v>1010</v>
      </c>
      <c r="AA211" s="1" t="s">
        <v>74</v>
      </c>
      <c r="AB211" s="1" t="s">
        <v>74</v>
      </c>
      <c r="AC211" s="1" t="s">
        <v>74</v>
      </c>
      <c r="AD211" s="1" t="s">
        <v>74</v>
      </c>
      <c r="AE211" s="1" t="s">
        <v>74</v>
      </c>
      <c r="AF211" s="1" t="s">
        <v>74</v>
      </c>
      <c r="AG211" s="1">
        <v>34</v>
      </c>
      <c r="AH211" s="1">
        <v>13</v>
      </c>
      <c r="AI211" s="1">
        <v>13</v>
      </c>
      <c r="AJ211" s="1">
        <v>1</v>
      </c>
      <c r="AK211" s="1">
        <v>22</v>
      </c>
      <c r="AL211" s="1" t="s">
        <v>144</v>
      </c>
      <c r="AM211" s="1" t="s">
        <v>145</v>
      </c>
      <c r="AN211" s="1" t="s">
        <v>146</v>
      </c>
      <c r="AO211" s="1" t="s">
        <v>1011</v>
      </c>
      <c r="AP211" s="1" t="s">
        <v>1012</v>
      </c>
      <c r="AQ211" s="1" t="s">
        <v>74</v>
      </c>
      <c r="AR211" s="1" t="s">
        <v>1013</v>
      </c>
      <c r="AS211" s="1" t="s">
        <v>1014</v>
      </c>
      <c r="AT211" s="1" t="s">
        <v>704</v>
      </c>
      <c r="AU211" s="1">
        <v>2014</v>
      </c>
      <c r="AV211" s="1">
        <v>8</v>
      </c>
      <c r="AW211" s="1">
        <v>2</v>
      </c>
      <c r="AX211" s="1" t="s">
        <v>74</v>
      </c>
      <c r="AY211" s="1" t="s">
        <v>74</v>
      </c>
      <c r="AZ211" s="1" t="s">
        <v>74</v>
      </c>
      <c r="BA211" s="1" t="s">
        <v>74</v>
      </c>
      <c r="BB211" s="1">
        <v>117</v>
      </c>
      <c r="BC211" s="1">
        <v>136</v>
      </c>
      <c r="BD211" s="1" t="s">
        <v>74</v>
      </c>
      <c r="BE211" s="1" t="s">
        <v>1015</v>
      </c>
      <c r="BF211" s="1" t="str">
        <f>HYPERLINK("http://dx.doi.org/10.1177/1750481313507150","http://dx.doi.org/10.1177/1750481313507150")</f>
        <v>http://dx.doi.org/10.1177/1750481313507150</v>
      </c>
      <c r="BG211" s="1" t="s">
        <v>74</v>
      </c>
      <c r="BH211" s="1" t="s">
        <v>74</v>
      </c>
      <c r="BI211" s="1">
        <v>20</v>
      </c>
      <c r="BJ211" s="1" t="s">
        <v>1016</v>
      </c>
      <c r="BK211" s="1" t="s">
        <v>101</v>
      </c>
      <c r="BL211" s="1" t="s">
        <v>1016</v>
      </c>
      <c r="BM211" s="1" t="s">
        <v>1017</v>
      </c>
      <c r="BN211" s="1" t="s">
        <v>74</v>
      </c>
      <c r="BO211" s="1" t="s">
        <v>74</v>
      </c>
      <c r="BP211" s="1" t="s">
        <v>74</v>
      </c>
      <c r="BQ211" s="1" t="s">
        <v>74</v>
      </c>
      <c r="BR211" s="1" t="s">
        <v>104</v>
      </c>
      <c r="BS211" s="1" t="s">
        <v>1018</v>
      </c>
      <c r="BT211" s="1" t="str">
        <f>HYPERLINK("https%3A%2F%2Fwww.webofscience.com%2Fwos%2Fwoscc%2Ffull-record%2FWOS:000336543600001","View Full Record in Web of Science")</f>
        <v>View Full Record in Web of Science</v>
      </c>
      <c r="BU211" s="1" t="s">
        <v>2040</v>
      </c>
      <c r="BV211" s="1" t="s">
        <v>10653</v>
      </c>
    </row>
    <row r="212" spans="1:75" ht="406" x14ac:dyDescent="0.35">
      <c r="A212" s="1" t="s">
        <v>72</v>
      </c>
      <c r="B212" s="1" t="s">
        <v>1143</v>
      </c>
      <c r="C212" s="1" t="s">
        <v>74</v>
      </c>
      <c r="D212" s="1" t="s">
        <v>74</v>
      </c>
      <c r="E212" s="1" t="s">
        <v>74</v>
      </c>
      <c r="F212" s="1" t="s">
        <v>1144</v>
      </c>
      <c r="G212" s="1" t="s">
        <v>74</v>
      </c>
      <c r="H212" s="1" t="s">
        <v>74</v>
      </c>
      <c r="I212" s="1" t="s">
        <v>1145</v>
      </c>
      <c r="J212" s="1" t="s">
        <v>1146</v>
      </c>
      <c r="K212" s="1" t="s">
        <v>74</v>
      </c>
      <c r="L212" s="1" t="s">
        <v>74</v>
      </c>
      <c r="M212" s="1" t="s">
        <v>78</v>
      </c>
      <c r="N212" s="1" t="s">
        <v>79</v>
      </c>
      <c r="O212" s="1" t="s">
        <v>74</v>
      </c>
      <c r="P212" s="1" t="s">
        <v>74</v>
      </c>
      <c r="Q212" s="1" t="s">
        <v>74</v>
      </c>
      <c r="R212" s="1" t="s">
        <v>74</v>
      </c>
      <c r="S212" s="1" t="s">
        <v>74</v>
      </c>
      <c r="T212" s="1" t="s">
        <v>1147</v>
      </c>
      <c r="U212" s="1" t="s">
        <v>1148</v>
      </c>
      <c r="V212" s="1" t="s">
        <v>1149</v>
      </c>
      <c r="W212" s="1" t="s">
        <v>1150</v>
      </c>
      <c r="X212" s="1" t="s">
        <v>1151</v>
      </c>
      <c r="Y212" s="1" t="s">
        <v>1152</v>
      </c>
      <c r="Z212" s="1" t="s">
        <v>1153</v>
      </c>
      <c r="AA212" s="1" t="s">
        <v>1154</v>
      </c>
      <c r="AB212" s="1" t="s">
        <v>1139</v>
      </c>
      <c r="AC212" s="1" t="s">
        <v>74</v>
      </c>
      <c r="AD212" s="1" t="s">
        <v>74</v>
      </c>
      <c r="AE212" s="1" t="s">
        <v>74</v>
      </c>
      <c r="AF212" s="1" t="s">
        <v>74</v>
      </c>
      <c r="AG212" s="1">
        <v>62</v>
      </c>
      <c r="AH212" s="1">
        <v>51</v>
      </c>
      <c r="AI212" s="1">
        <v>51</v>
      </c>
      <c r="AJ212" s="1">
        <v>14</v>
      </c>
      <c r="AK212" s="1">
        <v>119</v>
      </c>
      <c r="AL212" s="1" t="s">
        <v>1155</v>
      </c>
      <c r="AM212" s="1" t="s">
        <v>1156</v>
      </c>
      <c r="AN212" s="1" t="s">
        <v>1157</v>
      </c>
      <c r="AO212" s="1" t="s">
        <v>1158</v>
      </c>
      <c r="AP212" s="1" t="s">
        <v>74</v>
      </c>
      <c r="AQ212" s="1" t="s">
        <v>74</v>
      </c>
      <c r="AR212" s="1" t="s">
        <v>1159</v>
      </c>
      <c r="AS212" s="1" t="s">
        <v>1160</v>
      </c>
      <c r="AT212" s="1" t="s">
        <v>348</v>
      </c>
      <c r="AU212" s="1">
        <v>2014</v>
      </c>
      <c r="AV212" s="1">
        <v>38</v>
      </c>
      <c r="AW212" s="1">
        <v>4</v>
      </c>
      <c r="AX212" s="1" t="s">
        <v>74</v>
      </c>
      <c r="AY212" s="1" t="s">
        <v>74</v>
      </c>
      <c r="AZ212" s="1" t="s">
        <v>74</v>
      </c>
      <c r="BA212" s="1" t="s">
        <v>74</v>
      </c>
      <c r="BB212" s="1">
        <v>1201</v>
      </c>
      <c r="BC212" s="1">
        <v>1217</v>
      </c>
      <c r="BD212" s="1" t="s">
        <v>74</v>
      </c>
      <c r="BE212" s="1" t="s">
        <v>1161</v>
      </c>
      <c r="BF212" s="1" t="str">
        <f>HYPERLINK("http://dx.doi.org/10.25300/MISQ/2014/38.4.12","http://dx.doi.org/10.25300/MISQ/2014/38.4.12")</f>
        <v>http://dx.doi.org/10.25300/MISQ/2014/38.4.12</v>
      </c>
      <c r="BG212" s="1" t="s">
        <v>74</v>
      </c>
      <c r="BH212" s="1" t="s">
        <v>74</v>
      </c>
      <c r="BI212" s="1">
        <v>17</v>
      </c>
      <c r="BJ212" s="1" t="s">
        <v>1162</v>
      </c>
      <c r="BK212" s="1" t="s">
        <v>520</v>
      </c>
      <c r="BL212" s="1" t="s">
        <v>1163</v>
      </c>
      <c r="BM212" s="1" t="s">
        <v>1164</v>
      </c>
      <c r="BN212" s="1" t="s">
        <v>74</v>
      </c>
      <c r="BO212" s="1" t="s">
        <v>1165</v>
      </c>
      <c r="BP212" s="1" t="s">
        <v>74</v>
      </c>
      <c r="BQ212" s="1" t="s">
        <v>74</v>
      </c>
      <c r="BR212" s="1" t="s">
        <v>104</v>
      </c>
      <c r="BS212" s="1" t="s">
        <v>1166</v>
      </c>
      <c r="BT212" s="1" t="str">
        <f>HYPERLINK("https%3A%2F%2Fwww.webofscience.com%2Fwos%2Fwoscc%2Ffull-record%2FWOS:000348600300013","View Full Record in Web of Science")</f>
        <v>View Full Record in Web of Science</v>
      </c>
      <c r="BU212" s="1" t="s">
        <v>2040</v>
      </c>
      <c r="BV212" s="1" t="s">
        <v>10653</v>
      </c>
    </row>
    <row r="213" spans="1:75" ht="348" x14ac:dyDescent="0.35">
      <c r="A213" s="1" t="s">
        <v>72</v>
      </c>
      <c r="B213" s="1" t="s">
        <v>1717</v>
      </c>
      <c r="C213" s="1" t="s">
        <v>74</v>
      </c>
      <c r="D213" s="1" t="s">
        <v>74</v>
      </c>
      <c r="E213" s="1" t="s">
        <v>74</v>
      </c>
      <c r="F213" s="1" t="s">
        <v>1718</v>
      </c>
      <c r="G213" s="1" t="s">
        <v>74</v>
      </c>
      <c r="H213" s="1" t="s">
        <v>74</v>
      </c>
      <c r="I213" s="1" t="s">
        <v>1719</v>
      </c>
      <c r="J213" s="1" t="s">
        <v>136</v>
      </c>
      <c r="K213" s="1" t="s">
        <v>74</v>
      </c>
      <c r="L213" s="1" t="s">
        <v>74</v>
      </c>
      <c r="M213" s="1" t="s">
        <v>78</v>
      </c>
      <c r="N213" s="1" t="s">
        <v>79</v>
      </c>
      <c r="O213" s="1" t="s">
        <v>74</v>
      </c>
      <c r="P213" s="1" t="s">
        <v>74</v>
      </c>
      <c r="Q213" s="1" t="s">
        <v>74</v>
      </c>
      <c r="R213" s="1" t="s">
        <v>74</v>
      </c>
      <c r="S213" s="1" t="s">
        <v>74</v>
      </c>
      <c r="T213" s="1" t="s">
        <v>1720</v>
      </c>
      <c r="U213" s="1" t="s">
        <v>1721</v>
      </c>
      <c r="V213" s="1" t="s">
        <v>1722</v>
      </c>
      <c r="W213" s="1" t="s">
        <v>1723</v>
      </c>
      <c r="X213" s="1" t="s">
        <v>1724</v>
      </c>
      <c r="Y213" s="1" t="s">
        <v>1725</v>
      </c>
      <c r="Z213" s="1" t="s">
        <v>1726</v>
      </c>
      <c r="AA213" s="1" t="s">
        <v>74</v>
      </c>
      <c r="AB213" s="1" t="s">
        <v>74</v>
      </c>
      <c r="AC213" s="1" t="s">
        <v>74</v>
      </c>
      <c r="AD213" s="1" t="s">
        <v>74</v>
      </c>
      <c r="AE213" s="1" t="s">
        <v>74</v>
      </c>
      <c r="AF213" s="1" t="s">
        <v>74</v>
      </c>
      <c r="AG213" s="1">
        <v>43</v>
      </c>
      <c r="AH213" s="1">
        <v>158</v>
      </c>
      <c r="AI213" s="1">
        <v>159</v>
      </c>
      <c r="AJ213" s="1">
        <v>11</v>
      </c>
      <c r="AK213" s="1">
        <v>196</v>
      </c>
      <c r="AL213" s="1" t="s">
        <v>232</v>
      </c>
      <c r="AM213" s="1" t="s">
        <v>233</v>
      </c>
      <c r="AN213" s="1" t="s">
        <v>234</v>
      </c>
      <c r="AO213" s="1" t="s">
        <v>147</v>
      </c>
      <c r="AP213" s="1" t="s">
        <v>148</v>
      </c>
      <c r="AQ213" s="1" t="s">
        <v>74</v>
      </c>
      <c r="AR213" s="1" t="s">
        <v>149</v>
      </c>
      <c r="AS213" s="1" t="s">
        <v>150</v>
      </c>
      <c r="AT213" s="1" t="s">
        <v>469</v>
      </c>
      <c r="AU213" s="1">
        <v>2014</v>
      </c>
      <c r="AV213" s="1">
        <v>51</v>
      </c>
      <c r="AW213" s="1">
        <v>4</v>
      </c>
      <c r="AX213" s="1" t="s">
        <v>74</v>
      </c>
      <c r="AY213" s="1" t="s">
        <v>74</v>
      </c>
      <c r="AZ213" s="1" t="s">
        <v>74</v>
      </c>
      <c r="BA213" s="1" t="s">
        <v>74</v>
      </c>
      <c r="BB213" s="1">
        <v>387</v>
      </c>
      <c r="BC213" s="1">
        <v>402</v>
      </c>
      <c r="BD213" s="1" t="s">
        <v>74</v>
      </c>
      <c r="BE213" s="1" t="s">
        <v>1727</v>
      </c>
      <c r="BF213" s="1" t="str">
        <f>HYPERLINK("http://dx.doi.org/10.1509/jmr.12.0424","http://dx.doi.org/10.1509/jmr.12.0424")</f>
        <v>http://dx.doi.org/10.1509/jmr.12.0424</v>
      </c>
      <c r="BG213" s="1" t="s">
        <v>74</v>
      </c>
      <c r="BH213" s="1" t="s">
        <v>74</v>
      </c>
      <c r="BI213" s="1">
        <v>16</v>
      </c>
      <c r="BJ213" s="1" t="s">
        <v>153</v>
      </c>
      <c r="BK213" s="1" t="s">
        <v>101</v>
      </c>
      <c r="BL213" s="1" t="s">
        <v>154</v>
      </c>
      <c r="BM213" s="1" t="s">
        <v>1728</v>
      </c>
      <c r="BN213" s="1" t="s">
        <v>74</v>
      </c>
      <c r="BO213" s="1" t="s">
        <v>74</v>
      </c>
      <c r="BP213" s="1" t="s">
        <v>74</v>
      </c>
      <c r="BQ213" s="1" t="s">
        <v>74</v>
      </c>
      <c r="BR213" s="1" t="s">
        <v>104</v>
      </c>
      <c r="BS213" s="1" t="s">
        <v>1729</v>
      </c>
      <c r="BT213" s="1" t="str">
        <f>HYPERLINK("https%3A%2F%2Fwww.webofscience.com%2Fwos%2Fwoscc%2Ffull-record%2FWOS:000340863800001","View Full Record in Web of Science")</f>
        <v>View Full Record in Web of Science</v>
      </c>
      <c r="BU213" s="1" t="s">
        <v>2040</v>
      </c>
      <c r="BV213" s="1" t="s">
        <v>6080</v>
      </c>
      <c r="BW213" s="1" t="s">
        <v>6080</v>
      </c>
    </row>
    <row r="214" spans="1:75" ht="391.5" x14ac:dyDescent="0.35">
      <c r="A214" s="1" t="s">
        <v>72</v>
      </c>
      <c r="B214" s="1" t="s">
        <v>1826</v>
      </c>
      <c r="C214" s="1" t="s">
        <v>74</v>
      </c>
      <c r="D214" s="1" t="s">
        <v>74</v>
      </c>
      <c r="E214" s="1" t="s">
        <v>74</v>
      </c>
      <c r="F214" s="1" t="s">
        <v>1827</v>
      </c>
      <c r="G214" s="1" t="s">
        <v>74</v>
      </c>
      <c r="H214" s="1" t="s">
        <v>74</v>
      </c>
      <c r="I214" s="1" t="s">
        <v>1828</v>
      </c>
      <c r="J214" s="1" t="s">
        <v>136</v>
      </c>
      <c r="K214" s="1" t="s">
        <v>74</v>
      </c>
      <c r="L214" s="1" t="s">
        <v>74</v>
      </c>
      <c r="M214" s="1" t="s">
        <v>78</v>
      </c>
      <c r="N214" s="1" t="s">
        <v>79</v>
      </c>
      <c r="O214" s="1" t="s">
        <v>74</v>
      </c>
      <c r="P214" s="1" t="s">
        <v>74</v>
      </c>
      <c r="Q214" s="1" t="s">
        <v>74</v>
      </c>
      <c r="R214" s="1" t="s">
        <v>74</v>
      </c>
      <c r="S214" s="1" t="s">
        <v>74</v>
      </c>
      <c r="T214" s="1" t="s">
        <v>1829</v>
      </c>
      <c r="U214" s="1" t="s">
        <v>1830</v>
      </c>
      <c r="V214" s="1" t="s">
        <v>1831</v>
      </c>
      <c r="W214" s="1" t="s">
        <v>1832</v>
      </c>
      <c r="X214" s="1" t="s">
        <v>1833</v>
      </c>
      <c r="Y214" s="1" t="s">
        <v>1834</v>
      </c>
      <c r="Z214" s="1" t="s">
        <v>1835</v>
      </c>
      <c r="AA214" s="1" t="s">
        <v>1836</v>
      </c>
      <c r="AB214" s="1" t="s">
        <v>1837</v>
      </c>
      <c r="AC214" s="1" t="s">
        <v>74</v>
      </c>
      <c r="AD214" s="1" t="s">
        <v>74</v>
      </c>
      <c r="AE214" s="1" t="s">
        <v>74</v>
      </c>
      <c r="AF214" s="1" t="s">
        <v>74</v>
      </c>
      <c r="AG214" s="1">
        <v>43</v>
      </c>
      <c r="AH214" s="1">
        <v>365</v>
      </c>
      <c r="AI214" s="1">
        <v>373</v>
      </c>
      <c r="AJ214" s="1">
        <v>32</v>
      </c>
      <c r="AK214" s="1">
        <v>433</v>
      </c>
      <c r="AL214" s="1" t="s">
        <v>232</v>
      </c>
      <c r="AM214" s="1" t="s">
        <v>233</v>
      </c>
      <c r="AN214" s="1" t="s">
        <v>234</v>
      </c>
      <c r="AO214" s="1" t="s">
        <v>147</v>
      </c>
      <c r="AP214" s="1" t="s">
        <v>148</v>
      </c>
      <c r="AQ214" s="1" t="s">
        <v>74</v>
      </c>
      <c r="AR214" s="1" t="s">
        <v>149</v>
      </c>
      <c r="AS214" s="1" t="s">
        <v>150</v>
      </c>
      <c r="AT214" s="1" t="s">
        <v>469</v>
      </c>
      <c r="AU214" s="1">
        <v>2014</v>
      </c>
      <c r="AV214" s="1">
        <v>51</v>
      </c>
      <c r="AW214" s="1">
        <v>4</v>
      </c>
      <c r="AX214" s="1" t="s">
        <v>74</v>
      </c>
      <c r="AY214" s="1" t="s">
        <v>74</v>
      </c>
      <c r="AZ214" s="1" t="s">
        <v>74</v>
      </c>
      <c r="BA214" s="1" t="s">
        <v>74</v>
      </c>
      <c r="BB214" s="1">
        <v>463</v>
      </c>
      <c r="BC214" s="1">
        <v>479</v>
      </c>
      <c r="BD214" s="1" t="s">
        <v>74</v>
      </c>
      <c r="BE214" s="1" t="s">
        <v>1838</v>
      </c>
      <c r="BF214" s="1" t="str">
        <f>HYPERLINK("http://dx.doi.org/10.1509/jmr.12.0106","http://dx.doi.org/10.1509/jmr.12.0106")</f>
        <v>http://dx.doi.org/10.1509/jmr.12.0106</v>
      </c>
      <c r="BG214" s="1" t="s">
        <v>74</v>
      </c>
      <c r="BH214" s="1" t="s">
        <v>74</v>
      </c>
      <c r="BI214" s="1">
        <v>17</v>
      </c>
      <c r="BJ214" s="1" t="s">
        <v>153</v>
      </c>
      <c r="BK214" s="1" t="s">
        <v>101</v>
      </c>
      <c r="BL214" s="1" t="s">
        <v>154</v>
      </c>
      <c r="BM214" s="1" t="s">
        <v>1728</v>
      </c>
      <c r="BN214" s="1" t="s">
        <v>74</v>
      </c>
      <c r="BO214" s="1" t="s">
        <v>74</v>
      </c>
      <c r="BP214" s="1" t="s">
        <v>218</v>
      </c>
      <c r="BQ214" s="1" t="s">
        <v>219</v>
      </c>
      <c r="BR214" s="1" t="s">
        <v>104</v>
      </c>
      <c r="BS214" s="1" t="s">
        <v>1839</v>
      </c>
      <c r="BT214" s="1" t="str">
        <f>HYPERLINK("https%3A%2F%2Fwww.webofscience.com%2Fwos%2Fwoscc%2Ffull-record%2FWOS:000340863800006","View Full Record in Web of Science")</f>
        <v>View Full Record in Web of Science</v>
      </c>
      <c r="BU214" s="1" t="s">
        <v>2040</v>
      </c>
      <c r="BV214" s="1" t="s">
        <v>6080</v>
      </c>
      <c r="BW214" s="1" t="s">
        <v>6080</v>
      </c>
    </row>
    <row r="215" spans="1:75" ht="348" x14ac:dyDescent="0.35">
      <c r="A215" s="1" t="s">
        <v>72</v>
      </c>
      <c r="B215" s="1" t="s">
        <v>1908</v>
      </c>
      <c r="C215" s="1" t="s">
        <v>74</v>
      </c>
      <c r="D215" s="1" t="s">
        <v>74</v>
      </c>
      <c r="E215" s="1" t="s">
        <v>74</v>
      </c>
      <c r="F215" s="1" t="s">
        <v>1909</v>
      </c>
      <c r="G215" s="1" t="s">
        <v>74</v>
      </c>
      <c r="H215" s="1" t="s">
        <v>74</v>
      </c>
      <c r="I215" s="1" t="s">
        <v>1910</v>
      </c>
      <c r="J215" s="1" t="s">
        <v>436</v>
      </c>
      <c r="K215" s="1" t="s">
        <v>74</v>
      </c>
      <c r="L215" s="1" t="s">
        <v>74</v>
      </c>
      <c r="M215" s="1" t="s">
        <v>78</v>
      </c>
      <c r="N215" s="1" t="s">
        <v>79</v>
      </c>
      <c r="O215" s="1" t="s">
        <v>74</v>
      </c>
      <c r="P215" s="1" t="s">
        <v>74</v>
      </c>
      <c r="Q215" s="1" t="s">
        <v>74</v>
      </c>
      <c r="R215" s="1" t="s">
        <v>74</v>
      </c>
      <c r="S215" s="1" t="s">
        <v>74</v>
      </c>
      <c r="T215" s="1" t="s">
        <v>1911</v>
      </c>
      <c r="U215" s="1" t="s">
        <v>1912</v>
      </c>
      <c r="V215" s="1" t="s">
        <v>1913</v>
      </c>
      <c r="W215" s="1" t="s">
        <v>1914</v>
      </c>
      <c r="X215" s="1" t="s">
        <v>1915</v>
      </c>
      <c r="Y215" s="1" t="s">
        <v>1916</v>
      </c>
      <c r="Z215" s="1" t="s">
        <v>1917</v>
      </c>
      <c r="AA215" s="1" t="s">
        <v>1918</v>
      </c>
      <c r="AB215" s="1" t="s">
        <v>1919</v>
      </c>
      <c r="AC215" s="1" t="s">
        <v>74</v>
      </c>
      <c r="AD215" s="1" t="s">
        <v>74</v>
      </c>
      <c r="AE215" s="1" t="s">
        <v>74</v>
      </c>
      <c r="AF215" s="1" t="s">
        <v>74</v>
      </c>
      <c r="AG215" s="1">
        <v>35</v>
      </c>
      <c r="AH215" s="1">
        <v>22</v>
      </c>
      <c r="AI215" s="1">
        <v>22</v>
      </c>
      <c r="AJ215" s="1">
        <v>6</v>
      </c>
      <c r="AK215" s="1">
        <v>87</v>
      </c>
      <c r="AL215" s="1" t="s">
        <v>446</v>
      </c>
      <c r="AM215" s="1" t="s">
        <v>447</v>
      </c>
      <c r="AN215" s="1" t="s">
        <v>448</v>
      </c>
      <c r="AO215" s="1" t="s">
        <v>449</v>
      </c>
      <c r="AP215" s="1" t="s">
        <v>450</v>
      </c>
      <c r="AQ215" s="1" t="s">
        <v>74</v>
      </c>
      <c r="AR215" s="1" t="s">
        <v>451</v>
      </c>
      <c r="AS215" s="1" t="s">
        <v>452</v>
      </c>
      <c r="AT215" s="1" t="s">
        <v>760</v>
      </c>
      <c r="AU215" s="1">
        <v>2014</v>
      </c>
      <c r="AV215" s="1">
        <v>33</v>
      </c>
      <c r="AW215" s="1">
        <v>3</v>
      </c>
      <c r="AX215" s="1" t="s">
        <v>74</v>
      </c>
      <c r="AY215" s="1" t="s">
        <v>74</v>
      </c>
      <c r="AZ215" s="1" t="s">
        <v>74</v>
      </c>
      <c r="BA215" s="1" t="s">
        <v>74</v>
      </c>
      <c r="BB215" s="1">
        <v>449</v>
      </c>
      <c r="BC215" s="1">
        <v>458</v>
      </c>
      <c r="BD215" s="1" t="s">
        <v>74</v>
      </c>
      <c r="BE215" s="1" t="s">
        <v>1920</v>
      </c>
      <c r="BF215" s="1" t="str">
        <f>HYPERLINK("http://dx.doi.org/10.1287/mksc.2013.0821","http://dx.doi.org/10.1287/mksc.2013.0821")</f>
        <v>http://dx.doi.org/10.1287/mksc.2013.0821</v>
      </c>
      <c r="BG215" s="1" t="s">
        <v>74</v>
      </c>
      <c r="BH215" s="1" t="s">
        <v>74</v>
      </c>
      <c r="BI215" s="1">
        <v>10</v>
      </c>
      <c r="BJ215" s="1" t="s">
        <v>153</v>
      </c>
      <c r="BK215" s="1" t="s">
        <v>101</v>
      </c>
      <c r="BL215" s="1" t="s">
        <v>154</v>
      </c>
      <c r="BM215" s="1" t="s">
        <v>1921</v>
      </c>
      <c r="BN215" s="1" t="s">
        <v>74</v>
      </c>
      <c r="BO215" s="1" t="s">
        <v>74</v>
      </c>
      <c r="BP215" s="1" t="s">
        <v>74</v>
      </c>
      <c r="BQ215" s="1" t="s">
        <v>74</v>
      </c>
      <c r="BR215" s="1" t="s">
        <v>104</v>
      </c>
      <c r="BS215" s="1" t="s">
        <v>1922</v>
      </c>
      <c r="BT215" s="1" t="str">
        <f>HYPERLINK("https%3A%2F%2Fwww.webofscience.com%2Fwos%2Fwoscc%2Ffull-record%2FWOS:000336743700010","View Full Record in Web of Science")</f>
        <v>View Full Record in Web of Science</v>
      </c>
      <c r="BU215" s="1" t="s">
        <v>2040</v>
      </c>
      <c r="BV215" s="1" t="s">
        <v>6080</v>
      </c>
      <c r="BW215" s="1" t="s">
        <v>6080</v>
      </c>
    </row>
    <row r="216" spans="1:75" ht="304.5" x14ac:dyDescent="0.35">
      <c r="A216" s="1" t="s">
        <v>72</v>
      </c>
      <c r="B216" s="1" t="s">
        <v>2419</v>
      </c>
      <c r="C216" s="1" t="s">
        <v>74</v>
      </c>
      <c r="D216" s="1" t="s">
        <v>74</v>
      </c>
      <c r="E216" s="1" t="s">
        <v>74</v>
      </c>
      <c r="F216" s="1" t="s">
        <v>2420</v>
      </c>
      <c r="G216" s="1" t="s">
        <v>74</v>
      </c>
      <c r="H216" s="1" t="s">
        <v>74</v>
      </c>
      <c r="I216" s="1" t="s">
        <v>2421</v>
      </c>
      <c r="J216" s="1" t="s">
        <v>161</v>
      </c>
      <c r="K216" s="1" t="s">
        <v>74</v>
      </c>
      <c r="L216" s="1" t="s">
        <v>74</v>
      </c>
      <c r="M216" s="1" t="s">
        <v>78</v>
      </c>
      <c r="N216" s="1" t="s">
        <v>79</v>
      </c>
      <c r="O216" s="1" t="s">
        <v>74</v>
      </c>
      <c r="P216" s="1" t="s">
        <v>74</v>
      </c>
      <c r="Q216" s="1" t="s">
        <v>74</v>
      </c>
      <c r="R216" s="1" t="s">
        <v>74</v>
      </c>
      <c r="S216" s="1" t="s">
        <v>74</v>
      </c>
      <c r="T216" s="1" t="s">
        <v>74</v>
      </c>
      <c r="U216" s="1" t="s">
        <v>2422</v>
      </c>
      <c r="V216" s="1" t="s">
        <v>2423</v>
      </c>
      <c r="W216" s="1" t="s">
        <v>2424</v>
      </c>
      <c r="X216" s="1" t="s">
        <v>2425</v>
      </c>
      <c r="Y216" s="1" t="s">
        <v>929</v>
      </c>
      <c r="Z216" s="1" t="s">
        <v>2426</v>
      </c>
      <c r="AA216" s="1" t="s">
        <v>74</v>
      </c>
      <c r="AB216" s="1" t="s">
        <v>74</v>
      </c>
      <c r="AC216" s="1" t="s">
        <v>74</v>
      </c>
      <c r="AD216" s="1" t="s">
        <v>74</v>
      </c>
      <c r="AE216" s="1" t="s">
        <v>74</v>
      </c>
      <c r="AF216" s="1" t="s">
        <v>74</v>
      </c>
      <c r="AG216" s="1">
        <v>189</v>
      </c>
      <c r="AH216" s="1">
        <v>80</v>
      </c>
      <c r="AI216" s="1">
        <v>80</v>
      </c>
      <c r="AJ216" s="1">
        <v>3</v>
      </c>
      <c r="AK216" s="1">
        <v>104</v>
      </c>
      <c r="AL216" s="1" t="s">
        <v>170</v>
      </c>
      <c r="AM216" s="1" t="s">
        <v>171</v>
      </c>
      <c r="AN216" s="1" t="s">
        <v>172</v>
      </c>
      <c r="AO216" s="1" t="s">
        <v>173</v>
      </c>
      <c r="AP216" s="1" t="s">
        <v>174</v>
      </c>
      <c r="AQ216" s="1" t="s">
        <v>74</v>
      </c>
      <c r="AR216" s="1" t="s">
        <v>175</v>
      </c>
      <c r="AS216" s="1" t="s">
        <v>176</v>
      </c>
      <c r="AT216" s="1" t="s">
        <v>348</v>
      </c>
      <c r="AU216" s="1">
        <v>2014</v>
      </c>
      <c r="AV216" s="1">
        <v>41</v>
      </c>
      <c r="AW216" s="1">
        <v>4</v>
      </c>
      <c r="AX216" s="1" t="s">
        <v>74</v>
      </c>
      <c r="AY216" s="1" t="s">
        <v>74</v>
      </c>
      <c r="AZ216" s="1" t="s">
        <v>74</v>
      </c>
      <c r="BA216" s="1" t="s">
        <v>74</v>
      </c>
      <c r="BB216" s="1">
        <v>877</v>
      </c>
      <c r="BC216" s="1">
        <v>910</v>
      </c>
      <c r="BD216" s="1" t="s">
        <v>74</v>
      </c>
      <c r="BE216" s="1" t="s">
        <v>2427</v>
      </c>
      <c r="BF216" s="1" t="str">
        <f>HYPERLINK("http://dx.doi.org/10.1086/677905","http://dx.doi.org/10.1086/677905")</f>
        <v>http://dx.doi.org/10.1086/677905</v>
      </c>
      <c r="BG216" s="1" t="s">
        <v>74</v>
      </c>
      <c r="BH216" s="1" t="s">
        <v>74</v>
      </c>
      <c r="BI216" s="1">
        <v>34</v>
      </c>
      <c r="BJ216" s="1" t="s">
        <v>153</v>
      </c>
      <c r="BK216" s="1" t="s">
        <v>101</v>
      </c>
      <c r="BL216" s="1" t="s">
        <v>154</v>
      </c>
      <c r="BM216" s="1" t="s">
        <v>2428</v>
      </c>
      <c r="BN216" s="1" t="s">
        <v>74</v>
      </c>
      <c r="BO216" s="1" t="s">
        <v>74</v>
      </c>
      <c r="BP216" s="1" t="s">
        <v>74</v>
      </c>
      <c r="BQ216" s="1" t="s">
        <v>74</v>
      </c>
      <c r="BR216" s="1" t="s">
        <v>104</v>
      </c>
      <c r="BS216" s="1" t="s">
        <v>2429</v>
      </c>
      <c r="BT216" s="1" t="str">
        <f>HYPERLINK("https%3A%2F%2Fwww.webofscience.com%2Fwos%2Fwoscc%2Ffull-record%2FWOS:000345227600001","View Full Record in Web of Science")</f>
        <v>View Full Record in Web of Science</v>
      </c>
      <c r="BU216" s="1" t="s">
        <v>3776</v>
      </c>
      <c r="BV216" s="1" t="s">
        <v>6080</v>
      </c>
      <c r="BW216" s="1" t="s">
        <v>6080</v>
      </c>
    </row>
    <row r="217" spans="1:75" ht="232" x14ac:dyDescent="0.35">
      <c r="A217" s="1" t="s">
        <v>72</v>
      </c>
      <c r="B217" s="1" t="s">
        <v>2430</v>
      </c>
      <c r="C217" s="1" t="s">
        <v>74</v>
      </c>
      <c r="D217" s="1" t="s">
        <v>74</v>
      </c>
      <c r="E217" s="1" t="s">
        <v>74</v>
      </c>
      <c r="F217" s="1" t="s">
        <v>2431</v>
      </c>
      <c r="G217" s="1" t="s">
        <v>74</v>
      </c>
      <c r="H217" s="1" t="s">
        <v>74</v>
      </c>
      <c r="I217" s="1" t="s">
        <v>2432</v>
      </c>
      <c r="J217" s="1" t="s">
        <v>1640</v>
      </c>
      <c r="K217" s="1" t="s">
        <v>74</v>
      </c>
      <c r="L217" s="1" t="s">
        <v>74</v>
      </c>
      <c r="M217" s="1" t="s">
        <v>78</v>
      </c>
      <c r="N217" s="1" t="s">
        <v>79</v>
      </c>
      <c r="O217" s="1" t="s">
        <v>74</v>
      </c>
      <c r="P217" s="1" t="s">
        <v>74</v>
      </c>
      <c r="Q217" s="1" t="s">
        <v>74</v>
      </c>
      <c r="R217" s="1" t="s">
        <v>74</v>
      </c>
      <c r="S217" s="1" t="s">
        <v>74</v>
      </c>
      <c r="T217" s="1" t="s">
        <v>2433</v>
      </c>
      <c r="U217" s="1" t="s">
        <v>2434</v>
      </c>
      <c r="V217" s="1" t="s">
        <v>2435</v>
      </c>
      <c r="W217" s="1" t="s">
        <v>2436</v>
      </c>
      <c r="X217" s="1" t="s">
        <v>2437</v>
      </c>
      <c r="Y217" s="1" t="s">
        <v>2438</v>
      </c>
      <c r="Z217" s="1" t="s">
        <v>2439</v>
      </c>
      <c r="AA217" s="1" t="s">
        <v>2440</v>
      </c>
      <c r="AB217" s="1" t="s">
        <v>2441</v>
      </c>
      <c r="AC217" s="1" t="s">
        <v>74</v>
      </c>
      <c r="AD217" s="1" t="s">
        <v>74</v>
      </c>
      <c r="AE217" s="1" t="s">
        <v>74</v>
      </c>
      <c r="AF217" s="1" t="s">
        <v>74</v>
      </c>
      <c r="AG217" s="1">
        <v>47</v>
      </c>
      <c r="AH217" s="1">
        <v>750</v>
      </c>
      <c r="AI217" s="1">
        <v>756</v>
      </c>
      <c r="AJ217" s="1">
        <v>5</v>
      </c>
      <c r="AK217" s="1">
        <v>68</v>
      </c>
      <c r="AL217" s="1" t="s">
        <v>820</v>
      </c>
      <c r="AM217" s="1" t="s">
        <v>325</v>
      </c>
      <c r="AN217" s="1" t="s">
        <v>821</v>
      </c>
      <c r="AO217" s="1" t="s">
        <v>1647</v>
      </c>
      <c r="AP217" s="1" t="s">
        <v>1648</v>
      </c>
      <c r="AQ217" s="1" t="s">
        <v>74</v>
      </c>
      <c r="AR217" s="1" t="s">
        <v>1649</v>
      </c>
      <c r="AS217" s="1" t="s">
        <v>1650</v>
      </c>
      <c r="AT217" s="1" t="s">
        <v>517</v>
      </c>
      <c r="AU217" s="1">
        <v>2014</v>
      </c>
      <c r="AV217" s="1">
        <v>46</v>
      </c>
      <c r="AW217" s="1">
        <v>3</v>
      </c>
      <c r="AX217" s="1" t="s">
        <v>74</v>
      </c>
      <c r="AY217" s="1" t="s">
        <v>74</v>
      </c>
      <c r="AZ217" s="1" t="s">
        <v>74</v>
      </c>
      <c r="BA217" s="1" t="s">
        <v>74</v>
      </c>
      <c r="BB217" s="1">
        <v>904</v>
      </c>
      <c r="BC217" s="1">
        <v>911</v>
      </c>
      <c r="BD217" s="1" t="s">
        <v>74</v>
      </c>
      <c r="BE217" s="1" t="s">
        <v>2442</v>
      </c>
      <c r="BF217" s="1" t="str">
        <f>HYPERLINK("http://dx.doi.org/10.3758/s13428-013-0403-5","http://dx.doi.org/10.3758/s13428-013-0403-5")</f>
        <v>http://dx.doi.org/10.3758/s13428-013-0403-5</v>
      </c>
      <c r="BG217" s="1" t="s">
        <v>74</v>
      </c>
      <c r="BH217" s="1" t="s">
        <v>74</v>
      </c>
      <c r="BI217" s="1">
        <v>8</v>
      </c>
      <c r="BJ217" s="1" t="s">
        <v>1652</v>
      </c>
      <c r="BK217" s="1" t="s">
        <v>101</v>
      </c>
      <c r="BL217" s="1" t="s">
        <v>102</v>
      </c>
      <c r="BM217" s="1" t="s">
        <v>2443</v>
      </c>
      <c r="BN217" s="1">
        <v>24142837</v>
      </c>
      <c r="BO217" s="1" t="s">
        <v>367</v>
      </c>
      <c r="BP217" s="1" t="s">
        <v>218</v>
      </c>
      <c r="BQ217" s="1" t="s">
        <v>219</v>
      </c>
      <c r="BR217" s="1" t="s">
        <v>104</v>
      </c>
      <c r="BS217" s="1" t="s">
        <v>2444</v>
      </c>
      <c r="BT217" s="1" t="str">
        <f>HYPERLINK("https%3A%2F%2Fwww.webofscience.com%2Fwos%2Fwoscc%2Ffull-record%2FWOS:000340226300022","View Full Record in Web of Science")</f>
        <v>View Full Record in Web of Science</v>
      </c>
      <c r="BU217" s="1" t="s">
        <v>3776</v>
      </c>
      <c r="BV217" s="1" t="s">
        <v>10653</v>
      </c>
    </row>
    <row r="218" spans="1:75" ht="391.5" x14ac:dyDescent="0.35">
      <c r="A218" s="1" t="s">
        <v>72</v>
      </c>
      <c r="B218" s="1" t="s">
        <v>1826</v>
      </c>
      <c r="C218" s="1" t="s">
        <v>74</v>
      </c>
      <c r="D218" s="1" t="s">
        <v>74</v>
      </c>
      <c r="E218" s="1" t="s">
        <v>74</v>
      </c>
      <c r="F218" s="1" t="s">
        <v>1827</v>
      </c>
      <c r="G218" s="1" t="s">
        <v>74</v>
      </c>
      <c r="H218" s="1" t="s">
        <v>74</v>
      </c>
      <c r="I218" s="1" t="s">
        <v>1828</v>
      </c>
      <c r="J218" s="1" t="s">
        <v>136</v>
      </c>
      <c r="K218" s="1" t="s">
        <v>74</v>
      </c>
      <c r="L218" s="1" t="s">
        <v>74</v>
      </c>
      <c r="M218" s="1" t="s">
        <v>78</v>
      </c>
      <c r="N218" s="1" t="s">
        <v>79</v>
      </c>
      <c r="O218" s="1" t="s">
        <v>74</v>
      </c>
      <c r="P218" s="1" t="s">
        <v>74</v>
      </c>
      <c r="Q218" s="1" t="s">
        <v>74</v>
      </c>
      <c r="R218" s="1" t="s">
        <v>74</v>
      </c>
      <c r="S218" s="1" t="s">
        <v>74</v>
      </c>
      <c r="T218" s="1" t="s">
        <v>1829</v>
      </c>
      <c r="U218" s="1" t="s">
        <v>1830</v>
      </c>
      <c r="V218" s="1" t="s">
        <v>1831</v>
      </c>
      <c r="W218" s="1" t="s">
        <v>1832</v>
      </c>
      <c r="X218" s="1" t="s">
        <v>1833</v>
      </c>
      <c r="Y218" s="1" t="s">
        <v>1834</v>
      </c>
      <c r="Z218" s="1" t="s">
        <v>1835</v>
      </c>
      <c r="AA218" s="1" t="s">
        <v>1836</v>
      </c>
      <c r="AB218" s="1" t="s">
        <v>1837</v>
      </c>
      <c r="AC218" s="1" t="s">
        <v>74</v>
      </c>
      <c r="AD218" s="1" t="s">
        <v>74</v>
      </c>
      <c r="AE218" s="1" t="s">
        <v>74</v>
      </c>
      <c r="AF218" s="1" t="s">
        <v>74</v>
      </c>
      <c r="AG218" s="1">
        <v>43</v>
      </c>
      <c r="AH218" s="1">
        <v>365</v>
      </c>
      <c r="AI218" s="1">
        <v>373</v>
      </c>
      <c r="AJ218" s="1">
        <v>32</v>
      </c>
      <c r="AK218" s="1">
        <v>433</v>
      </c>
      <c r="AL218" s="1" t="s">
        <v>232</v>
      </c>
      <c r="AM218" s="1" t="s">
        <v>233</v>
      </c>
      <c r="AN218" s="1" t="s">
        <v>234</v>
      </c>
      <c r="AO218" s="1" t="s">
        <v>147</v>
      </c>
      <c r="AP218" s="1" t="s">
        <v>148</v>
      </c>
      <c r="AQ218" s="1" t="s">
        <v>74</v>
      </c>
      <c r="AR218" s="1" t="s">
        <v>149</v>
      </c>
      <c r="AS218" s="1" t="s">
        <v>150</v>
      </c>
      <c r="AT218" s="1" t="s">
        <v>469</v>
      </c>
      <c r="AU218" s="1">
        <v>2014</v>
      </c>
      <c r="AV218" s="1">
        <v>51</v>
      </c>
      <c r="AW218" s="1">
        <v>4</v>
      </c>
      <c r="AX218" s="1" t="s">
        <v>74</v>
      </c>
      <c r="AY218" s="1" t="s">
        <v>74</v>
      </c>
      <c r="AZ218" s="1" t="s">
        <v>74</v>
      </c>
      <c r="BA218" s="1" t="s">
        <v>74</v>
      </c>
      <c r="BB218" s="1">
        <v>463</v>
      </c>
      <c r="BC218" s="1">
        <v>479</v>
      </c>
      <c r="BD218" s="1" t="s">
        <v>74</v>
      </c>
      <c r="BE218" s="1" t="s">
        <v>1838</v>
      </c>
      <c r="BF218" s="1" t="str">
        <f>HYPERLINK("http://dx.doi.org/10.1509/jmr.12.0106","http://dx.doi.org/10.1509/jmr.12.0106")</f>
        <v>http://dx.doi.org/10.1509/jmr.12.0106</v>
      </c>
      <c r="BG218" s="1" t="s">
        <v>74</v>
      </c>
      <c r="BH218" s="1" t="s">
        <v>74</v>
      </c>
      <c r="BI218" s="1">
        <v>17</v>
      </c>
      <c r="BJ218" s="1" t="s">
        <v>153</v>
      </c>
      <c r="BK218" s="1" t="s">
        <v>101</v>
      </c>
      <c r="BL218" s="1" t="s">
        <v>154</v>
      </c>
      <c r="BM218" s="1" t="s">
        <v>1728</v>
      </c>
      <c r="BN218" s="1" t="s">
        <v>74</v>
      </c>
      <c r="BO218" s="1" t="s">
        <v>74</v>
      </c>
      <c r="BP218" s="1" t="s">
        <v>218</v>
      </c>
      <c r="BQ218" s="1" t="s">
        <v>219</v>
      </c>
      <c r="BR218" s="1" t="s">
        <v>104</v>
      </c>
      <c r="BS218" s="1" t="s">
        <v>1839</v>
      </c>
      <c r="BT218" s="1" t="str">
        <f>HYPERLINK("https%3A%2F%2Fwww.webofscience.com%2Fwos%2Fwoscc%2Ffull-record%2FWOS:000340863800006","View Full Record in Web of Science")</f>
        <v>View Full Record in Web of Science</v>
      </c>
      <c r="BU218" s="1" t="s">
        <v>3776</v>
      </c>
      <c r="BV218" s="1" t="s">
        <v>6080</v>
      </c>
      <c r="BW218" s="1" t="s">
        <v>6080</v>
      </c>
    </row>
    <row r="219" spans="1:75" ht="217.5" x14ac:dyDescent="0.35">
      <c r="A219" s="1" t="s">
        <v>72</v>
      </c>
      <c r="B219" s="1" t="s">
        <v>1108</v>
      </c>
      <c r="C219" s="1" t="s">
        <v>74</v>
      </c>
      <c r="D219" s="1" t="s">
        <v>74</v>
      </c>
      <c r="E219" s="1" t="s">
        <v>74</v>
      </c>
      <c r="F219" s="1" t="s">
        <v>1109</v>
      </c>
      <c r="G219" s="1" t="s">
        <v>74</v>
      </c>
      <c r="H219" s="1" t="s">
        <v>74</v>
      </c>
      <c r="I219" s="1" t="s">
        <v>2445</v>
      </c>
      <c r="J219" s="1" t="s">
        <v>2446</v>
      </c>
      <c r="K219" s="1" t="s">
        <v>74</v>
      </c>
      <c r="L219" s="1" t="s">
        <v>74</v>
      </c>
      <c r="M219" s="1" t="s">
        <v>78</v>
      </c>
      <c r="N219" s="1" t="s">
        <v>79</v>
      </c>
      <c r="O219" s="1" t="s">
        <v>74</v>
      </c>
      <c r="P219" s="1" t="s">
        <v>74</v>
      </c>
      <c r="Q219" s="1" t="s">
        <v>74</v>
      </c>
      <c r="R219" s="1" t="s">
        <v>74</v>
      </c>
      <c r="S219" s="1" t="s">
        <v>74</v>
      </c>
      <c r="T219" s="1" t="s">
        <v>74</v>
      </c>
      <c r="U219" s="1" t="s">
        <v>2447</v>
      </c>
      <c r="V219" s="1" t="s">
        <v>2448</v>
      </c>
      <c r="W219" s="1" t="s">
        <v>1115</v>
      </c>
      <c r="X219" s="1" t="s">
        <v>1116</v>
      </c>
      <c r="Y219" s="1" t="s">
        <v>1117</v>
      </c>
      <c r="Z219" s="1" t="s">
        <v>74</v>
      </c>
      <c r="AA219" s="1" t="s">
        <v>1118</v>
      </c>
      <c r="AB219" s="1" t="s">
        <v>1119</v>
      </c>
      <c r="AC219" s="1" t="s">
        <v>74</v>
      </c>
      <c r="AD219" s="1" t="s">
        <v>74</v>
      </c>
      <c r="AE219" s="1" t="s">
        <v>74</v>
      </c>
      <c r="AF219" s="1" t="s">
        <v>74</v>
      </c>
      <c r="AG219" s="1">
        <v>38</v>
      </c>
      <c r="AH219" s="1">
        <v>391</v>
      </c>
      <c r="AI219" s="1">
        <v>408</v>
      </c>
      <c r="AJ219" s="1">
        <v>34</v>
      </c>
      <c r="AK219" s="1">
        <v>226</v>
      </c>
      <c r="AL219" s="1" t="s">
        <v>2449</v>
      </c>
      <c r="AM219" s="1" t="s">
        <v>207</v>
      </c>
      <c r="AN219" s="1" t="s">
        <v>208</v>
      </c>
      <c r="AO219" s="1" t="s">
        <v>2450</v>
      </c>
      <c r="AP219" s="1" t="s">
        <v>2451</v>
      </c>
      <c r="AQ219" s="1" t="s">
        <v>74</v>
      </c>
      <c r="AR219" s="1" t="s">
        <v>2452</v>
      </c>
      <c r="AS219" s="1" t="s">
        <v>2453</v>
      </c>
      <c r="AT219" s="1" t="s">
        <v>469</v>
      </c>
      <c r="AU219" s="1">
        <v>2014</v>
      </c>
      <c r="AV219" s="1">
        <v>69</v>
      </c>
      <c r="AW219" s="1">
        <v>4</v>
      </c>
      <c r="AX219" s="1" t="s">
        <v>74</v>
      </c>
      <c r="AY219" s="1" t="s">
        <v>74</v>
      </c>
      <c r="AZ219" s="1" t="s">
        <v>74</v>
      </c>
      <c r="BA219" s="1" t="s">
        <v>74</v>
      </c>
      <c r="BB219" s="1">
        <v>1643</v>
      </c>
      <c r="BC219" s="1">
        <v>1671</v>
      </c>
      <c r="BD219" s="1" t="s">
        <v>74</v>
      </c>
      <c r="BE219" s="1" t="s">
        <v>2454</v>
      </c>
      <c r="BF219" s="1" t="str">
        <f>HYPERLINK("http://dx.doi.org/10.1111/jofi.12162","http://dx.doi.org/10.1111/jofi.12162")</f>
        <v>http://dx.doi.org/10.1111/jofi.12162</v>
      </c>
      <c r="BG219" s="1" t="s">
        <v>74</v>
      </c>
      <c r="BH219" s="1" t="s">
        <v>74</v>
      </c>
      <c r="BI219" s="1">
        <v>29</v>
      </c>
      <c r="BJ219" s="1" t="s">
        <v>2455</v>
      </c>
      <c r="BK219" s="1" t="s">
        <v>101</v>
      </c>
      <c r="BL219" s="1" t="s">
        <v>154</v>
      </c>
      <c r="BM219" s="1" t="s">
        <v>2456</v>
      </c>
      <c r="BN219" s="1" t="s">
        <v>74</v>
      </c>
      <c r="BO219" s="1" t="s">
        <v>74</v>
      </c>
      <c r="BP219" s="1" t="s">
        <v>218</v>
      </c>
      <c r="BQ219" s="1" t="s">
        <v>219</v>
      </c>
      <c r="BR219" s="1" t="s">
        <v>104</v>
      </c>
      <c r="BS219" s="1" t="s">
        <v>2457</v>
      </c>
      <c r="BT219" s="1" t="str">
        <f>HYPERLINK("https%3A%2F%2Fwww.webofscience.com%2Fwos%2Fwoscc%2Ffull-record%2FWOS:000339506600007","View Full Record in Web of Science")</f>
        <v>View Full Record in Web of Science</v>
      </c>
      <c r="BU219" s="1" t="s">
        <v>3776</v>
      </c>
      <c r="BV219" s="1" t="s">
        <v>10653</v>
      </c>
    </row>
    <row r="220" spans="1:75" ht="275.5" x14ac:dyDescent="0.35">
      <c r="A220" s="1" t="s">
        <v>72</v>
      </c>
      <c r="B220" s="1" t="s">
        <v>133</v>
      </c>
      <c r="C220" s="1" t="s">
        <v>74</v>
      </c>
      <c r="D220" s="1" t="s">
        <v>74</v>
      </c>
      <c r="E220" s="1" t="s">
        <v>74</v>
      </c>
      <c r="F220" s="1" t="s">
        <v>134</v>
      </c>
      <c r="G220" s="1" t="s">
        <v>74</v>
      </c>
      <c r="H220" s="1" t="s">
        <v>74</v>
      </c>
      <c r="I220" s="1" t="s">
        <v>135</v>
      </c>
      <c r="J220" s="1" t="s">
        <v>136</v>
      </c>
      <c r="K220" s="1" t="s">
        <v>74</v>
      </c>
      <c r="L220" s="1" t="s">
        <v>74</v>
      </c>
      <c r="M220" s="1" t="s">
        <v>78</v>
      </c>
      <c r="N220" s="1" t="s">
        <v>79</v>
      </c>
      <c r="O220" s="1" t="s">
        <v>74</v>
      </c>
      <c r="P220" s="1" t="s">
        <v>74</v>
      </c>
      <c r="Q220" s="1" t="s">
        <v>74</v>
      </c>
      <c r="R220" s="1" t="s">
        <v>74</v>
      </c>
      <c r="S220" s="1" t="s">
        <v>74</v>
      </c>
      <c r="T220" s="1" t="s">
        <v>137</v>
      </c>
      <c r="U220" s="1" t="s">
        <v>138</v>
      </c>
      <c r="V220" s="1" t="s">
        <v>139</v>
      </c>
      <c r="W220" s="1" t="s">
        <v>140</v>
      </c>
      <c r="X220" s="1" t="s">
        <v>141</v>
      </c>
      <c r="Y220" s="1" t="s">
        <v>142</v>
      </c>
      <c r="Z220" s="1" t="s">
        <v>143</v>
      </c>
      <c r="AA220" s="1" t="s">
        <v>74</v>
      </c>
      <c r="AB220" s="1" t="s">
        <v>74</v>
      </c>
      <c r="AC220" s="1" t="s">
        <v>74</v>
      </c>
      <c r="AD220" s="1" t="s">
        <v>74</v>
      </c>
      <c r="AE220" s="1" t="s">
        <v>74</v>
      </c>
      <c r="AF220" s="1" t="s">
        <v>74</v>
      </c>
      <c r="AG220" s="1">
        <v>47</v>
      </c>
      <c r="AH220" s="1">
        <v>125</v>
      </c>
      <c r="AI220" s="1">
        <v>128</v>
      </c>
      <c r="AJ220" s="1">
        <v>16</v>
      </c>
      <c r="AK220" s="1">
        <v>146</v>
      </c>
      <c r="AL220" s="1" t="s">
        <v>144</v>
      </c>
      <c r="AM220" s="1" t="s">
        <v>145</v>
      </c>
      <c r="AN220" s="1" t="s">
        <v>146</v>
      </c>
      <c r="AO220" s="1" t="s">
        <v>147</v>
      </c>
      <c r="AP220" s="1" t="s">
        <v>148</v>
      </c>
      <c r="AQ220" s="1" t="s">
        <v>74</v>
      </c>
      <c r="AR220" s="1" t="s">
        <v>149</v>
      </c>
      <c r="AS220" s="1" t="s">
        <v>150</v>
      </c>
      <c r="AT220" s="1" t="s">
        <v>151</v>
      </c>
      <c r="AU220" s="1">
        <v>2014</v>
      </c>
      <c r="AV220" s="1">
        <v>51</v>
      </c>
      <c r="AW220" s="1">
        <v>3</v>
      </c>
      <c r="AX220" s="1" t="s">
        <v>74</v>
      </c>
      <c r="AY220" s="1" t="s">
        <v>74</v>
      </c>
      <c r="AZ220" s="1" t="s">
        <v>74</v>
      </c>
      <c r="BA220" s="1" t="s">
        <v>74</v>
      </c>
      <c r="BB220" s="1">
        <v>249</v>
      </c>
      <c r="BC220" s="1">
        <v>269</v>
      </c>
      <c r="BD220" s="1" t="s">
        <v>74</v>
      </c>
      <c r="BE220" s="1" t="s">
        <v>152</v>
      </c>
      <c r="BF220" s="1" t="str">
        <f>HYPERLINK("http://dx.doi.org/10.1509/jmr.13.0209","http://dx.doi.org/10.1509/jmr.13.0209")</f>
        <v>http://dx.doi.org/10.1509/jmr.13.0209</v>
      </c>
      <c r="BG220" s="1" t="s">
        <v>74</v>
      </c>
      <c r="BH220" s="1" t="s">
        <v>74</v>
      </c>
      <c r="BI220" s="1">
        <v>21</v>
      </c>
      <c r="BJ220" s="1" t="s">
        <v>153</v>
      </c>
      <c r="BK220" s="1" t="s">
        <v>101</v>
      </c>
      <c r="BL220" s="1" t="s">
        <v>154</v>
      </c>
      <c r="BM220" s="1" t="s">
        <v>155</v>
      </c>
      <c r="BN220" s="1" t="s">
        <v>74</v>
      </c>
      <c r="BO220" s="1" t="s">
        <v>156</v>
      </c>
      <c r="BP220" s="1" t="s">
        <v>74</v>
      </c>
      <c r="BQ220" s="1" t="s">
        <v>74</v>
      </c>
      <c r="BR220" s="1" t="s">
        <v>104</v>
      </c>
      <c r="BS220" s="1" t="s">
        <v>157</v>
      </c>
      <c r="BT220" s="1" t="str">
        <f>HYPERLINK("https%3A%2F%2Fwww.webofscience.com%2Fwos%2Fwoscc%2Ffull-record%2FWOS:000340863700001","View Full Record in Web of Science")</f>
        <v>View Full Record in Web of Science</v>
      </c>
      <c r="BU220" s="1" t="s">
        <v>3776</v>
      </c>
      <c r="BV220" s="1" t="s">
        <v>6080</v>
      </c>
      <c r="BW220" s="1" t="s">
        <v>6080</v>
      </c>
    </row>
    <row r="221" spans="1:75" ht="261" x14ac:dyDescent="0.35">
      <c r="A221" s="1" t="s">
        <v>72</v>
      </c>
      <c r="B221" s="1" t="s">
        <v>221</v>
      </c>
      <c r="C221" s="1" t="s">
        <v>74</v>
      </c>
      <c r="D221" s="1" t="s">
        <v>74</v>
      </c>
      <c r="E221" s="1" t="s">
        <v>74</v>
      </c>
      <c r="F221" s="1" t="s">
        <v>222</v>
      </c>
      <c r="G221" s="1" t="s">
        <v>74</v>
      </c>
      <c r="H221" s="1" t="s">
        <v>74</v>
      </c>
      <c r="I221" s="1" t="s">
        <v>223</v>
      </c>
      <c r="J221" s="1" t="s">
        <v>136</v>
      </c>
      <c r="K221" s="1" t="s">
        <v>74</v>
      </c>
      <c r="L221" s="1" t="s">
        <v>74</v>
      </c>
      <c r="M221" s="1" t="s">
        <v>78</v>
      </c>
      <c r="N221" s="1" t="s">
        <v>79</v>
      </c>
      <c r="O221" s="1" t="s">
        <v>74</v>
      </c>
      <c r="P221" s="1" t="s">
        <v>74</v>
      </c>
      <c r="Q221" s="1" t="s">
        <v>74</v>
      </c>
      <c r="R221" s="1" t="s">
        <v>74</v>
      </c>
      <c r="S221" s="1" t="s">
        <v>74</v>
      </c>
      <c r="T221" s="1" t="s">
        <v>224</v>
      </c>
      <c r="U221" s="1" t="s">
        <v>225</v>
      </c>
      <c r="V221" s="1" t="s">
        <v>226</v>
      </c>
      <c r="W221" s="1" t="s">
        <v>227</v>
      </c>
      <c r="X221" s="1" t="s">
        <v>228</v>
      </c>
      <c r="Y221" s="1" t="s">
        <v>229</v>
      </c>
      <c r="Z221" s="1" t="s">
        <v>230</v>
      </c>
      <c r="AA221" s="1" t="s">
        <v>231</v>
      </c>
      <c r="AB221" s="1" t="s">
        <v>74</v>
      </c>
      <c r="AC221" s="1" t="s">
        <v>74</v>
      </c>
      <c r="AD221" s="1" t="s">
        <v>74</v>
      </c>
      <c r="AE221" s="1" t="s">
        <v>74</v>
      </c>
      <c r="AF221" s="1" t="s">
        <v>74</v>
      </c>
      <c r="AG221" s="1">
        <v>97</v>
      </c>
      <c r="AH221" s="1">
        <v>184</v>
      </c>
      <c r="AI221" s="1">
        <v>186</v>
      </c>
      <c r="AJ221" s="1">
        <v>8</v>
      </c>
      <c r="AK221" s="1">
        <v>156</v>
      </c>
      <c r="AL221" s="1" t="s">
        <v>232</v>
      </c>
      <c r="AM221" s="1" t="s">
        <v>233</v>
      </c>
      <c r="AN221" s="1" t="s">
        <v>234</v>
      </c>
      <c r="AO221" s="1" t="s">
        <v>147</v>
      </c>
      <c r="AP221" s="1" t="s">
        <v>148</v>
      </c>
      <c r="AQ221" s="1" t="s">
        <v>74</v>
      </c>
      <c r="AR221" s="1" t="s">
        <v>149</v>
      </c>
      <c r="AS221" s="1" t="s">
        <v>150</v>
      </c>
      <c r="AT221" s="1" t="s">
        <v>151</v>
      </c>
      <c r="AU221" s="1">
        <v>2014</v>
      </c>
      <c r="AV221" s="1">
        <v>51</v>
      </c>
      <c r="AW221" s="1">
        <v>3</v>
      </c>
      <c r="AX221" s="1" t="s">
        <v>74</v>
      </c>
      <c r="AY221" s="1" t="s">
        <v>74</v>
      </c>
      <c r="AZ221" s="1" t="s">
        <v>74</v>
      </c>
      <c r="BA221" s="1" t="s">
        <v>74</v>
      </c>
      <c r="BB221" s="1">
        <v>286</v>
      </c>
      <c r="BC221" s="1">
        <v>299</v>
      </c>
      <c r="BD221" s="1" t="s">
        <v>74</v>
      </c>
      <c r="BE221" s="1" t="s">
        <v>235</v>
      </c>
      <c r="BF221" s="1" t="str">
        <f>HYPERLINK("http://dx.doi.org/10.1509/jmr.13.0238","http://dx.doi.org/10.1509/jmr.13.0238")</f>
        <v>http://dx.doi.org/10.1509/jmr.13.0238</v>
      </c>
      <c r="BG221" s="1" t="s">
        <v>74</v>
      </c>
      <c r="BH221" s="1" t="s">
        <v>74</v>
      </c>
      <c r="BI221" s="1">
        <v>14</v>
      </c>
      <c r="BJ221" s="1" t="s">
        <v>153</v>
      </c>
      <c r="BK221" s="1" t="s">
        <v>101</v>
      </c>
      <c r="BL221" s="1" t="s">
        <v>154</v>
      </c>
      <c r="BM221" s="1" t="s">
        <v>155</v>
      </c>
      <c r="BN221" s="1" t="s">
        <v>74</v>
      </c>
      <c r="BO221" s="1" t="s">
        <v>74</v>
      </c>
      <c r="BP221" s="1" t="s">
        <v>74</v>
      </c>
      <c r="BQ221" s="1" t="s">
        <v>74</v>
      </c>
      <c r="BR221" s="1" t="s">
        <v>104</v>
      </c>
      <c r="BS221" s="1" t="s">
        <v>236</v>
      </c>
      <c r="BT221" s="1" t="str">
        <f>HYPERLINK("https%3A%2F%2Fwww.webofscience.com%2Fwos%2Fwoscc%2Ffull-record%2FWOS:000340863700003","View Full Record in Web of Science")</f>
        <v>View Full Record in Web of Science</v>
      </c>
      <c r="BU221" s="1" t="s">
        <v>3776</v>
      </c>
      <c r="BV221" s="1" t="s">
        <v>6080</v>
      </c>
      <c r="BW221" s="1" t="s">
        <v>10653</v>
      </c>
    </row>
    <row r="222" spans="1:75" ht="409.5" x14ac:dyDescent="0.35">
      <c r="A222" s="1" t="s">
        <v>72</v>
      </c>
      <c r="B222" s="1" t="s">
        <v>2458</v>
      </c>
      <c r="C222" s="1" t="s">
        <v>74</v>
      </c>
      <c r="D222" s="1" t="s">
        <v>74</v>
      </c>
      <c r="E222" s="1" t="s">
        <v>74</v>
      </c>
      <c r="F222" s="1" t="s">
        <v>2459</v>
      </c>
      <c r="G222" s="1" t="s">
        <v>74</v>
      </c>
      <c r="H222" s="1" t="s">
        <v>74</v>
      </c>
      <c r="I222" s="1" t="s">
        <v>2460</v>
      </c>
      <c r="J222" s="1" t="s">
        <v>2177</v>
      </c>
      <c r="K222" s="1" t="s">
        <v>74</v>
      </c>
      <c r="L222" s="1" t="s">
        <v>74</v>
      </c>
      <c r="M222" s="1" t="s">
        <v>78</v>
      </c>
      <c r="N222" s="1" t="s">
        <v>79</v>
      </c>
      <c r="O222" s="1" t="s">
        <v>74</v>
      </c>
      <c r="P222" s="1" t="s">
        <v>74</v>
      </c>
      <c r="Q222" s="1" t="s">
        <v>74</v>
      </c>
      <c r="R222" s="1" t="s">
        <v>74</v>
      </c>
      <c r="S222" s="1" t="s">
        <v>74</v>
      </c>
      <c r="T222" s="1" t="s">
        <v>2461</v>
      </c>
      <c r="U222" s="1" t="s">
        <v>2462</v>
      </c>
      <c r="V222" s="1" t="s">
        <v>2463</v>
      </c>
      <c r="W222" s="1" t="s">
        <v>2464</v>
      </c>
      <c r="X222" s="1" t="s">
        <v>2465</v>
      </c>
      <c r="Y222" s="1" t="s">
        <v>2466</v>
      </c>
      <c r="Z222" s="1" t="s">
        <v>2467</v>
      </c>
      <c r="AA222" s="1" t="s">
        <v>2468</v>
      </c>
      <c r="AB222" s="1" t="s">
        <v>2469</v>
      </c>
      <c r="AC222" s="1" t="s">
        <v>74</v>
      </c>
      <c r="AD222" s="1" t="s">
        <v>74</v>
      </c>
      <c r="AE222" s="1" t="s">
        <v>74</v>
      </c>
      <c r="AF222" s="1" t="s">
        <v>74</v>
      </c>
      <c r="AG222" s="1">
        <v>43</v>
      </c>
      <c r="AH222" s="1">
        <v>6</v>
      </c>
      <c r="AI222" s="1">
        <v>6</v>
      </c>
      <c r="AJ222" s="1">
        <v>0</v>
      </c>
      <c r="AK222" s="1">
        <v>19</v>
      </c>
      <c r="AL222" s="1" t="s">
        <v>2470</v>
      </c>
      <c r="AM222" s="1" t="s">
        <v>2188</v>
      </c>
      <c r="AN222" s="1" t="s">
        <v>2471</v>
      </c>
      <c r="AO222" s="1" t="s">
        <v>2190</v>
      </c>
      <c r="AP222" s="1" t="s">
        <v>74</v>
      </c>
      <c r="AQ222" s="1" t="s">
        <v>74</v>
      </c>
      <c r="AR222" s="1" t="s">
        <v>2191</v>
      </c>
      <c r="AS222" s="1" t="s">
        <v>2192</v>
      </c>
      <c r="AT222" s="1" t="s">
        <v>2472</v>
      </c>
      <c r="AU222" s="1">
        <v>2014</v>
      </c>
      <c r="AV222" s="1">
        <v>5</v>
      </c>
      <c r="AW222" s="1" t="s">
        <v>74</v>
      </c>
      <c r="AX222" s="1" t="s">
        <v>74</v>
      </c>
      <c r="AY222" s="1" t="s">
        <v>74</v>
      </c>
      <c r="AZ222" s="1" t="s">
        <v>74</v>
      </c>
      <c r="BA222" s="1" t="s">
        <v>74</v>
      </c>
      <c r="BB222" s="1" t="s">
        <v>74</v>
      </c>
      <c r="BC222" s="1" t="s">
        <v>74</v>
      </c>
      <c r="BD222" s="1">
        <v>474</v>
      </c>
      <c r="BE222" s="1" t="s">
        <v>2473</v>
      </c>
      <c r="BF222" s="1" t="str">
        <f>HYPERLINK("http://dx.doi.org/10.3389/fpsyg.2014.00474","http://dx.doi.org/10.3389/fpsyg.2014.00474")</f>
        <v>http://dx.doi.org/10.3389/fpsyg.2014.00474</v>
      </c>
      <c r="BG222" s="1" t="s">
        <v>74</v>
      </c>
      <c r="BH222" s="1" t="s">
        <v>74</v>
      </c>
      <c r="BI222" s="1">
        <v>9</v>
      </c>
      <c r="BJ222" s="1" t="s">
        <v>311</v>
      </c>
      <c r="BK222" s="1" t="s">
        <v>101</v>
      </c>
      <c r="BL222" s="1" t="s">
        <v>102</v>
      </c>
      <c r="BM222" s="1" t="s">
        <v>2474</v>
      </c>
      <c r="BN222" s="1">
        <v>24904488</v>
      </c>
      <c r="BO222" s="1" t="s">
        <v>2294</v>
      </c>
      <c r="BP222" s="1" t="s">
        <v>74</v>
      </c>
      <c r="BQ222" s="1" t="s">
        <v>74</v>
      </c>
      <c r="BR222" s="1" t="s">
        <v>104</v>
      </c>
      <c r="BS222" s="1" t="s">
        <v>2475</v>
      </c>
      <c r="BT222" s="1" t="str">
        <f>HYPERLINK("https%3A%2F%2Fwww.webofscience.com%2Fwos%2Fwoscc%2Ffull-record%2FWOS:000336089000001","View Full Record in Web of Science")</f>
        <v>View Full Record in Web of Science</v>
      </c>
      <c r="BU222" s="1" t="s">
        <v>3776</v>
      </c>
      <c r="BV222" s="1" t="s">
        <v>10653</v>
      </c>
    </row>
    <row r="223" spans="1:75" ht="409.5" x14ac:dyDescent="0.35">
      <c r="A223" s="1" t="s">
        <v>72</v>
      </c>
      <c r="B223" s="1" t="s">
        <v>2476</v>
      </c>
      <c r="C223" s="1" t="s">
        <v>74</v>
      </c>
      <c r="D223" s="1" t="s">
        <v>74</v>
      </c>
      <c r="E223" s="1" t="s">
        <v>74</v>
      </c>
      <c r="F223" s="1" t="s">
        <v>2477</v>
      </c>
      <c r="G223" s="1" t="s">
        <v>74</v>
      </c>
      <c r="H223" s="1" t="s">
        <v>74</v>
      </c>
      <c r="I223" s="1" t="s">
        <v>2478</v>
      </c>
      <c r="J223" s="1" t="s">
        <v>2479</v>
      </c>
      <c r="K223" s="1" t="s">
        <v>74</v>
      </c>
      <c r="L223" s="1" t="s">
        <v>74</v>
      </c>
      <c r="M223" s="1" t="s">
        <v>78</v>
      </c>
      <c r="N223" s="1" t="s">
        <v>79</v>
      </c>
      <c r="O223" s="1" t="s">
        <v>74</v>
      </c>
      <c r="P223" s="1" t="s">
        <v>74</v>
      </c>
      <c r="Q223" s="1" t="s">
        <v>74</v>
      </c>
      <c r="R223" s="1" t="s">
        <v>74</v>
      </c>
      <c r="S223" s="1" t="s">
        <v>74</v>
      </c>
      <c r="T223" s="1" t="s">
        <v>2480</v>
      </c>
      <c r="U223" s="1" t="s">
        <v>2481</v>
      </c>
      <c r="V223" s="1" t="s">
        <v>2482</v>
      </c>
      <c r="W223" s="1" t="s">
        <v>2483</v>
      </c>
      <c r="X223" s="1" t="s">
        <v>2484</v>
      </c>
      <c r="Y223" s="1" t="s">
        <v>2485</v>
      </c>
      <c r="Z223" s="1" t="s">
        <v>2486</v>
      </c>
      <c r="AA223" s="1" t="s">
        <v>2487</v>
      </c>
      <c r="AB223" s="1" t="s">
        <v>2488</v>
      </c>
      <c r="AC223" s="1" t="s">
        <v>74</v>
      </c>
      <c r="AD223" s="1" t="s">
        <v>74</v>
      </c>
      <c r="AE223" s="1" t="s">
        <v>74</v>
      </c>
      <c r="AF223" s="1" t="s">
        <v>74</v>
      </c>
      <c r="AG223" s="1">
        <v>60</v>
      </c>
      <c r="AH223" s="1">
        <v>162</v>
      </c>
      <c r="AI223" s="1">
        <v>163</v>
      </c>
      <c r="AJ223" s="1">
        <v>15</v>
      </c>
      <c r="AK223" s="1">
        <v>97</v>
      </c>
      <c r="AL223" s="1" t="s">
        <v>446</v>
      </c>
      <c r="AM223" s="1" t="s">
        <v>447</v>
      </c>
      <c r="AN223" s="1" t="s">
        <v>448</v>
      </c>
      <c r="AO223" s="1" t="s">
        <v>2489</v>
      </c>
      <c r="AP223" s="1" t="s">
        <v>74</v>
      </c>
      <c r="AQ223" s="1" t="s">
        <v>74</v>
      </c>
      <c r="AR223" s="1" t="s">
        <v>2490</v>
      </c>
      <c r="AS223" s="1" t="s">
        <v>2491</v>
      </c>
      <c r="AT223" s="1" t="s">
        <v>330</v>
      </c>
      <c r="AU223" s="1">
        <v>2014</v>
      </c>
      <c r="AV223" s="1">
        <v>25</v>
      </c>
      <c r="AW223" s="1">
        <v>2</v>
      </c>
      <c r="AX223" s="1" t="s">
        <v>74</v>
      </c>
      <c r="AY223" s="1" t="s">
        <v>74</v>
      </c>
      <c r="AZ223" s="1" t="s">
        <v>74</v>
      </c>
      <c r="BA223" s="1" t="s">
        <v>74</v>
      </c>
      <c r="BB223" s="1">
        <v>458</v>
      </c>
      <c r="BC223" s="1">
        <v>478</v>
      </c>
      <c r="BD223" s="1" t="s">
        <v>74</v>
      </c>
      <c r="BE223" s="1" t="s">
        <v>2492</v>
      </c>
      <c r="BF223" s="1" t="str">
        <f>HYPERLINK("http://dx.doi.org/10.1287/orsc.2013.0843","http://dx.doi.org/10.1287/orsc.2013.0843")</f>
        <v>http://dx.doi.org/10.1287/orsc.2013.0843</v>
      </c>
      <c r="BG223" s="1" t="s">
        <v>74</v>
      </c>
      <c r="BH223" s="1" t="s">
        <v>74</v>
      </c>
      <c r="BI223" s="1">
        <v>21</v>
      </c>
      <c r="BJ223" s="1" t="s">
        <v>2493</v>
      </c>
      <c r="BK223" s="1" t="s">
        <v>101</v>
      </c>
      <c r="BL223" s="1" t="s">
        <v>154</v>
      </c>
      <c r="BM223" s="1" t="s">
        <v>2494</v>
      </c>
      <c r="BN223" s="1" t="s">
        <v>74</v>
      </c>
      <c r="BO223" s="1" t="s">
        <v>74</v>
      </c>
      <c r="BP223" s="1" t="s">
        <v>74</v>
      </c>
      <c r="BQ223" s="1" t="s">
        <v>74</v>
      </c>
      <c r="BR223" s="1" t="s">
        <v>104</v>
      </c>
      <c r="BS223" s="1" t="s">
        <v>2495</v>
      </c>
      <c r="BT223" s="1" t="str">
        <f>HYPERLINK("https%3A%2F%2Fwww.webofscience.com%2Fwos%2Fwoscc%2Ffull-record%2FWOS:000332840000008","View Full Record in Web of Science")</f>
        <v>View Full Record in Web of Science</v>
      </c>
      <c r="BU223" s="1" t="s">
        <v>3776</v>
      </c>
      <c r="BV223" s="1" t="s">
        <v>6080</v>
      </c>
      <c r="BW223" s="1" t="s">
        <v>6080</v>
      </c>
    </row>
    <row r="224" spans="1:75" ht="290" x14ac:dyDescent="0.35">
      <c r="A224" s="1" t="s">
        <v>72</v>
      </c>
      <c r="B224" s="1" t="s">
        <v>2496</v>
      </c>
      <c r="C224" s="1" t="s">
        <v>74</v>
      </c>
      <c r="D224" s="1" t="s">
        <v>74</v>
      </c>
      <c r="E224" s="1" t="s">
        <v>74</v>
      </c>
      <c r="F224" s="1" t="s">
        <v>2497</v>
      </c>
      <c r="G224" s="1" t="s">
        <v>74</v>
      </c>
      <c r="H224" s="1" t="s">
        <v>74</v>
      </c>
      <c r="I224" s="1" t="s">
        <v>2498</v>
      </c>
      <c r="J224" s="1" t="s">
        <v>1769</v>
      </c>
      <c r="K224" s="1" t="s">
        <v>74</v>
      </c>
      <c r="L224" s="1" t="s">
        <v>74</v>
      </c>
      <c r="M224" s="1" t="s">
        <v>78</v>
      </c>
      <c r="N224" s="1" t="s">
        <v>79</v>
      </c>
      <c r="O224" s="1" t="s">
        <v>74</v>
      </c>
      <c r="P224" s="1" t="s">
        <v>74</v>
      </c>
      <c r="Q224" s="1" t="s">
        <v>74</v>
      </c>
      <c r="R224" s="1" t="s">
        <v>74</v>
      </c>
      <c r="S224" s="1" t="s">
        <v>74</v>
      </c>
      <c r="T224" s="1" t="s">
        <v>2499</v>
      </c>
      <c r="U224" s="1" t="s">
        <v>2500</v>
      </c>
      <c r="V224" s="1" t="s">
        <v>2501</v>
      </c>
      <c r="W224" s="1" t="s">
        <v>2502</v>
      </c>
      <c r="X224" s="1" t="s">
        <v>2503</v>
      </c>
      <c r="Y224" s="1" t="s">
        <v>1491</v>
      </c>
      <c r="Z224" s="1" t="s">
        <v>2504</v>
      </c>
      <c r="AA224" s="1" t="s">
        <v>1509</v>
      </c>
      <c r="AB224" s="1" t="s">
        <v>2505</v>
      </c>
      <c r="AC224" s="1" t="s">
        <v>74</v>
      </c>
      <c r="AD224" s="1" t="s">
        <v>74</v>
      </c>
      <c r="AE224" s="1" t="s">
        <v>74</v>
      </c>
      <c r="AF224" s="1" t="s">
        <v>74</v>
      </c>
      <c r="AG224" s="1">
        <v>48</v>
      </c>
      <c r="AH224" s="1">
        <v>230</v>
      </c>
      <c r="AI224" s="1">
        <v>234</v>
      </c>
      <c r="AJ224" s="1">
        <v>3</v>
      </c>
      <c r="AK224" s="1">
        <v>67</v>
      </c>
      <c r="AL224" s="1" t="s">
        <v>144</v>
      </c>
      <c r="AM224" s="1" t="s">
        <v>145</v>
      </c>
      <c r="AN224" s="1" t="s">
        <v>146</v>
      </c>
      <c r="AO224" s="1" t="s">
        <v>1775</v>
      </c>
      <c r="AP224" s="1" t="s">
        <v>1776</v>
      </c>
      <c r="AQ224" s="1" t="s">
        <v>74</v>
      </c>
      <c r="AR224" s="1" t="s">
        <v>1777</v>
      </c>
      <c r="AS224" s="1" t="s">
        <v>1778</v>
      </c>
      <c r="AT224" s="1" t="s">
        <v>363</v>
      </c>
      <c r="AU224" s="1">
        <v>2014</v>
      </c>
      <c r="AV224" s="1">
        <v>33</v>
      </c>
      <c r="AW224" s="1">
        <v>2</v>
      </c>
      <c r="AX224" s="1" t="s">
        <v>74</v>
      </c>
      <c r="AY224" s="1" t="s">
        <v>74</v>
      </c>
      <c r="AZ224" s="1" t="s">
        <v>74</v>
      </c>
      <c r="BA224" s="1" t="s">
        <v>74</v>
      </c>
      <c r="BB224" s="1">
        <v>125</v>
      </c>
      <c r="BC224" s="1">
        <v>143</v>
      </c>
      <c r="BD224" s="1" t="s">
        <v>74</v>
      </c>
      <c r="BE224" s="1" t="s">
        <v>2506</v>
      </c>
      <c r="BF224" s="1" t="str">
        <f>HYPERLINK("http://dx.doi.org/10.1177/0261927X13502654","http://dx.doi.org/10.1177/0261927X13502654")</f>
        <v>http://dx.doi.org/10.1177/0261927X13502654</v>
      </c>
      <c r="BG224" s="1" t="s">
        <v>74</v>
      </c>
      <c r="BH224" s="1" t="s">
        <v>74</v>
      </c>
      <c r="BI224" s="1">
        <v>19</v>
      </c>
      <c r="BJ224" s="1" t="s">
        <v>1780</v>
      </c>
      <c r="BK224" s="1" t="s">
        <v>101</v>
      </c>
      <c r="BL224" s="1" t="s">
        <v>1781</v>
      </c>
      <c r="BM224" s="1" t="s">
        <v>2507</v>
      </c>
      <c r="BN224" s="1" t="s">
        <v>74</v>
      </c>
      <c r="BO224" s="1" t="s">
        <v>74</v>
      </c>
      <c r="BP224" s="1" t="s">
        <v>74</v>
      </c>
      <c r="BQ224" s="1" t="s">
        <v>74</v>
      </c>
      <c r="BR224" s="1" t="s">
        <v>104</v>
      </c>
      <c r="BS224" s="1" t="s">
        <v>2508</v>
      </c>
      <c r="BT224" s="1" t="str">
        <f>HYPERLINK("https%3A%2F%2Fwww.webofscience.com%2Fwos%2Fwoscc%2Ffull-record%2FWOS:000331372200003","View Full Record in Web of Science")</f>
        <v>View Full Record in Web of Science</v>
      </c>
      <c r="BU224" s="1" t="s">
        <v>3776</v>
      </c>
      <c r="BV224" s="1" t="s">
        <v>10653</v>
      </c>
    </row>
    <row r="225" spans="1:75" ht="290" x14ac:dyDescent="0.35">
      <c r="A225" s="1" t="s">
        <v>72</v>
      </c>
      <c r="B225" s="1" t="s">
        <v>2509</v>
      </c>
      <c r="C225" s="1" t="s">
        <v>74</v>
      </c>
      <c r="D225" s="1" t="s">
        <v>74</v>
      </c>
      <c r="E225" s="1" t="s">
        <v>74</v>
      </c>
      <c r="F225" s="1" t="s">
        <v>2510</v>
      </c>
      <c r="G225" s="1" t="s">
        <v>74</v>
      </c>
      <c r="H225" s="1" t="s">
        <v>74</v>
      </c>
      <c r="I225" s="1" t="s">
        <v>2511</v>
      </c>
      <c r="J225" s="1" t="s">
        <v>1303</v>
      </c>
      <c r="K225" s="1" t="s">
        <v>74</v>
      </c>
      <c r="L225" s="1" t="s">
        <v>74</v>
      </c>
      <c r="M225" s="1" t="s">
        <v>78</v>
      </c>
      <c r="N225" s="1" t="s">
        <v>79</v>
      </c>
      <c r="O225" s="1" t="s">
        <v>74</v>
      </c>
      <c r="P225" s="1" t="s">
        <v>74</v>
      </c>
      <c r="Q225" s="1" t="s">
        <v>74</v>
      </c>
      <c r="R225" s="1" t="s">
        <v>74</v>
      </c>
      <c r="S225" s="1" t="s">
        <v>74</v>
      </c>
      <c r="T225" s="1" t="s">
        <v>2512</v>
      </c>
      <c r="U225" s="1" t="s">
        <v>2513</v>
      </c>
      <c r="V225" s="1" t="s">
        <v>2514</v>
      </c>
      <c r="W225" s="1" t="s">
        <v>2515</v>
      </c>
      <c r="X225" s="1" t="s">
        <v>2516</v>
      </c>
      <c r="Y225" s="1" t="s">
        <v>2517</v>
      </c>
      <c r="Z225" s="1" t="s">
        <v>2518</v>
      </c>
      <c r="AA225" s="1" t="s">
        <v>74</v>
      </c>
      <c r="AB225" s="1" t="s">
        <v>2519</v>
      </c>
      <c r="AC225" s="1" t="s">
        <v>74</v>
      </c>
      <c r="AD225" s="1" t="s">
        <v>74</v>
      </c>
      <c r="AE225" s="1" t="s">
        <v>74</v>
      </c>
      <c r="AF225" s="1" t="s">
        <v>74</v>
      </c>
      <c r="AG225" s="1">
        <v>38</v>
      </c>
      <c r="AH225" s="1">
        <v>51</v>
      </c>
      <c r="AI225" s="1">
        <v>52</v>
      </c>
      <c r="AJ225" s="1">
        <v>0</v>
      </c>
      <c r="AK225" s="1">
        <v>6</v>
      </c>
      <c r="AL225" s="1" t="s">
        <v>144</v>
      </c>
      <c r="AM225" s="1" t="s">
        <v>145</v>
      </c>
      <c r="AN225" s="1" t="s">
        <v>146</v>
      </c>
      <c r="AO225" s="1" t="s">
        <v>1311</v>
      </c>
      <c r="AP225" s="1" t="s">
        <v>1312</v>
      </c>
      <c r="AQ225" s="1" t="s">
        <v>74</v>
      </c>
      <c r="AR225" s="1" t="s">
        <v>1313</v>
      </c>
      <c r="AS225" s="1" t="s">
        <v>1314</v>
      </c>
      <c r="AT225" s="1" t="s">
        <v>363</v>
      </c>
      <c r="AU225" s="1">
        <v>2014</v>
      </c>
      <c r="AV225" s="1">
        <v>5</v>
      </c>
      <c r="AW225" s="1">
        <v>2</v>
      </c>
      <c r="AX225" s="1" t="s">
        <v>74</v>
      </c>
      <c r="AY225" s="1" t="s">
        <v>74</v>
      </c>
      <c r="AZ225" s="1" t="s">
        <v>74</v>
      </c>
      <c r="BA225" s="1" t="s">
        <v>74</v>
      </c>
      <c r="BB225" s="1">
        <v>243</v>
      </c>
      <c r="BC225" s="1">
        <v>249</v>
      </c>
      <c r="BD225" s="1" t="s">
        <v>74</v>
      </c>
      <c r="BE225" s="1" t="s">
        <v>2520</v>
      </c>
      <c r="BF225" s="1" t="str">
        <f>HYPERLINK("http://dx.doi.org/10.1177/1948550613492345","http://dx.doi.org/10.1177/1948550613492345")</f>
        <v>http://dx.doi.org/10.1177/1948550613492345</v>
      </c>
      <c r="BG225" s="1" t="s">
        <v>74</v>
      </c>
      <c r="BH225" s="1" t="s">
        <v>74</v>
      </c>
      <c r="BI225" s="1">
        <v>7</v>
      </c>
      <c r="BJ225" s="1" t="s">
        <v>100</v>
      </c>
      <c r="BK225" s="1" t="s">
        <v>101</v>
      </c>
      <c r="BL225" s="1" t="s">
        <v>102</v>
      </c>
      <c r="BM225" s="1" t="s">
        <v>2521</v>
      </c>
      <c r="BN225" s="1" t="s">
        <v>74</v>
      </c>
      <c r="BO225" s="1" t="s">
        <v>74</v>
      </c>
      <c r="BP225" s="1" t="s">
        <v>74</v>
      </c>
      <c r="BQ225" s="1" t="s">
        <v>74</v>
      </c>
      <c r="BR225" s="1" t="s">
        <v>104</v>
      </c>
      <c r="BS225" s="1" t="s">
        <v>2522</v>
      </c>
      <c r="BT225" s="1" t="str">
        <f>HYPERLINK("https%3A%2F%2Fwww.webofscience.com%2Fwos%2Fwoscc%2Ffull-record%2FWOS:000336437600014","View Full Record in Web of Science")</f>
        <v>View Full Record in Web of Science</v>
      </c>
      <c r="BU225" s="1" t="s">
        <v>3776</v>
      </c>
      <c r="BV225" s="1" t="s">
        <v>10653</v>
      </c>
    </row>
    <row r="226" spans="1:75" ht="290" x14ac:dyDescent="0.35">
      <c r="A226" s="1" t="s">
        <v>72</v>
      </c>
      <c r="B226" s="1" t="s">
        <v>2523</v>
      </c>
      <c r="C226" s="1" t="s">
        <v>74</v>
      </c>
      <c r="D226" s="1" t="s">
        <v>74</v>
      </c>
      <c r="E226" s="1" t="s">
        <v>74</v>
      </c>
      <c r="F226" s="1" t="s">
        <v>2524</v>
      </c>
      <c r="G226" s="1" t="s">
        <v>74</v>
      </c>
      <c r="H226" s="1" t="s">
        <v>74</v>
      </c>
      <c r="I226" s="1" t="s">
        <v>2525</v>
      </c>
      <c r="J226" s="1" t="s">
        <v>2526</v>
      </c>
      <c r="K226" s="1" t="s">
        <v>74</v>
      </c>
      <c r="L226" s="1" t="s">
        <v>74</v>
      </c>
      <c r="M226" s="1" t="s">
        <v>78</v>
      </c>
      <c r="N226" s="1" t="s">
        <v>79</v>
      </c>
      <c r="O226" s="1" t="s">
        <v>74</v>
      </c>
      <c r="P226" s="1" t="s">
        <v>74</v>
      </c>
      <c r="Q226" s="1" t="s">
        <v>74</v>
      </c>
      <c r="R226" s="1" t="s">
        <v>74</v>
      </c>
      <c r="S226" s="1" t="s">
        <v>74</v>
      </c>
      <c r="T226" s="1" t="s">
        <v>2527</v>
      </c>
      <c r="U226" s="1" t="s">
        <v>2528</v>
      </c>
      <c r="V226" s="1" t="s">
        <v>2529</v>
      </c>
      <c r="W226" s="1" t="s">
        <v>2530</v>
      </c>
      <c r="X226" s="1" t="s">
        <v>321</v>
      </c>
      <c r="Y226" s="1" t="s">
        <v>2531</v>
      </c>
      <c r="Z226" s="1" t="s">
        <v>2532</v>
      </c>
      <c r="AA226" s="1" t="s">
        <v>74</v>
      </c>
      <c r="AB226" s="1" t="s">
        <v>74</v>
      </c>
      <c r="AC226" s="1" t="s">
        <v>2533</v>
      </c>
      <c r="AD226" s="1" t="s">
        <v>2534</v>
      </c>
      <c r="AE226" s="1" t="s">
        <v>74</v>
      </c>
      <c r="AF226" s="1" t="s">
        <v>74</v>
      </c>
      <c r="AG226" s="1">
        <v>41</v>
      </c>
      <c r="AH226" s="1">
        <v>37</v>
      </c>
      <c r="AI226" s="1">
        <v>37</v>
      </c>
      <c r="AJ226" s="1">
        <v>0</v>
      </c>
      <c r="AK226" s="1">
        <v>13</v>
      </c>
      <c r="AL226" s="1" t="s">
        <v>206</v>
      </c>
      <c r="AM226" s="1" t="s">
        <v>207</v>
      </c>
      <c r="AN226" s="1" t="s">
        <v>208</v>
      </c>
      <c r="AO226" s="1" t="s">
        <v>2535</v>
      </c>
      <c r="AP226" s="1" t="s">
        <v>2536</v>
      </c>
      <c r="AQ226" s="1" t="s">
        <v>74</v>
      </c>
      <c r="AR226" s="1" t="s">
        <v>2537</v>
      </c>
      <c r="AS226" s="1" t="s">
        <v>2538</v>
      </c>
      <c r="AT226" s="1" t="s">
        <v>177</v>
      </c>
      <c r="AU226" s="1">
        <v>2014</v>
      </c>
      <c r="AV226" s="1">
        <v>18</v>
      </c>
      <c r="AW226" s="1">
        <v>1</v>
      </c>
      <c r="AX226" s="1" t="s">
        <v>74</v>
      </c>
      <c r="AY226" s="1" t="s">
        <v>74</v>
      </c>
      <c r="AZ226" s="1" t="s">
        <v>74</v>
      </c>
      <c r="BA226" s="1" t="s">
        <v>74</v>
      </c>
      <c r="BB226" s="1">
        <v>3</v>
      </c>
      <c r="BC226" s="1">
        <v>31</v>
      </c>
      <c r="BD226" s="1" t="s">
        <v>74</v>
      </c>
      <c r="BE226" s="1" t="s">
        <v>2539</v>
      </c>
      <c r="BF226" s="1" t="str">
        <f>HYPERLINK("http://dx.doi.org/10.1111/josl.12062","http://dx.doi.org/10.1111/josl.12062")</f>
        <v>http://dx.doi.org/10.1111/josl.12062</v>
      </c>
      <c r="BG226" s="1" t="s">
        <v>74</v>
      </c>
      <c r="BH226" s="1" t="s">
        <v>74</v>
      </c>
      <c r="BI226" s="1">
        <v>29</v>
      </c>
      <c r="BJ226" s="1" t="s">
        <v>2540</v>
      </c>
      <c r="BK226" s="1" t="s">
        <v>1532</v>
      </c>
      <c r="BL226" s="1" t="s">
        <v>2540</v>
      </c>
      <c r="BM226" s="1" t="s">
        <v>2541</v>
      </c>
      <c r="BN226" s="1" t="s">
        <v>74</v>
      </c>
      <c r="BO226" s="1" t="s">
        <v>74</v>
      </c>
      <c r="BP226" s="1" t="s">
        <v>74</v>
      </c>
      <c r="BQ226" s="1" t="s">
        <v>74</v>
      </c>
      <c r="BR226" s="1" t="s">
        <v>104</v>
      </c>
      <c r="BS226" s="1" t="s">
        <v>2542</v>
      </c>
      <c r="BT226" s="1" t="str">
        <f>HYPERLINK("https%3A%2F%2Fwww.webofscience.com%2Fwos%2Fwoscc%2Ffull-record%2FWOS:000332844800001","View Full Record in Web of Science")</f>
        <v>View Full Record in Web of Science</v>
      </c>
      <c r="BU226" s="1" t="s">
        <v>3776</v>
      </c>
      <c r="BV226" s="1" t="s">
        <v>10653</v>
      </c>
    </row>
    <row r="227" spans="1:75" ht="188.5" x14ac:dyDescent="0.35">
      <c r="A227" s="1" t="s">
        <v>72</v>
      </c>
      <c r="B227" s="1" t="s">
        <v>2543</v>
      </c>
      <c r="C227" s="1" t="s">
        <v>74</v>
      </c>
      <c r="D227" s="1" t="s">
        <v>74</v>
      </c>
      <c r="E227" s="1" t="s">
        <v>74</v>
      </c>
      <c r="F227" s="1" t="s">
        <v>2544</v>
      </c>
      <c r="G227" s="1" t="s">
        <v>74</v>
      </c>
      <c r="H227" s="1" t="s">
        <v>74</v>
      </c>
      <c r="I227" s="1" t="s">
        <v>2545</v>
      </c>
      <c r="J227" s="1" t="s">
        <v>2546</v>
      </c>
      <c r="K227" s="1" t="s">
        <v>74</v>
      </c>
      <c r="L227" s="1" t="s">
        <v>74</v>
      </c>
      <c r="M227" s="1" t="s">
        <v>78</v>
      </c>
      <c r="N227" s="1" t="s">
        <v>79</v>
      </c>
      <c r="O227" s="1" t="s">
        <v>74</v>
      </c>
      <c r="P227" s="1" t="s">
        <v>74</v>
      </c>
      <c r="Q227" s="1" t="s">
        <v>74</v>
      </c>
      <c r="R227" s="1" t="s">
        <v>74</v>
      </c>
      <c r="S227" s="1" t="s">
        <v>74</v>
      </c>
      <c r="T227" s="1" t="s">
        <v>74</v>
      </c>
      <c r="U227" s="1" t="s">
        <v>74</v>
      </c>
      <c r="V227" s="1" t="s">
        <v>2547</v>
      </c>
      <c r="W227" s="1" t="s">
        <v>2548</v>
      </c>
      <c r="X227" s="1" t="s">
        <v>2549</v>
      </c>
      <c r="Y227" s="1" t="s">
        <v>2550</v>
      </c>
      <c r="Z227" s="1" t="s">
        <v>2551</v>
      </c>
      <c r="AA227" s="1" t="s">
        <v>74</v>
      </c>
      <c r="AB227" s="1" t="s">
        <v>74</v>
      </c>
      <c r="AC227" s="1" t="s">
        <v>74</v>
      </c>
      <c r="AD227" s="1" t="s">
        <v>74</v>
      </c>
      <c r="AE227" s="1" t="s">
        <v>74</v>
      </c>
      <c r="AF227" s="1" t="s">
        <v>74</v>
      </c>
      <c r="AG227" s="1">
        <v>24</v>
      </c>
      <c r="AH227" s="1">
        <v>111</v>
      </c>
      <c r="AI227" s="1">
        <v>114</v>
      </c>
      <c r="AJ227" s="1">
        <v>1</v>
      </c>
      <c r="AK227" s="1">
        <v>88</v>
      </c>
      <c r="AL227" s="1" t="s">
        <v>2552</v>
      </c>
      <c r="AM227" s="1" t="s">
        <v>2553</v>
      </c>
      <c r="AN227" s="1" t="s">
        <v>2554</v>
      </c>
      <c r="AO227" s="1" t="s">
        <v>2555</v>
      </c>
      <c r="AP227" s="1" t="s">
        <v>74</v>
      </c>
      <c r="AQ227" s="1" t="s">
        <v>74</v>
      </c>
      <c r="AR227" s="1" t="s">
        <v>2556</v>
      </c>
      <c r="AS227" s="1" t="s">
        <v>2557</v>
      </c>
      <c r="AT227" s="1" t="s">
        <v>74</v>
      </c>
      <c r="AU227" s="1">
        <v>2014</v>
      </c>
      <c r="AV227" s="1">
        <v>8</v>
      </c>
      <c r="AW227" s="1" t="s">
        <v>74</v>
      </c>
      <c r="AX227" s="1" t="s">
        <v>74</v>
      </c>
      <c r="AY227" s="1" t="s">
        <v>74</v>
      </c>
      <c r="AZ227" s="1" t="s">
        <v>74</v>
      </c>
      <c r="BA227" s="1" t="s">
        <v>74</v>
      </c>
      <c r="BB227" s="1">
        <v>1663</v>
      </c>
      <c r="BC227" s="1">
        <v>1672</v>
      </c>
      <c r="BD227" s="1" t="s">
        <v>74</v>
      </c>
      <c r="BE227" s="1" t="s">
        <v>74</v>
      </c>
      <c r="BF227" s="1" t="s">
        <v>74</v>
      </c>
      <c r="BG227" s="1" t="s">
        <v>74</v>
      </c>
      <c r="BH227" s="1" t="s">
        <v>74</v>
      </c>
      <c r="BI227" s="1">
        <v>10</v>
      </c>
      <c r="BJ227" s="1" t="s">
        <v>1016</v>
      </c>
      <c r="BK227" s="1" t="s">
        <v>101</v>
      </c>
      <c r="BL227" s="1" t="s">
        <v>1016</v>
      </c>
      <c r="BM227" s="1" t="s">
        <v>2558</v>
      </c>
      <c r="BN227" s="1" t="s">
        <v>74</v>
      </c>
      <c r="BO227" s="1" t="s">
        <v>74</v>
      </c>
      <c r="BP227" s="1" t="s">
        <v>74</v>
      </c>
      <c r="BQ227" s="1" t="s">
        <v>74</v>
      </c>
      <c r="BR227" s="1" t="s">
        <v>104</v>
      </c>
      <c r="BS227" s="1" t="s">
        <v>2559</v>
      </c>
      <c r="BT227" s="1" t="str">
        <f>HYPERLINK("https%3A%2F%2Fwww.webofscience.com%2Fwos%2Fwoscc%2Ffull-record%2FWOS:000349010500016","View Full Record in Web of Science")</f>
        <v>View Full Record in Web of Science</v>
      </c>
      <c r="BU227" s="1" t="s">
        <v>3776</v>
      </c>
      <c r="BV227" s="1" t="s">
        <v>10653</v>
      </c>
    </row>
    <row r="228" spans="1:75" ht="409.5" x14ac:dyDescent="0.35">
      <c r="A228" s="1" t="s">
        <v>72</v>
      </c>
      <c r="B228" s="1" t="s">
        <v>2560</v>
      </c>
      <c r="C228" s="1" t="s">
        <v>74</v>
      </c>
      <c r="D228" s="1" t="s">
        <v>74</v>
      </c>
      <c r="E228" s="1" t="s">
        <v>74</v>
      </c>
      <c r="F228" s="1" t="s">
        <v>2561</v>
      </c>
      <c r="G228" s="1" t="s">
        <v>74</v>
      </c>
      <c r="H228" s="1" t="s">
        <v>74</v>
      </c>
      <c r="I228" s="1" t="s">
        <v>2562</v>
      </c>
      <c r="J228" s="1" t="s">
        <v>2563</v>
      </c>
      <c r="K228" s="1" t="s">
        <v>74</v>
      </c>
      <c r="L228" s="1" t="s">
        <v>74</v>
      </c>
      <c r="M228" s="1" t="s">
        <v>78</v>
      </c>
      <c r="N228" s="1" t="s">
        <v>79</v>
      </c>
      <c r="O228" s="1" t="s">
        <v>74</v>
      </c>
      <c r="P228" s="1" t="s">
        <v>74</v>
      </c>
      <c r="Q228" s="1" t="s">
        <v>74</v>
      </c>
      <c r="R228" s="1" t="s">
        <v>74</v>
      </c>
      <c r="S228" s="1" t="s">
        <v>74</v>
      </c>
      <c r="T228" s="1" t="s">
        <v>2564</v>
      </c>
      <c r="U228" s="1" t="s">
        <v>2565</v>
      </c>
      <c r="V228" s="1" t="s">
        <v>2566</v>
      </c>
      <c r="W228" s="1" t="s">
        <v>2567</v>
      </c>
      <c r="X228" s="1" t="s">
        <v>2568</v>
      </c>
      <c r="Y228" s="1" t="s">
        <v>2569</v>
      </c>
      <c r="Z228" s="1" t="s">
        <v>2570</v>
      </c>
      <c r="AA228" s="1" t="s">
        <v>2571</v>
      </c>
      <c r="AB228" s="1" t="s">
        <v>2572</v>
      </c>
      <c r="AC228" s="1" t="s">
        <v>74</v>
      </c>
      <c r="AD228" s="1" t="s">
        <v>74</v>
      </c>
      <c r="AE228" s="1" t="s">
        <v>74</v>
      </c>
      <c r="AF228" s="1" t="s">
        <v>74</v>
      </c>
      <c r="AG228" s="1">
        <v>88</v>
      </c>
      <c r="AH228" s="1">
        <v>107</v>
      </c>
      <c r="AI228" s="1">
        <v>109</v>
      </c>
      <c r="AJ228" s="1">
        <v>0</v>
      </c>
      <c r="AK228" s="1">
        <v>51</v>
      </c>
      <c r="AL228" s="1" t="s">
        <v>1982</v>
      </c>
      <c r="AM228" s="1" t="s">
        <v>1983</v>
      </c>
      <c r="AN228" s="1" t="s">
        <v>2573</v>
      </c>
      <c r="AO228" s="1" t="s">
        <v>2574</v>
      </c>
      <c r="AP228" s="1" t="s">
        <v>2575</v>
      </c>
      <c r="AQ228" s="1" t="s">
        <v>74</v>
      </c>
      <c r="AR228" s="1" t="s">
        <v>2576</v>
      </c>
      <c r="AS228" s="1" t="s">
        <v>2577</v>
      </c>
      <c r="AT228" s="1" t="s">
        <v>74</v>
      </c>
      <c r="AU228" s="1">
        <v>2014</v>
      </c>
      <c r="AV228" s="1">
        <v>27</v>
      </c>
      <c r="AW228" s="1">
        <v>7</v>
      </c>
      <c r="AX228" s="1" t="s">
        <v>74</v>
      </c>
      <c r="AY228" s="1" t="s">
        <v>74</v>
      </c>
      <c r="AZ228" s="1" t="s">
        <v>259</v>
      </c>
      <c r="BA228" s="1" t="s">
        <v>74</v>
      </c>
      <c r="BB228" s="1">
        <v>1157</v>
      </c>
      <c r="BC228" s="1">
        <v>1189</v>
      </c>
      <c r="BD228" s="1" t="s">
        <v>74</v>
      </c>
      <c r="BE228" s="1" t="s">
        <v>2578</v>
      </c>
      <c r="BF228" s="1" t="str">
        <f>HYPERLINK("http://dx.doi.org/10.1108/AAAJ-04-2013-1309","http://dx.doi.org/10.1108/AAAJ-04-2013-1309")</f>
        <v>http://dx.doi.org/10.1108/AAAJ-04-2013-1309</v>
      </c>
      <c r="BG228" s="1" t="s">
        <v>74</v>
      </c>
      <c r="BH228" s="1" t="s">
        <v>74</v>
      </c>
      <c r="BI228" s="1">
        <v>33</v>
      </c>
      <c r="BJ228" s="1" t="s">
        <v>1125</v>
      </c>
      <c r="BK228" s="1" t="s">
        <v>101</v>
      </c>
      <c r="BL228" s="1" t="s">
        <v>154</v>
      </c>
      <c r="BM228" s="1" t="s">
        <v>2579</v>
      </c>
      <c r="BN228" s="1" t="s">
        <v>74</v>
      </c>
      <c r="BO228" s="1" t="s">
        <v>74</v>
      </c>
      <c r="BP228" s="1" t="s">
        <v>74</v>
      </c>
      <c r="BQ228" s="1" t="s">
        <v>74</v>
      </c>
      <c r="BR228" s="1" t="s">
        <v>104</v>
      </c>
      <c r="BS228" s="1" t="s">
        <v>2580</v>
      </c>
      <c r="BT228" s="1" t="str">
        <f>HYPERLINK("https%3A%2F%2Fwww.webofscience.com%2Fwos%2Fwoscc%2Ffull-record%2FWOS:000341642100005","View Full Record in Web of Science")</f>
        <v>View Full Record in Web of Science</v>
      </c>
      <c r="BU228" s="1" t="s">
        <v>3776</v>
      </c>
      <c r="BV228" s="1" t="s">
        <v>10653</v>
      </c>
    </row>
    <row r="229" spans="1:75" ht="409.5" x14ac:dyDescent="0.35">
      <c r="A229" s="1" t="s">
        <v>72</v>
      </c>
      <c r="B229" s="1" t="s">
        <v>3918</v>
      </c>
      <c r="C229" s="1" t="s">
        <v>74</v>
      </c>
      <c r="D229" s="1" t="s">
        <v>74</v>
      </c>
      <c r="E229" s="1" t="s">
        <v>74</v>
      </c>
      <c r="F229" s="1" t="s">
        <v>3919</v>
      </c>
      <c r="G229" s="1" t="s">
        <v>74</v>
      </c>
      <c r="H229" s="1" t="s">
        <v>74</v>
      </c>
      <c r="I229" s="1" t="s">
        <v>3920</v>
      </c>
      <c r="J229" s="1" t="s">
        <v>161</v>
      </c>
      <c r="K229" s="1" t="s">
        <v>74</v>
      </c>
      <c r="L229" s="1" t="s">
        <v>74</v>
      </c>
      <c r="M229" s="1" t="s">
        <v>78</v>
      </c>
      <c r="N229" s="1" t="s">
        <v>79</v>
      </c>
      <c r="O229" s="1" t="s">
        <v>74</v>
      </c>
      <c r="P229" s="1" t="s">
        <v>74</v>
      </c>
      <c r="Q229" s="1" t="s">
        <v>74</v>
      </c>
      <c r="R229" s="1" t="s">
        <v>74</v>
      </c>
      <c r="S229" s="1" t="s">
        <v>74</v>
      </c>
      <c r="T229" s="1" t="s">
        <v>74</v>
      </c>
      <c r="U229" s="1" t="s">
        <v>3921</v>
      </c>
      <c r="V229" s="1" t="s">
        <v>3922</v>
      </c>
      <c r="W229" s="1" t="s">
        <v>3923</v>
      </c>
      <c r="X229" s="1" t="s">
        <v>3924</v>
      </c>
      <c r="Y229" s="1" t="s">
        <v>3925</v>
      </c>
      <c r="Z229" s="1" t="s">
        <v>3926</v>
      </c>
      <c r="AA229" s="1" t="s">
        <v>3927</v>
      </c>
      <c r="AB229" s="1" t="s">
        <v>3928</v>
      </c>
      <c r="AC229" s="1" t="s">
        <v>74</v>
      </c>
      <c r="AD229" s="1" t="s">
        <v>74</v>
      </c>
      <c r="AE229" s="1" t="s">
        <v>74</v>
      </c>
      <c r="AF229" s="1" t="s">
        <v>74</v>
      </c>
      <c r="AG229" s="1">
        <v>83</v>
      </c>
      <c r="AH229" s="1">
        <v>86</v>
      </c>
      <c r="AI229" s="1">
        <v>88</v>
      </c>
      <c r="AJ229" s="1">
        <v>5</v>
      </c>
      <c r="AK229" s="1">
        <v>96</v>
      </c>
      <c r="AL229" s="1" t="s">
        <v>170</v>
      </c>
      <c r="AM229" s="1" t="s">
        <v>171</v>
      </c>
      <c r="AN229" s="1" t="s">
        <v>172</v>
      </c>
      <c r="AO229" s="1" t="s">
        <v>173</v>
      </c>
      <c r="AP229" s="1" t="s">
        <v>174</v>
      </c>
      <c r="AQ229" s="1" t="s">
        <v>74</v>
      </c>
      <c r="AR229" s="1" t="s">
        <v>175</v>
      </c>
      <c r="AS229" s="1" t="s">
        <v>176</v>
      </c>
      <c r="AT229" s="1" t="s">
        <v>348</v>
      </c>
      <c r="AU229" s="1">
        <v>2014</v>
      </c>
      <c r="AV229" s="1">
        <v>41</v>
      </c>
      <c r="AW229" s="1">
        <v>4</v>
      </c>
      <c r="AX229" s="1" t="s">
        <v>74</v>
      </c>
      <c r="AY229" s="1" t="s">
        <v>74</v>
      </c>
      <c r="AZ229" s="1" t="s">
        <v>74</v>
      </c>
      <c r="BA229" s="1" t="s">
        <v>74</v>
      </c>
      <c r="BB229" s="1">
        <v>995</v>
      </c>
      <c r="BC229" s="1">
        <v>1014</v>
      </c>
      <c r="BD229" s="1" t="s">
        <v>74</v>
      </c>
      <c r="BE229" s="1" t="s">
        <v>3929</v>
      </c>
      <c r="BF229" s="1" t="str">
        <f>HYPERLINK("http://dx.doi.org/10.1086/678034","http://dx.doi.org/10.1086/678034")</f>
        <v>http://dx.doi.org/10.1086/678034</v>
      </c>
      <c r="BG229" s="1" t="s">
        <v>74</v>
      </c>
      <c r="BH229" s="1" t="s">
        <v>74</v>
      </c>
      <c r="BI229" s="1">
        <v>20</v>
      </c>
      <c r="BJ229" s="1" t="s">
        <v>153</v>
      </c>
      <c r="BK229" s="1" t="s">
        <v>101</v>
      </c>
      <c r="BL229" s="1" t="s">
        <v>154</v>
      </c>
      <c r="BM229" s="1" t="s">
        <v>2428</v>
      </c>
      <c r="BN229" s="1" t="s">
        <v>74</v>
      </c>
      <c r="BO229" s="1" t="s">
        <v>74</v>
      </c>
      <c r="BP229" s="1" t="s">
        <v>74</v>
      </c>
      <c r="BQ229" s="1" t="s">
        <v>74</v>
      </c>
      <c r="BR229" s="1" t="s">
        <v>104</v>
      </c>
      <c r="BS229" s="1" t="s">
        <v>3930</v>
      </c>
      <c r="BT229" s="1" t="str">
        <f>HYPERLINK("https%3A%2F%2Fwww.webofscience.com%2Fwos%2Fwoscc%2Ffull-record%2FWOS:000345227600007","View Full Record in Web of Science")</f>
        <v>View Full Record in Web of Science</v>
      </c>
      <c r="BU229" s="1" t="s">
        <v>4172</v>
      </c>
      <c r="BV229" s="1" t="s">
        <v>6080</v>
      </c>
      <c r="BW229" s="1" t="s">
        <v>10653</v>
      </c>
    </row>
    <row r="230" spans="1:75" ht="188.5" x14ac:dyDescent="0.35">
      <c r="A230" s="1" t="s">
        <v>72</v>
      </c>
      <c r="B230" s="1" t="s">
        <v>3931</v>
      </c>
      <c r="C230" s="1" t="s">
        <v>74</v>
      </c>
      <c r="D230" s="1" t="s">
        <v>74</v>
      </c>
      <c r="E230" s="1" t="s">
        <v>74</v>
      </c>
      <c r="F230" s="1" t="s">
        <v>3932</v>
      </c>
      <c r="G230" s="1" t="s">
        <v>74</v>
      </c>
      <c r="H230" s="1" t="s">
        <v>74</v>
      </c>
      <c r="I230" s="1" t="s">
        <v>3933</v>
      </c>
      <c r="J230" s="1" t="s">
        <v>3934</v>
      </c>
      <c r="K230" s="1" t="s">
        <v>74</v>
      </c>
      <c r="L230" s="1" t="s">
        <v>74</v>
      </c>
      <c r="M230" s="1" t="s">
        <v>78</v>
      </c>
      <c r="N230" s="1" t="s">
        <v>1352</v>
      </c>
      <c r="O230" s="1" t="s">
        <v>74</v>
      </c>
      <c r="P230" s="1" t="s">
        <v>74</v>
      </c>
      <c r="Q230" s="1" t="s">
        <v>74</v>
      </c>
      <c r="R230" s="1" t="s">
        <v>74</v>
      </c>
      <c r="S230" s="1" t="s">
        <v>74</v>
      </c>
      <c r="T230" s="1" t="s">
        <v>74</v>
      </c>
      <c r="U230" s="1" t="s">
        <v>74</v>
      </c>
      <c r="V230" s="1" t="s">
        <v>3935</v>
      </c>
      <c r="W230" s="1" t="s">
        <v>3936</v>
      </c>
      <c r="X230" s="1" t="s">
        <v>3937</v>
      </c>
      <c r="Y230" s="1" t="s">
        <v>3938</v>
      </c>
      <c r="Z230" s="1" t="s">
        <v>3939</v>
      </c>
      <c r="AA230" s="1" t="s">
        <v>3940</v>
      </c>
      <c r="AB230" s="1" t="s">
        <v>3941</v>
      </c>
      <c r="AC230" s="1" t="s">
        <v>74</v>
      </c>
      <c r="AD230" s="1" t="s">
        <v>74</v>
      </c>
      <c r="AE230" s="1" t="s">
        <v>74</v>
      </c>
      <c r="AF230" s="1" t="s">
        <v>74</v>
      </c>
      <c r="AG230" s="1">
        <v>15</v>
      </c>
      <c r="AH230" s="1">
        <v>3</v>
      </c>
      <c r="AI230" s="1">
        <v>3</v>
      </c>
      <c r="AJ230" s="1">
        <v>0</v>
      </c>
      <c r="AK230" s="1">
        <v>4</v>
      </c>
      <c r="AL230" s="1" t="s">
        <v>206</v>
      </c>
      <c r="AM230" s="1" t="s">
        <v>207</v>
      </c>
      <c r="AN230" s="1" t="s">
        <v>208</v>
      </c>
      <c r="AO230" s="1" t="s">
        <v>3942</v>
      </c>
      <c r="AP230" s="1" t="s">
        <v>3943</v>
      </c>
      <c r="AQ230" s="1" t="s">
        <v>74</v>
      </c>
      <c r="AR230" s="1" t="s">
        <v>3944</v>
      </c>
      <c r="AS230" s="1" t="s">
        <v>3945</v>
      </c>
      <c r="AT230" s="1" t="s">
        <v>348</v>
      </c>
      <c r="AU230" s="1">
        <v>2014</v>
      </c>
      <c r="AV230" s="1">
        <v>14</v>
      </c>
      <c r="AW230" s="1">
        <v>1</v>
      </c>
      <c r="AX230" s="1" t="s">
        <v>74</v>
      </c>
      <c r="AY230" s="1" t="s">
        <v>74</v>
      </c>
      <c r="AZ230" s="1" t="s">
        <v>74</v>
      </c>
      <c r="BA230" s="1" t="s">
        <v>74</v>
      </c>
      <c r="BB230" s="1">
        <v>374</v>
      </c>
      <c r="BC230" s="1">
        <v>378</v>
      </c>
      <c r="BD230" s="1" t="s">
        <v>74</v>
      </c>
      <c r="BE230" s="1" t="s">
        <v>3946</v>
      </c>
      <c r="BF230" s="1" t="str">
        <f>HYPERLINK("http://dx.doi.org/10.1111/asap.12055","http://dx.doi.org/10.1111/asap.12055")</f>
        <v>http://dx.doi.org/10.1111/asap.12055</v>
      </c>
      <c r="BG230" s="1" t="s">
        <v>74</v>
      </c>
      <c r="BH230" s="1" t="s">
        <v>74</v>
      </c>
      <c r="BI230" s="1">
        <v>5</v>
      </c>
      <c r="BJ230" s="1" t="s">
        <v>3947</v>
      </c>
      <c r="BK230" s="1" t="s">
        <v>101</v>
      </c>
      <c r="BL230" s="1" t="s">
        <v>3948</v>
      </c>
      <c r="BM230" s="1" t="s">
        <v>3949</v>
      </c>
      <c r="BN230" s="1" t="s">
        <v>74</v>
      </c>
      <c r="BO230" s="1" t="s">
        <v>74</v>
      </c>
      <c r="BP230" s="1" t="s">
        <v>74</v>
      </c>
      <c r="BQ230" s="1" t="s">
        <v>74</v>
      </c>
      <c r="BR230" s="1" t="s">
        <v>104</v>
      </c>
      <c r="BS230" s="1" t="s">
        <v>3950</v>
      </c>
      <c r="BT230" s="1" t="str">
        <f>HYPERLINK("https%3A%2F%2Fwww.webofscience.com%2Fwos%2Fwoscc%2Ffull-record%2FWOS:000346916400023","View Full Record in Web of Science")</f>
        <v>View Full Record in Web of Science</v>
      </c>
      <c r="BU230" s="1" t="s">
        <v>4172</v>
      </c>
      <c r="BV230" s="1" t="s">
        <v>10653</v>
      </c>
    </row>
    <row r="231" spans="1:75" ht="348" x14ac:dyDescent="0.35">
      <c r="A231" s="1" t="s">
        <v>72</v>
      </c>
      <c r="B231" s="1" t="s">
        <v>1717</v>
      </c>
      <c r="C231" s="1" t="s">
        <v>74</v>
      </c>
      <c r="D231" s="1" t="s">
        <v>74</v>
      </c>
      <c r="E231" s="1" t="s">
        <v>74</v>
      </c>
      <c r="F231" s="1" t="s">
        <v>1718</v>
      </c>
      <c r="G231" s="1" t="s">
        <v>74</v>
      </c>
      <c r="H231" s="1" t="s">
        <v>74</v>
      </c>
      <c r="I231" s="1" t="s">
        <v>1719</v>
      </c>
      <c r="J231" s="1" t="s">
        <v>136</v>
      </c>
      <c r="K231" s="1" t="s">
        <v>74</v>
      </c>
      <c r="L231" s="1" t="s">
        <v>74</v>
      </c>
      <c r="M231" s="1" t="s">
        <v>78</v>
      </c>
      <c r="N231" s="1" t="s">
        <v>79</v>
      </c>
      <c r="O231" s="1" t="s">
        <v>74</v>
      </c>
      <c r="P231" s="1" t="s">
        <v>74</v>
      </c>
      <c r="Q231" s="1" t="s">
        <v>74</v>
      </c>
      <c r="R231" s="1" t="s">
        <v>74</v>
      </c>
      <c r="S231" s="1" t="s">
        <v>74</v>
      </c>
      <c r="T231" s="1" t="s">
        <v>1720</v>
      </c>
      <c r="U231" s="1" t="s">
        <v>1721</v>
      </c>
      <c r="V231" s="1" t="s">
        <v>1722</v>
      </c>
      <c r="W231" s="1" t="s">
        <v>1723</v>
      </c>
      <c r="X231" s="1" t="s">
        <v>1724</v>
      </c>
      <c r="Y231" s="1" t="s">
        <v>1725</v>
      </c>
      <c r="Z231" s="1" t="s">
        <v>1726</v>
      </c>
      <c r="AA231" s="1" t="s">
        <v>74</v>
      </c>
      <c r="AB231" s="1" t="s">
        <v>74</v>
      </c>
      <c r="AC231" s="1" t="s">
        <v>74</v>
      </c>
      <c r="AD231" s="1" t="s">
        <v>74</v>
      </c>
      <c r="AE231" s="1" t="s">
        <v>74</v>
      </c>
      <c r="AF231" s="1" t="s">
        <v>74</v>
      </c>
      <c r="AG231" s="1">
        <v>43</v>
      </c>
      <c r="AH231" s="1">
        <v>158</v>
      </c>
      <c r="AI231" s="1">
        <v>159</v>
      </c>
      <c r="AJ231" s="1">
        <v>11</v>
      </c>
      <c r="AK231" s="1">
        <v>196</v>
      </c>
      <c r="AL231" s="1" t="s">
        <v>232</v>
      </c>
      <c r="AM231" s="1" t="s">
        <v>233</v>
      </c>
      <c r="AN231" s="1" t="s">
        <v>234</v>
      </c>
      <c r="AO231" s="1" t="s">
        <v>147</v>
      </c>
      <c r="AP231" s="1" t="s">
        <v>148</v>
      </c>
      <c r="AQ231" s="1" t="s">
        <v>74</v>
      </c>
      <c r="AR231" s="1" t="s">
        <v>149</v>
      </c>
      <c r="AS231" s="1" t="s">
        <v>150</v>
      </c>
      <c r="AT231" s="1" t="s">
        <v>469</v>
      </c>
      <c r="AU231" s="1">
        <v>2014</v>
      </c>
      <c r="AV231" s="1">
        <v>51</v>
      </c>
      <c r="AW231" s="1">
        <v>4</v>
      </c>
      <c r="AX231" s="1" t="s">
        <v>74</v>
      </c>
      <c r="AY231" s="1" t="s">
        <v>74</v>
      </c>
      <c r="AZ231" s="1" t="s">
        <v>74</v>
      </c>
      <c r="BA231" s="1" t="s">
        <v>74</v>
      </c>
      <c r="BB231" s="1">
        <v>387</v>
      </c>
      <c r="BC231" s="1">
        <v>402</v>
      </c>
      <c r="BD231" s="1" t="s">
        <v>74</v>
      </c>
      <c r="BE231" s="1" t="s">
        <v>1727</v>
      </c>
      <c r="BF231" s="1" t="str">
        <f>HYPERLINK("http://dx.doi.org/10.1509/jmr.12.0424","http://dx.doi.org/10.1509/jmr.12.0424")</f>
        <v>http://dx.doi.org/10.1509/jmr.12.0424</v>
      </c>
      <c r="BG231" s="1" t="s">
        <v>74</v>
      </c>
      <c r="BH231" s="1" t="s">
        <v>74</v>
      </c>
      <c r="BI231" s="1">
        <v>16</v>
      </c>
      <c r="BJ231" s="1" t="s">
        <v>153</v>
      </c>
      <c r="BK231" s="1" t="s">
        <v>101</v>
      </c>
      <c r="BL231" s="1" t="s">
        <v>154</v>
      </c>
      <c r="BM231" s="1" t="s">
        <v>1728</v>
      </c>
      <c r="BN231" s="1" t="s">
        <v>74</v>
      </c>
      <c r="BO231" s="1" t="s">
        <v>74</v>
      </c>
      <c r="BP231" s="1" t="s">
        <v>74</v>
      </c>
      <c r="BQ231" s="1" t="s">
        <v>74</v>
      </c>
      <c r="BR231" s="1" t="s">
        <v>104</v>
      </c>
      <c r="BS231" s="1" t="s">
        <v>1729</v>
      </c>
      <c r="BT231" s="1" t="str">
        <f>HYPERLINK("https%3A%2F%2Fwww.webofscience.com%2Fwos%2Fwoscc%2Ffull-record%2FWOS:000340863800001","View Full Record in Web of Science")</f>
        <v>View Full Record in Web of Science</v>
      </c>
      <c r="BU231" s="1" t="s">
        <v>4172</v>
      </c>
      <c r="BV231" s="1" t="s">
        <v>6080</v>
      </c>
      <c r="BW231" s="1" t="s">
        <v>6080</v>
      </c>
    </row>
    <row r="232" spans="1:75" ht="377" x14ac:dyDescent="0.35">
      <c r="A232" s="1" t="s">
        <v>72</v>
      </c>
      <c r="B232" s="1" t="s">
        <v>3951</v>
      </c>
      <c r="C232" s="1" t="s">
        <v>74</v>
      </c>
      <c r="D232" s="1" t="s">
        <v>74</v>
      </c>
      <c r="E232" s="1" t="s">
        <v>74</v>
      </c>
      <c r="F232" s="1" t="s">
        <v>3952</v>
      </c>
      <c r="G232" s="1" t="s">
        <v>74</v>
      </c>
      <c r="H232" s="1" t="s">
        <v>74</v>
      </c>
      <c r="I232" s="1" t="s">
        <v>3953</v>
      </c>
      <c r="J232" s="1" t="s">
        <v>240</v>
      </c>
      <c r="K232" s="1" t="s">
        <v>74</v>
      </c>
      <c r="L232" s="1" t="s">
        <v>74</v>
      </c>
      <c r="M232" s="1" t="s">
        <v>78</v>
      </c>
      <c r="N232" s="1" t="s">
        <v>79</v>
      </c>
      <c r="O232" s="1" t="s">
        <v>74</v>
      </c>
      <c r="P232" s="1" t="s">
        <v>74</v>
      </c>
      <c r="Q232" s="1" t="s">
        <v>74</v>
      </c>
      <c r="R232" s="1" t="s">
        <v>74</v>
      </c>
      <c r="S232" s="1" t="s">
        <v>74</v>
      </c>
      <c r="T232" s="1" t="s">
        <v>3954</v>
      </c>
      <c r="U232" s="1" t="s">
        <v>3955</v>
      </c>
      <c r="V232" s="1" t="s">
        <v>3956</v>
      </c>
      <c r="W232" s="1" t="s">
        <v>3957</v>
      </c>
      <c r="X232" s="1" t="s">
        <v>3958</v>
      </c>
      <c r="Y232" s="1" t="s">
        <v>3959</v>
      </c>
      <c r="Z232" s="1" t="s">
        <v>3960</v>
      </c>
      <c r="AA232" s="1" t="s">
        <v>74</v>
      </c>
      <c r="AB232" s="1" t="s">
        <v>74</v>
      </c>
      <c r="AC232" s="1" t="s">
        <v>74</v>
      </c>
      <c r="AD232" s="1" t="s">
        <v>74</v>
      </c>
      <c r="AE232" s="1" t="s">
        <v>74</v>
      </c>
      <c r="AF232" s="1" t="s">
        <v>74</v>
      </c>
      <c r="AG232" s="1">
        <v>54</v>
      </c>
      <c r="AH232" s="1">
        <v>147</v>
      </c>
      <c r="AI232" s="1">
        <v>148</v>
      </c>
      <c r="AJ232" s="1">
        <v>15</v>
      </c>
      <c r="AK232" s="1">
        <v>248</v>
      </c>
      <c r="AL232" s="1" t="s">
        <v>144</v>
      </c>
      <c r="AM232" s="1" t="s">
        <v>145</v>
      </c>
      <c r="AN232" s="1" t="s">
        <v>146</v>
      </c>
      <c r="AO232" s="1" t="s">
        <v>254</v>
      </c>
      <c r="AP232" s="1" t="s">
        <v>255</v>
      </c>
      <c r="AQ232" s="1" t="s">
        <v>74</v>
      </c>
      <c r="AR232" s="1" t="s">
        <v>256</v>
      </c>
      <c r="AS232" s="1" t="s">
        <v>257</v>
      </c>
      <c r="AT232" s="1" t="s">
        <v>98</v>
      </c>
      <c r="AU232" s="1">
        <v>2014</v>
      </c>
      <c r="AV232" s="1">
        <v>78</v>
      </c>
      <c r="AW232" s="1">
        <v>4</v>
      </c>
      <c r="AX232" s="1" t="s">
        <v>74</v>
      </c>
      <c r="AY232" s="1" t="s">
        <v>74</v>
      </c>
      <c r="AZ232" s="1" t="s">
        <v>74</v>
      </c>
      <c r="BA232" s="1" t="s">
        <v>74</v>
      </c>
      <c r="BB232" s="1">
        <v>41</v>
      </c>
      <c r="BC232" s="1">
        <v>58</v>
      </c>
      <c r="BD232" s="1" t="s">
        <v>74</v>
      </c>
      <c r="BE232" s="1" t="s">
        <v>3961</v>
      </c>
      <c r="BF232" s="1" t="str">
        <f>HYPERLINK("http://dx.doi.org/10.1509/jm.13.0301","http://dx.doi.org/10.1509/jm.13.0301")</f>
        <v>http://dx.doi.org/10.1509/jm.13.0301</v>
      </c>
      <c r="BG232" s="1" t="s">
        <v>74</v>
      </c>
      <c r="BH232" s="1" t="s">
        <v>74</v>
      </c>
      <c r="BI232" s="1">
        <v>18</v>
      </c>
      <c r="BJ232" s="1" t="s">
        <v>153</v>
      </c>
      <c r="BK232" s="1" t="s">
        <v>101</v>
      </c>
      <c r="BL232" s="1" t="s">
        <v>154</v>
      </c>
      <c r="BM232" s="1" t="s">
        <v>3962</v>
      </c>
      <c r="BN232" s="1" t="s">
        <v>74</v>
      </c>
      <c r="BO232" s="1" t="s">
        <v>74</v>
      </c>
      <c r="BP232" s="1" t="s">
        <v>74</v>
      </c>
      <c r="BQ232" s="1" t="s">
        <v>74</v>
      </c>
      <c r="BR232" s="1" t="s">
        <v>104</v>
      </c>
      <c r="BS232" s="1" t="s">
        <v>3963</v>
      </c>
      <c r="BT232" s="1" t="str">
        <f>HYPERLINK("https%3A%2F%2Fwww.webofscience.com%2Fwos%2Fwoscc%2Ffull-record%2FWOS:000340736700004","View Full Record in Web of Science")</f>
        <v>View Full Record in Web of Science</v>
      </c>
      <c r="BU232" s="1" t="s">
        <v>4172</v>
      </c>
      <c r="BV232" s="1" t="s">
        <v>6080</v>
      </c>
      <c r="BW232" s="1" t="s">
        <v>6080</v>
      </c>
    </row>
    <row r="233" spans="1:75" ht="290" x14ac:dyDescent="0.35">
      <c r="A233" s="1" t="s">
        <v>578</v>
      </c>
      <c r="B233" s="1" t="s">
        <v>3964</v>
      </c>
      <c r="C233" s="1" t="s">
        <v>74</v>
      </c>
      <c r="D233" s="1" t="s">
        <v>3965</v>
      </c>
      <c r="E233" s="1" t="s">
        <v>74</v>
      </c>
      <c r="F233" s="1" t="s">
        <v>3966</v>
      </c>
      <c r="G233" s="1" t="s">
        <v>74</v>
      </c>
      <c r="H233" s="1" t="s">
        <v>74</v>
      </c>
      <c r="I233" s="1" t="s">
        <v>3967</v>
      </c>
      <c r="J233" s="1" t="s">
        <v>3968</v>
      </c>
      <c r="K233" s="1" t="s">
        <v>74</v>
      </c>
      <c r="L233" s="1" t="s">
        <v>74</v>
      </c>
      <c r="M233" s="1" t="s">
        <v>78</v>
      </c>
      <c r="N233" s="1" t="s">
        <v>584</v>
      </c>
      <c r="O233" s="1" t="s">
        <v>3969</v>
      </c>
      <c r="P233" s="1" t="s">
        <v>3970</v>
      </c>
      <c r="Q233" s="1" t="s">
        <v>3971</v>
      </c>
      <c r="R233" s="1" t="s">
        <v>3972</v>
      </c>
      <c r="S233" s="1" t="s">
        <v>74</v>
      </c>
      <c r="T233" s="1" t="s">
        <v>74</v>
      </c>
      <c r="U233" s="1" t="s">
        <v>74</v>
      </c>
      <c r="V233" s="1" t="s">
        <v>3973</v>
      </c>
      <c r="W233" s="1" t="s">
        <v>3974</v>
      </c>
      <c r="X233" s="1" t="s">
        <v>3975</v>
      </c>
      <c r="Y233" s="1" t="s">
        <v>3976</v>
      </c>
      <c r="Z233" s="1" t="s">
        <v>3977</v>
      </c>
      <c r="AA233" s="1" t="s">
        <v>74</v>
      </c>
      <c r="AB233" s="1" t="s">
        <v>74</v>
      </c>
      <c r="AC233" s="1" t="s">
        <v>3978</v>
      </c>
      <c r="AD233" s="1" t="s">
        <v>3979</v>
      </c>
      <c r="AE233" s="1" t="s">
        <v>3980</v>
      </c>
      <c r="AF233" s="1" t="s">
        <v>74</v>
      </c>
      <c r="AG233" s="1">
        <v>30</v>
      </c>
      <c r="AH233" s="1">
        <v>56</v>
      </c>
      <c r="AI233" s="1">
        <v>57</v>
      </c>
      <c r="AJ233" s="1">
        <v>0</v>
      </c>
      <c r="AK233" s="1">
        <v>0</v>
      </c>
      <c r="AL233" s="1" t="s">
        <v>3981</v>
      </c>
      <c r="AM233" s="1" t="s">
        <v>3982</v>
      </c>
      <c r="AN233" s="1" t="s">
        <v>3983</v>
      </c>
      <c r="AO233" s="1" t="s">
        <v>74</v>
      </c>
      <c r="AP233" s="1" t="s">
        <v>74</v>
      </c>
      <c r="AQ233" s="1" t="s">
        <v>3984</v>
      </c>
      <c r="AR233" s="1" t="s">
        <v>74</v>
      </c>
      <c r="AS233" s="1" t="s">
        <v>74</v>
      </c>
      <c r="AT233" s="1" t="s">
        <v>74</v>
      </c>
      <c r="AU233" s="1">
        <v>2014</v>
      </c>
      <c r="AV233" s="1" t="s">
        <v>74</v>
      </c>
      <c r="AW233" s="1" t="s">
        <v>74</v>
      </c>
      <c r="AX233" s="1" t="s">
        <v>74</v>
      </c>
      <c r="AY233" s="1" t="s">
        <v>74</v>
      </c>
      <c r="AZ233" s="1" t="s">
        <v>74</v>
      </c>
      <c r="BA233" s="1" t="s">
        <v>74</v>
      </c>
      <c r="BB233" s="1">
        <v>383</v>
      </c>
      <c r="BC233" s="1">
        <v>389</v>
      </c>
      <c r="BD233" s="1" t="s">
        <v>74</v>
      </c>
      <c r="BE233" s="1" t="s">
        <v>74</v>
      </c>
      <c r="BF233" s="1" t="s">
        <v>74</v>
      </c>
      <c r="BG233" s="1" t="s">
        <v>74</v>
      </c>
      <c r="BH233" s="1" t="s">
        <v>74</v>
      </c>
      <c r="BI233" s="1">
        <v>7</v>
      </c>
      <c r="BJ233" s="1" t="s">
        <v>416</v>
      </c>
      <c r="BK233" s="1" t="s">
        <v>604</v>
      </c>
      <c r="BL233" s="1" t="s">
        <v>417</v>
      </c>
      <c r="BM233" s="1" t="s">
        <v>3985</v>
      </c>
      <c r="BN233" s="1" t="s">
        <v>74</v>
      </c>
      <c r="BO233" s="1" t="s">
        <v>74</v>
      </c>
      <c r="BP233" s="1" t="s">
        <v>74</v>
      </c>
      <c r="BQ233" s="1" t="s">
        <v>74</v>
      </c>
      <c r="BR233" s="1" t="s">
        <v>104</v>
      </c>
      <c r="BS233" s="1" t="s">
        <v>3986</v>
      </c>
      <c r="BT233" s="1" t="str">
        <f>HYPERLINK("https%3A%2F%2Fwww.webofscience.com%2Fwos%2Fwoscc%2Ffull-record%2FWOS:000493811100063","View Full Record in Web of Science")</f>
        <v>View Full Record in Web of Science</v>
      </c>
      <c r="BU233" s="1" t="s">
        <v>4172</v>
      </c>
      <c r="BV233" s="1" t="s">
        <v>10653</v>
      </c>
    </row>
    <row r="234" spans="1:75" ht="348" x14ac:dyDescent="0.35">
      <c r="A234" s="1" t="s">
        <v>72</v>
      </c>
      <c r="B234" s="1" t="s">
        <v>1717</v>
      </c>
      <c r="C234" s="1" t="s">
        <v>74</v>
      </c>
      <c r="D234" s="1" t="s">
        <v>74</v>
      </c>
      <c r="E234" s="1" t="s">
        <v>74</v>
      </c>
      <c r="F234" s="1" t="s">
        <v>1718</v>
      </c>
      <c r="G234" s="1" t="s">
        <v>74</v>
      </c>
      <c r="H234" s="1" t="s">
        <v>74</v>
      </c>
      <c r="I234" s="1" t="s">
        <v>1719</v>
      </c>
      <c r="J234" s="1" t="s">
        <v>136</v>
      </c>
      <c r="K234" s="1" t="s">
        <v>74</v>
      </c>
      <c r="L234" s="1" t="s">
        <v>74</v>
      </c>
      <c r="M234" s="1" t="s">
        <v>78</v>
      </c>
      <c r="N234" s="1" t="s">
        <v>79</v>
      </c>
      <c r="O234" s="1" t="s">
        <v>74</v>
      </c>
      <c r="P234" s="1" t="s">
        <v>74</v>
      </c>
      <c r="Q234" s="1" t="s">
        <v>74</v>
      </c>
      <c r="R234" s="1" t="s">
        <v>74</v>
      </c>
      <c r="S234" s="1" t="s">
        <v>74</v>
      </c>
      <c r="T234" s="1" t="s">
        <v>1720</v>
      </c>
      <c r="U234" s="1" t="s">
        <v>1721</v>
      </c>
      <c r="V234" s="1" t="s">
        <v>1722</v>
      </c>
      <c r="W234" s="1" t="s">
        <v>1723</v>
      </c>
      <c r="X234" s="1" t="s">
        <v>1724</v>
      </c>
      <c r="Y234" s="1" t="s">
        <v>1725</v>
      </c>
      <c r="Z234" s="1" t="s">
        <v>1726</v>
      </c>
      <c r="AA234" s="1" t="s">
        <v>74</v>
      </c>
      <c r="AB234" s="1" t="s">
        <v>74</v>
      </c>
      <c r="AC234" s="1" t="s">
        <v>74</v>
      </c>
      <c r="AD234" s="1" t="s">
        <v>74</v>
      </c>
      <c r="AE234" s="1" t="s">
        <v>74</v>
      </c>
      <c r="AF234" s="1" t="s">
        <v>74</v>
      </c>
      <c r="AG234" s="1">
        <v>43</v>
      </c>
      <c r="AH234" s="1">
        <v>162</v>
      </c>
      <c r="AI234" s="1">
        <v>163</v>
      </c>
      <c r="AJ234" s="1">
        <v>12</v>
      </c>
      <c r="AK234" s="1">
        <v>199</v>
      </c>
      <c r="AL234" s="1" t="s">
        <v>232</v>
      </c>
      <c r="AM234" s="1" t="s">
        <v>233</v>
      </c>
      <c r="AN234" s="1" t="s">
        <v>234</v>
      </c>
      <c r="AO234" s="1" t="s">
        <v>147</v>
      </c>
      <c r="AP234" s="1" t="s">
        <v>148</v>
      </c>
      <c r="AQ234" s="1" t="s">
        <v>74</v>
      </c>
      <c r="AR234" s="1" t="s">
        <v>149</v>
      </c>
      <c r="AS234" s="1" t="s">
        <v>150</v>
      </c>
      <c r="AT234" s="1" t="s">
        <v>469</v>
      </c>
      <c r="AU234" s="1">
        <v>2014</v>
      </c>
      <c r="AV234" s="1">
        <v>51</v>
      </c>
      <c r="AW234" s="1">
        <v>4</v>
      </c>
      <c r="AX234" s="1" t="s">
        <v>74</v>
      </c>
      <c r="AY234" s="1" t="s">
        <v>74</v>
      </c>
      <c r="AZ234" s="1" t="s">
        <v>74</v>
      </c>
      <c r="BA234" s="1" t="s">
        <v>74</v>
      </c>
      <c r="BB234" s="1">
        <v>387</v>
      </c>
      <c r="BC234" s="1">
        <v>402</v>
      </c>
      <c r="BD234" s="1" t="s">
        <v>74</v>
      </c>
      <c r="BE234" s="1" t="s">
        <v>1727</v>
      </c>
      <c r="BF234" s="1" t="str">
        <f>HYPERLINK("http://dx.doi.org/10.1509/jmr.12.0424","http://dx.doi.org/10.1509/jmr.12.0424")</f>
        <v>http://dx.doi.org/10.1509/jmr.12.0424</v>
      </c>
      <c r="BG234" s="1" t="s">
        <v>74</v>
      </c>
      <c r="BH234" s="1" t="s">
        <v>74</v>
      </c>
      <c r="BI234" s="1">
        <v>16</v>
      </c>
      <c r="BJ234" s="1" t="s">
        <v>153</v>
      </c>
      <c r="BK234" s="1" t="s">
        <v>101</v>
      </c>
      <c r="BL234" s="1" t="s">
        <v>154</v>
      </c>
      <c r="BM234" s="1" t="s">
        <v>1728</v>
      </c>
      <c r="BN234" s="1" t="s">
        <v>74</v>
      </c>
      <c r="BO234" s="1" t="s">
        <v>74</v>
      </c>
      <c r="BP234" s="1" t="s">
        <v>74</v>
      </c>
      <c r="BQ234" s="1" t="s">
        <v>74</v>
      </c>
      <c r="BR234" s="1" t="s">
        <v>4296</v>
      </c>
      <c r="BS234" s="1" t="s">
        <v>1729</v>
      </c>
      <c r="BT234" s="1" t="str">
        <f>HYPERLINK("https%3A%2F%2Fwww.webofscience.com%2Fwos%2Fwoscc%2Ffull-record%2FWOS:000340863800001","View Full Record in Web of Science")</f>
        <v>View Full Record in Web of Science</v>
      </c>
      <c r="BU234" s="1" t="s">
        <v>5876</v>
      </c>
      <c r="BV234" s="1" t="s">
        <v>6080</v>
      </c>
      <c r="BW234" s="1" t="s">
        <v>6080</v>
      </c>
    </row>
    <row r="235" spans="1:75" ht="391.5" x14ac:dyDescent="0.35">
      <c r="A235" s="1" t="s">
        <v>72</v>
      </c>
      <c r="B235" s="1" t="s">
        <v>1826</v>
      </c>
      <c r="C235" s="1" t="s">
        <v>74</v>
      </c>
      <c r="D235" s="1" t="s">
        <v>74</v>
      </c>
      <c r="E235" s="1" t="s">
        <v>74</v>
      </c>
      <c r="F235" s="1" t="s">
        <v>1827</v>
      </c>
      <c r="G235" s="1" t="s">
        <v>74</v>
      </c>
      <c r="H235" s="1" t="s">
        <v>74</v>
      </c>
      <c r="I235" s="1" t="s">
        <v>1828</v>
      </c>
      <c r="J235" s="1" t="s">
        <v>136</v>
      </c>
      <c r="K235" s="1" t="s">
        <v>74</v>
      </c>
      <c r="L235" s="1" t="s">
        <v>74</v>
      </c>
      <c r="M235" s="1" t="s">
        <v>78</v>
      </c>
      <c r="N235" s="1" t="s">
        <v>79</v>
      </c>
      <c r="O235" s="1" t="s">
        <v>74</v>
      </c>
      <c r="P235" s="1" t="s">
        <v>74</v>
      </c>
      <c r="Q235" s="1" t="s">
        <v>74</v>
      </c>
      <c r="R235" s="1" t="s">
        <v>74</v>
      </c>
      <c r="S235" s="1" t="s">
        <v>74</v>
      </c>
      <c r="T235" s="1" t="s">
        <v>1829</v>
      </c>
      <c r="U235" s="1" t="s">
        <v>1830</v>
      </c>
      <c r="V235" s="1" t="s">
        <v>1831</v>
      </c>
      <c r="W235" s="1" t="s">
        <v>1832</v>
      </c>
      <c r="X235" s="1" t="s">
        <v>1833</v>
      </c>
      <c r="Y235" s="1" t="s">
        <v>1834</v>
      </c>
      <c r="Z235" s="1" t="s">
        <v>1835</v>
      </c>
      <c r="AA235" s="1" t="s">
        <v>1836</v>
      </c>
      <c r="AB235" s="1" t="s">
        <v>1837</v>
      </c>
      <c r="AC235" s="1" t="s">
        <v>74</v>
      </c>
      <c r="AD235" s="1" t="s">
        <v>74</v>
      </c>
      <c r="AE235" s="1" t="s">
        <v>74</v>
      </c>
      <c r="AF235" s="1" t="s">
        <v>74</v>
      </c>
      <c r="AG235" s="1">
        <v>43</v>
      </c>
      <c r="AH235" s="1">
        <v>369</v>
      </c>
      <c r="AI235" s="1">
        <v>377</v>
      </c>
      <c r="AJ235" s="1">
        <v>34</v>
      </c>
      <c r="AK235" s="1">
        <v>440</v>
      </c>
      <c r="AL235" s="1" t="s">
        <v>232</v>
      </c>
      <c r="AM235" s="1" t="s">
        <v>233</v>
      </c>
      <c r="AN235" s="1" t="s">
        <v>234</v>
      </c>
      <c r="AO235" s="1" t="s">
        <v>147</v>
      </c>
      <c r="AP235" s="1" t="s">
        <v>148</v>
      </c>
      <c r="AQ235" s="1" t="s">
        <v>74</v>
      </c>
      <c r="AR235" s="1" t="s">
        <v>149</v>
      </c>
      <c r="AS235" s="1" t="s">
        <v>150</v>
      </c>
      <c r="AT235" s="1" t="s">
        <v>469</v>
      </c>
      <c r="AU235" s="1">
        <v>2014</v>
      </c>
      <c r="AV235" s="1">
        <v>51</v>
      </c>
      <c r="AW235" s="1">
        <v>4</v>
      </c>
      <c r="AX235" s="1" t="s">
        <v>74</v>
      </c>
      <c r="AY235" s="1" t="s">
        <v>74</v>
      </c>
      <c r="AZ235" s="1" t="s">
        <v>74</v>
      </c>
      <c r="BA235" s="1" t="s">
        <v>74</v>
      </c>
      <c r="BB235" s="1">
        <v>463</v>
      </c>
      <c r="BC235" s="1">
        <v>479</v>
      </c>
      <c r="BD235" s="1" t="s">
        <v>74</v>
      </c>
      <c r="BE235" s="1" t="s">
        <v>1838</v>
      </c>
      <c r="BF235" s="1" t="str">
        <f>HYPERLINK("http://dx.doi.org/10.1509/jmr.12.0106","http://dx.doi.org/10.1509/jmr.12.0106")</f>
        <v>http://dx.doi.org/10.1509/jmr.12.0106</v>
      </c>
      <c r="BG235" s="1" t="s">
        <v>74</v>
      </c>
      <c r="BH235" s="1" t="s">
        <v>74</v>
      </c>
      <c r="BI235" s="1">
        <v>17</v>
      </c>
      <c r="BJ235" s="1" t="s">
        <v>153</v>
      </c>
      <c r="BK235" s="1" t="s">
        <v>101</v>
      </c>
      <c r="BL235" s="1" t="s">
        <v>154</v>
      </c>
      <c r="BM235" s="1" t="s">
        <v>1728</v>
      </c>
      <c r="BN235" s="1" t="s">
        <v>74</v>
      </c>
      <c r="BO235" s="1" t="s">
        <v>74</v>
      </c>
      <c r="BP235" s="1" t="s">
        <v>218</v>
      </c>
      <c r="BQ235" s="1" t="s">
        <v>219</v>
      </c>
      <c r="BR235" s="1" t="s">
        <v>4296</v>
      </c>
      <c r="BS235" s="1" t="s">
        <v>1839</v>
      </c>
      <c r="BT235" s="1" t="str">
        <f>HYPERLINK("https%3A%2F%2Fwww.webofscience.com%2Fwos%2Fwoscc%2Ffull-record%2FWOS:000340863800006","View Full Record in Web of Science")</f>
        <v>View Full Record in Web of Science</v>
      </c>
      <c r="BU235" s="1" t="s">
        <v>5876</v>
      </c>
      <c r="BV235" s="1" t="s">
        <v>6080</v>
      </c>
      <c r="BW235" s="1" t="s">
        <v>6080</v>
      </c>
    </row>
    <row r="236" spans="1:75" ht="58" x14ac:dyDescent="0.35">
      <c r="A236" s="1" t="s">
        <v>2064</v>
      </c>
      <c r="B236" s="1" t="s">
        <v>5686</v>
      </c>
      <c r="C236" s="1" t="s">
        <v>74</v>
      </c>
      <c r="D236" s="1" t="s">
        <v>5687</v>
      </c>
      <c r="E236" s="1" t="s">
        <v>74</v>
      </c>
      <c r="F236" s="1" t="s">
        <v>5688</v>
      </c>
      <c r="G236" s="1" t="s">
        <v>74</v>
      </c>
      <c r="H236" s="1" t="s">
        <v>74</v>
      </c>
      <c r="I236" s="1" t="s">
        <v>5689</v>
      </c>
      <c r="J236" s="1" t="s">
        <v>5690</v>
      </c>
      <c r="K236" s="1" t="s">
        <v>74</v>
      </c>
      <c r="L236" s="1" t="s">
        <v>74</v>
      </c>
      <c r="M236" s="1" t="s">
        <v>78</v>
      </c>
      <c r="N236" s="1" t="s">
        <v>3379</v>
      </c>
      <c r="O236" s="1" t="s">
        <v>74</v>
      </c>
      <c r="P236" s="1" t="s">
        <v>74</v>
      </c>
      <c r="Q236" s="1" t="s">
        <v>74</v>
      </c>
      <c r="R236" s="1" t="s">
        <v>74</v>
      </c>
      <c r="S236" s="1" t="s">
        <v>74</v>
      </c>
      <c r="T236" s="1" t="s">
        <v>74</v>
      </c>
      <c r="U236" s="1" t="s">
        <v>5691</v>
      </c>
      <c r="V236" s="1" t="s">
        <v>74</v>
      </c>
      <c r="W236" s="1" t="s">
        <v>5692</v>
      </c>
      <c r="X236" s="1" t="s">
        <v>5693</v>
      </c>
      <c r="Y236" s="1" t="s">
        <v>5694</v>
      </c>
      <c r="Z236" s="1" t="s">
        <v>74</v>
      </c>
      <c r="AA236" s="1" t="s">
        <v>74</v>
      </c>
      <c r="AB236" s="1" t="s">
        <v>5695</v>
      </c>
      <c r="AC236" s="1" t="s">
        <v>74</v>
      </c>
      <c r="AD236" s="1" t="s">
        <v>74</v>
      </c>
      <c r="AE236" s="1" t="s">
        <v>74</v>
      </c>
      <c r="AF236" s="1" t="s">
        <v>74</v>
      </c>
      <c r="AG236" s="1">
        <v>98</v>
      </c>
      <c r="AH236" s="1">
        <v>0</v>
      </c>
      <c r="AI236" s="1">
        <v>0</v>
      </c>
      <c r="AJ236" s="1">
        <v>0</v>
      </c>
      <c r="AK236" s="1">
        <v>1</v>
      </c>
      <c r="AL236" s="1" t="s">
        <v>5696</v>
      </c>
      <c r="AM236" s="1" t="s">
        <v>1628</v>
      </c>
      <c r="AN236" s="1" t="s">
        <v>5697</v>
      </c>
      <c r="AO236" s="1" t="s">
        <v>74</v>
      </c>
      <c r="AP236" s="1" t="s">
        <v>74</v>
      </c>
      <c r="AQ236" s="1" t="s">
        <v>5698</v>
      </c>
      <c r="AR236" s="1" t="s">
        <v>74</v>
      </c>
      <c r="AS236" s="1" t="s">
        <v>74</v>
      </c>
      <c r="AT236" s="1" t="s">
        <v>74</v>
      </c>
      <c r="AU236" s="1">
        <v>2014</v>
      </c>
      <c r="AV236" s="1" t="s">
        <v>74</v>
      </c>
      <c r="AW236" s="1" t="s">
        <v>74</v>
      </c>
      <c r="AX236" s="1" t="s">
        <v>74</v>
      </c>
      <c r="AY236" s="1" t="s">
        <v>74</v>
      </c>
      <c r="AZ236" s="1" t="s">
        <v>74</v>
      </c>
      <c r="BA236" s="1" t="s">
        <v>74</v>
      </c>
      <c r="BB236" s="1">
        <v>99</v>
      </c>
      <c r="BC236" s="1">
        <v>139</v>
      </c>
      <c r="BD236" s="1" t="s">
        <v>74</v>
      </c>
      <c r="BE236" s="1" t="s">
        <v>5699</v>
      </c>
      <c r="BF236" s="1" t="str">
        <f>HYPERLINK("http://dx.doi.org/10.1016/B978-0-12-401678-1.00005-1","http://dx.doi.org/10.1016/B978-0-12-401678-1.00005-1")</f>
        <v>http://dx.doi.org/10.1016/B978-0-12-401678-1.00005-1</v>
      </c>
      <c r="BG236" s="1" t="s">
        <v>74</v>
      </c>
      <c r="BH236" s="1" t="s">
        <v>74</v>
      </c>
      <c r="BI236" s="1">
        <v>41</v>
      </c>
      <c r="BJ236" s="1" t="s">
        <v>5700</v>
      </c>
      <c r="BK236" s="1" t="s">
        <v>2069</v>
      </c>
      <c r="BL236" s="1" t="s">
        <v>5700</v>
      </c>
      <c r="BM236" s="1" t="s">
        <v>5701</v>
      </c>
      <c r="BN236" s="1" t="s">
        <v>74</v>
      </c>
      <c r="BO236" s="1" t="s">
        <v>74</v>
      </c>
      <c r="BP236" s="1" t="s">
        <v>74</v>
      </c>
      <c r="BQ236" s="1" t="s">
        <v>74</v>
      </c>
      <c r="BR236" s="1" t="s">
        <v>4296</v>
      </c>
      <c r="BS236" s="1" t="s">
        <v>5702</v>
      </c>
      <c r="BT236" s="1" t="str">
        <f>HYPERLINK("https%3A%2F%2Fwww.webofscience.com%2Fwos%2Fwoscc%2Ffull-record%2FWOS:000333977700005","View Full Record in Web of Science")</f>
        <v>View Full Record in Web of Science</v>
      </c>
      <c r="BU236" s="1" t="s">
        <v>5876</v>
      </c>
      <c r="BV236" s="1" t="s">
        <v>10653</v>
      </c>
    </row>
    <row r="237" spans="1:75" ht="333.5" x14ac:dyDescent="0.35">
      <c r="A237" s="1" t="s">
        <v>578</v>
      </c>
      <c r="B237" s="1" t="s">
        <v>5703</v>
      </c>
      <c r="C237" s="1" t="s">
        <v>74</v>
      </c>
      <c r="D237" s="1" t="s">
        <v>5704</v>
      </c>
      <c r="E237" s="1" t="s">
        <v>74</v>
      </c>
      <c r="F237" s="1" t="s">
        <v>5705</v>
      </c>
      <c r="G237" s="1" t="s">
        <v>74</v>
      </c>
      <c r="H237" s="1" t="s">
        <v>74</v>
      </c>
      <c r="I237" s="1" t="s">
        <v>5706</v>
      </c>
      <c r="J237" s="1" t="s">
        <v>5707</v>
      </c>
      <c r="K237" s="1" t="s">
        <v>5708</v>
      </c>
      <c r="L237" s="1" t="s">
        <v>74</v>
      </c>
      <c r="M237" s="1" t="s">
        <v>78</v>
      </c>
      <c r="N237" s="1" t="s">
        <v>584</v>
      </c>
      <c r="O237" s="1" t="s">
        <v>5709</v>
      </c>
      <c r="P237" s="1" t="s">
        <v>5710</v>
      </c>
      <c r="Q237" s="1" t="s">
        <v>5711</v>
      </c>
      <c r="R237" s="1" t="s">
        <v>5712</v>
      </c>
      <c r="S237" s="1" t="s">
        <v>74</v>
      </c>
      <c r="T237" s="1" t="s">
        <v>74</v>
      </c>
      <c r="U237" s="1" t="s">
        <v>5713</v>
      </c>
      <c r="V237" s="1" t="s">
        <v>5714</v>
      </c>
      <c r="W237" s="1" t="s">
        <v>5715</v>
      </c>
      <c r="X237" s="1" t="s">
        <v>5716</v>
      </c>
      <c r="Y237" s="1" t="s">
        <v>5717</v>
      </c>
      <c r="Z237" s="1" t="s">
        <v>5718</v>
      </c>
      <c r="AA237" s="1" t="s">
        <v>5719</v>
      </c>
      <c r="AB237" s="1" t="s">
        <v>5720</v>
      </c>
      <c r="AC237" s="1" t="s">
        <v>5721</v>
      </c>
      <c r="AD237" s="1" t="s">
        <v>5722</v>
      </c>
      <c r="AE237" s="1" t="s">
        <v>74</v>
      </c>
      <c r="AF237" s="1" t="s">
        <v>74</v>
      </c>
      <c r="AG237" s="1">
        <v>38</v>
      </c>
      <c r="AH237" s="1">
        <v>6</v>
      </c>
      <c r="AI237" s="1">
        <v>6</v>
      </c>
      <c r="AJ237" s="1">
        <v>0</v>
      </c>
      <c r="AK237" s="1">
        <v>4</v>
      </c>
      <c r="AL237" s="1" t="s">
        <v>3243</v>
      </c>
      <c r="AM237" s="1" t="s">
        <v>325</v>
      </c>
      <c r="AN237" s="1" t="s">
        <v>4053</v>
      </c>
      <c r="AO237" s="1" t="s">
        <v>5723</v>
      </c>
      <c r="AP237" s="1" t="s">
        <v>74</v>
      </c>
      <c r="AQ237" s="1" t="s">
        <v>5724</v>
      </c>
      <c r="AR237" s="1" t="s">
        <v>5725</v>
      </c>
      <c r="AS237" s="1" t="s">
        <v>74</v>
      </c>
      <c r="AT237" s="1" t="s">
        <v>74</v>
      </c>
      <c r="AU237" s="1">
        <v>2014</v>
      </c>
      <c r="AV237" s="1" t="s">
        <v>74</v>
      </c>
      <c r="AW237" s="1" t="s">
        <v>74</v>
      </c>
      <c r="AX237" s="1" t="s">
        <v>74</v>
      </c>
      <c r="AY237" s="1" t="s">
        <v>74</v>
      </c>
      <c r="AZ237" s="1" t="s">
        <v>74</v>
      </c>
      <c r="BA237" s="1" t="s">
        <v>74</v>
      </c>
      <c r="BB237" s="1">
        <v>1635</v>
      </c>
      <c r="BC237" s="1">
        <v>1644</v>
      </c>
      <c r="BD237" s="1" t="s">
        <v>74</v>
      </c>
      <c r="BE237" s="1" t="s">
        <v>5726</v>
      </c>
      <c r="BF237" s="1" t="str">
        <f>HYPERLINK("http://dx.doi.org/10.1109/HICSS.2014.209","http://dx.doi.org/10.1109/HICSS.2014.209")</f>
        <v>http://dx.doi.org/10.1109/HICSS.2014.209</v>
      </c>
      <c r="BG237" s="1" t="s">
        <v>74</v>
      </c>
      <c r="BH237" s="1" t="s">
        <v>74</v>
      </c>
      <c r="BI237" s="1">
        <v>10</v>
      </c>
      <c r="BJ237" s="1" t="s">
        <v>4856</v>
      </c>
      <c r="BK237" s="1" t="s">
        <v>604</v>
      </c>
      <c r="BL237" s="1" t="s">
        <v>417</v>
      </c>
      <c r="BM237" s="1" t="s">
        <v>5727</v>
      </c>
      <c r="BN237" s="1" t="s">
        <v>74</v>
      </c>
      <c r="BO237" s="1" t="s">
        <v>74</v>
      </c>
      <c r="BP237" s="1" t="s">
        <v>74</v>
      </c>
      <c r="BQ237" s="1" t="s">
        <v>74</v>
      </c>
      <c r="BR237" s="1" t="s">
        <v>4296</v>
      </c>
      <c r="BS237" s="1" t="s">
        <v>5728</v>
      </c>
      <c r="BT237" s="1" t="str">
        <f>HYPERLINK("https%3A%2F%2Fwww.webofscience.com%2Fwos%2Fwoscc%2Ffull-record%2FWOS:000343806601091","View Full Record in Web of Science")</f>
        <v>View Full Record in Web of Science</v>
      </c>
      <c r="BU237" s="1" t="s">
        <v>5876</v>
      </c>
      <c r="BV237" s="1" t="s">
        <v>10653</v>
      </c>
    </row>
    <row r="238" spans="1:75" x14ac:dyDescent="0.35">
      <c r="A238" t="s">
        <v>72</v>
      </c>
      <c r="B238" t="s">
        <v>6112</v>
      </c>
      <c r="C238" t="s">
        <v>74</v>
      </c>
      <c r="D238" t="s">
        <v>74</v>
      </c>
      <c r="E238" t="s">
        <v>74</v>
      </c>
      <c r="F238" t="s">
        <v>6113</v>
      </c>
      <c r="G238" t="s">
        <v>74</v>
      </c>
      <c r="H238" t="s">
        <v>74</v>
      </c>
      <c r="I238" t="s">
        <v>6114</v>
      </c>
      <c r="J238" t="s">
        <v>6115</v>
      </c>
      <c r="K238" t="s">
        <v>74</v>
      </c>
      <c r="L238" t="s">
        <v>74</v>
      </c>
      <c r="M238" t="s">
        <v>78</v>
      </c>
      <c r="N238" t="s">
        <v>79</v>
      </c>
      <c r="O238" t="s">
        <v>74</v>
      </c>
      <c r="P238" t="s">
        <v>74</v>
      </c>
      <c r="Q238" t="s">
        <v>74</v>
      </c>
      <c r="R238" t="s">
        <v>74</v>
      </c>
      <c r="S238" t="s">
        <v>74</v>
      </c>
      <c r="T238" t="s">
        <v>6116</v>
      </c>
      <c r="U238" t="s">
        <v>6117</v>
      </c>
      <c r="V238" t="s">
        <v>6118</v>
      </c>
      <c r="W238" t="s">
        <v>6119</v>
      </c>
      <c r="X238" t="s">
        <v>6120</v>
      </c>
      <c r="Y238" t="s">
        <v>6121</v>
      </c>
      <c r="Z238" t="s">
        <v>6122</v>
      </c>
      <c r="AA238" t="s">
        <v>6123</v>
      </c>
      <c r="AB238" t="s">
        <v>6124</v>
      </c>
      <c r="AC238" t="s">
        <v>74</v>
      </c>
      <c r="AD238" t="s">
        <v>74</v>
      </c>
      <c r="AE238" t="s">
        <v>74</v>
      </c>
      <c r="AF238" t="s">
        <v>74</v>
      </c>
      <c r="AG238">
        <v>57</v>
      </c>
      <c r="AH238">
        <v>5</v>
      </c>
      <c r="AI238">
        <v>5</v>
      </c>
      <c r="AJ238">
        <v>2</v>
      </c>
      <c r="AK238">
        <v>43</v>
      </c>
      <c r="AL238" t="s">
        <v>1982</v>
      </c>
      <c r="AM238" t="s">
        <v>1983</v>
      </c>
      <c r="AN238" t="s">
        <v>2573</v>
      </c>
      <c r="AO238" t="s">
        <v>6125</v>
      </c>
      <c r="AP238" t="s">
        <v>6126</v>
      </c>
      <c r="AQ238" t="s">
        <v>74</v>
      </c>
      <c r="AR238" t="s">
        <v>6127</v>
      </c>
      <c r="AS238" t="s">
        <v>6128</v>
      </c>
      <c r="AT238" t="s">
        <v>74</v>
      </c>
      <c r="AU238">
        <v>2014</v>
      </c>
      <c r="AV238">
        <v>52</v>
      </c>
      <c r="AW238">
        <v>4</v>
      </c>
      <c r="AX238" t="s">
        <v>74</v>
      </c>
      <c r="AY238" t="s">
        <v>74</v>
      </c>
      <c r="AZ238" t="s">
        <v>74</v>
      </c>
      <c r="BA238" t="s">
        <v>74</v>
      </c>
      <c r="BB238">
        <v>724</v>
      </c>
      <c r="BC238">
        <v>736</v>
      </c>
      <c r="BD238" t="s">
        <v>74</v>
      </c>
      <c r="BE238" t="s">
        <v>6129</v>
      </c>
      <c r="BF238" t="str">
        <f>HYPERLINK("http://dx.doi.org/10.1108/MD-04-2012-0284","http://dx.doi.org/10.1108/MD-04-2012-0284")</f>
        <v>http://dx.doi.org/10.1108/MD-04-2012-0284</v>
      </c>
      <c r="BG238" t="s">
        <v>74</v>
      </c>
      <c r="BH238" t="s">
        <v>74</v>
      </c>
      <c r="BI238">
        <v>13</v>
      </c>
      <c r="BJ238" t="s">
        <v>877</v>
      </c>
      <c r="BK238" t="s">
        <v>101</v>
      </c>
      <c r="BL238" t="s">
        <v>154</v>
      </c>
      <c r="BM238" t="s">
        <v>6130</v>
      </c>
      <c r="BN238" t="s">
        <v>74</v>
      </c>
      <c r="BO238" t="s">
        <v>156</v>
      </c>
      <c r="BP238" t="s">
        <v>74</v>
      </c>
      <c r="BQ238" t="s">
        <v>74</v>
      </c>
      <c r="BR238" t="s">
        <v>6098</v>
      </c>
      <c r="BS238" t="s">
        <v>6131</v>
      </c>
      <c r="BT238" t="str">
        <f>HYPERLINK("https%3A%2F%2Fwww.webofscience.com%2Fwos%2Fwoscc%2Ffull-record%2FWOS:000340765000005","View Full Record in Web of Science")</f>
        <v>View Full Record in Web of Science</v>
      </c>
      <c r="BU238" t="s">
        <v>6100</v>
      </c>
      <c r="BV238" s="1" t="s">
        <v>10653</v>
      </c>
    </row>
    <row r="239" spans="1:75" x14ac:dyDescent="0.35">
      <c r="A239" t="s">
        <v>72</v>
      </c>
      <c r="B239" t="s">
        <v>6252</v>
      </c>
      <c r="C239" t="s">
        <v>74</v>
      </c>
      <c r="D239" t="s">
        <v>74</v>
      </c>
      <c r="E239" t="s">
        <v>74</v>
      </c>
      <c r="F239" t="s">
        <v>6253</v>
      </c>
      <c r="G239" t="s">
        <v>74</v>
      </c>
      <c r="H239" t="s">
        <v>74</v>
      </c>
      <c r="I239" t="s">
        <v>6254</v>
      </c>
      <c r="J239" t="s">
        <v>5066</v>
      </c>
      <c r="K239" t="s">
        <v>74</v>
      </c>
      <c r="L239" t="s">
        <v>74</v>
      </c>
      <c r="M239" t="s">
        <v>78</v>
      </c>
      <c r="N239" t="s">
        <v>79</v>
      </c>
      <c r="O239" t="s">
        <v>74</v>
      </c>
      <c r="P239" t="s">
        <v>74</v>
      </c>
      <c r="Q239" t="s">
        <v>74</v>
      </c>
      <c r="R239" t="s">
        <v>74</v>
      </c>
      <c r="S239" t="s">
        <v>74</v>
      </c>
      <c r="T239" t="s">
        <v>6255</v>
      </c>
      <c r="U239" t="s">
        <v>6256</v>
      </c>
      <c r="V239" t="s">
        <v>6257</v>
      </c>
      <c r="W239" t="s">
        <v>6258</v>
      </c>
      <c r="X239" t="s">
        <v>6259</v>
      </c>
      <c r="Y239" t="s">
        <v>6260</v>
      </c>
      <c r="Z239" t="s">
        <v>6261</v>
      </c>
      <c r="AA239" t="s">
        <v>6262</v>
      </c>
      <c r="AB239" t="s">
        <v>6263</v>
      </c>
      <c r="AC239" t="s">
        <v>74</v>
      </c>
      <c r="AD239" t="s">
        <v>74</v>
      </c>
      <c r="AE239" t="s">
        <v>74</v>
      </c>
      <c r="AF239" t="s">
        <v>74</v>
      </c>
      <c r="AG239">
        <v>53</v>
      </c>
      <c r="AH239">
        <v>26</v>
      </c>
      <c r="AI239">
        <v>26</v>
      </c>
      <c r="AJ239">
        <v>4</v>
      </c>
      <c r="AK239">
        <v>74</v>
      </c>
      <c r="AL239" t="s">
        <v>1982</v>
      </c>
      <c r="AM239" t="s">
        <v>1983</v>
      </c>
      <c r="AN239" t="s">
        <v>2573</v>
      </c>
      <c r="AO239" t="s">
        <v>5076</v>
      </c>
      <c r="AP239" t="s">
        <v>5077</v>
      </c>
      <c r="AQ239" t="s">
        <v>74</v>
      </c>
      <c r="AR239" t="s">
        <v>5078</v>
      </c>
      <c r="AS239" t="s">
        <v>5079</v>
      </c>
      <c r="AT239" t="s">
        <v>74</v>
      </c>
      <c r="AU239">
        <v>2014</v>
      </c>
      <c r="AV239">
        <v>48</v>
      </c>
      <c r="AW239" t="s">
        <v>6264</v>
      </c>
      <c r="AX239" t="s">
        <v>74</v>
      </c>
      <c r="AY239" t="s">
        <v>74</v>
      </c>
      <c r="AZ239" t="s">
        <v>74</v>
      </c>
      <c r="BA239" t="s">
        <v>74</v>
      </c>
      <c r="BB239">
        <v>1092</v>
      </c>
      <c r="BC239">
        <v>1112</v>
      </c>
      <c r="BD239" t="s">
        <v>74</v>
      </c>
      <c r="BE239" t="s">
        <v>6265</v>
      </c>
      <c r="BF239" t="str">
        <f>HYPERLINK("http://dx.doi.org/10.1108/EJM-12-2011-0770","http://dx.doi.org/10.1108/EJM-12-2011-0770")</f>
        <v>http://dx.doi.org/10.1108/EJM-12-2011-0770</v>
      </c>
      <c r="BG239" t="s">
        <v>74</v>
      </c>
      <c r="BH239" t="s">
        <v>74</v>
      </c>
      <c r="BI239">
        <v>21</v>
      </c>
      <c r="BJ239" t="s">
        <v>153</v>
      </c>
      <c r="BK239" t="s">
        <v>101</v>
      </c>
      <c r="BL239" t="s">
        <v>154</v>
      </c>
      <c r="BM239" t="s">
        <v>6266</v>
      </c>
      <c r="BN239" t="s">
        <v>74</v>
      </c>
      <c r="BO239" t="s">
        <v>156</v>
      </c>
      <c r="BP239" t="s">
        <v>74</v>
      </c>
      <c r="BQ239" t="s">
        <v>74</v>
      </c>
      <c r="BR239" t="s">
        <v>6098</v>
      </c>
      <c r="BS239" t="s">
        <v>6267</v>
      </c>
      <c r="BT239" t="str">
        <f>HYPERLINK("https%3A%2F%2Fwww.webofscience.com%2Fwos%2Fwoscc%2Ffull-record%2FWOS:000339629300014","View Full Record in Web of Science")</f>
        <v>View Full Record in Web of Science</v>
      </c>
      <c r="BU239" t="s">
        <v>6100</v>
      </c>
      <c r="BV239" s="1" t="s">
        <v>6080</v>
      </c>
      <c r="BW239" s="1" t="s">
        <v>6080</v>
      </c>
    </row>
    <row r="240" spans="1:75" x14ac:dyDescent="0.35">
      <c r="A240" t="s">
        <v>72</v>
      </c>
      <c r="B240" t="s">
        <v>7444</v>
      </c>
      <c r="C240" t="s">
        <v>74</v>
      </c>
      <c r="D240" t="s">
        <v>74</v>
      </c>
      <c r="E240" t="s">
        <v>74</v>
      </c>
      <c r="F240" t="s">
        <v>7445</v>
      </c>
      <c r="G240" t="s">
        <v>74</v>
      </c>
      <c r="H240" t="s">
        <v>74</v>
      </c>
      <c r="I240" t="s">
        <v>7446</v>
      </c>
      <c r="J240" t="s">
        <v>5066</v>
      </c>
      <c r="K240" t="s">
        <v>74</v>
      </c>
      <c r="L240" t="s">
        <v>74</v>
      </c>
      <c r="M240" t="s">
        <v>78</v>
      </c>
      <c r="N240" t="s">
        <v>79</v>
      </c>
      <c r="O240" t="s">
        <v>74</v>
      </c>
      <c r="P240" t="s">
        <v>74</v>
      </c>
      <c r="Q240" t="s">
        <v>74</v>
      </c>
      <c r="R240" t="s">
        <v>74</v>
      </c>
      <c r="S240" t="s">
        <v>74</v>
      </c>
      <c r="T240" t="s">
        <v>7447</v>
      </c>
      <c r="U240" t="s">
        <v>7448</v>
      </c>
      <c r="V240" t="s">
        <v>7449</v>
      </c>
      <c r="W240" t="s">
        <v>7450</v>
      </c>
      <c r="X240" t="s">
        <v>7451</v>
      </c>
      <c r="Y240" t="s">
        <v>7452</v>
      </c>
      <c r="Z240" t="s">
        <v>7453</v>
      </c>
      <c r="AA240" t="s">
        <v>74</v>
      </c>
      <c r="AB240" t="s">
        <v>1345</v>
      </c>
      <c r="AC240" t="s">
        <v>74</v>
      </c>
      <c r="AD240" t="s">
        <v>74</v>
      </c>
      <c r="AE240" t="s">
        <v>74</v>
      </c>
      <c r="AF240" t="s">
        <v>74</v>
      </c>
      <c r="AG240">
        <v>50</v>
      </c>
      <c r="AH240">
        <v>41</v>
      </c>
      <c r="AI240">
        <v>42</v>
      </c>
      <c r="AJ240">
        <v>5</v>
      </c>
      <c r="AK240">
        <v>91</v>
      </c>
      <c r="AL240" t="s">
        <v>1982</v>
      </c>
      <c r="AM240" t="s">
        <v>1983</v>
      </c>
      <c r="AN240" t="s">
        <v>2573</v>
      </c>
      <c r="AO240" t="s">
        <v>5076</v>
      </c>
      <c r="AP240" t="s">
        <v>5077</v>
      </c>
      <c r="AQ240" t="s">
        <v>74</v>
      </c>
      <c r="AR240" t="s">
        <v>5078</v>
      </c>
      <c r="AS240" t="s">
        <v>5079</v>
      </c>
      <c r="AT240" t="s">
        <v>74</v>
      </c>
      <c r="AU240">
        <v>2014</v>
      </c>
      <c r="AV240">
        <v>48</v>
      </c>
      <c r="AW240" t="s">
        <v>7454</v>
      </c>
      <c r="AX240" t="s">
        <v>74</v>
      </c>
      <c r="AY240" t="s">
        <v>74</v>
      </c>
      <c r="AZ240" t="s">
        <v>74</v>
      </c>
      <c r="BA240" t="s">
        <v>74</v>
      </c>
      <c r="BB240">
        <v>2176</v>
      </c>
      <c r="BC240">
        <v>2197</v>
      </c>
      <c r="BD240" t="s">
        <v>74</v>
      </c>
      <c r="BE240" t="s">
        <v>7455</v>
      </c>
      <c r="BF240" t="str">
        <f>HYPERLINK("http://dx.doi.org/10.1108/EJM-06-2013-0291","http://dx.doi.org/10.1108/EJM-06-2013-0291")</f>
        <v>http://dx.doi.org/10.1108/EJM-06-2013-0291</v>
      </c>
      <c r="BG240" t="s">
        <v>74</v>
      </c>
      <c r="BH240" t="s">
        <v>74</v>
      </c>
      <c r="BI240">
        <v>22</v>
      </c>
      <c r="BJ240" t="s">
        <v>153</v>
      </c>
      <c r="BK240" t="s">
        <v>101</v>
      </c>
      <c r="BL240" t="s">
        <v>154</v>
      </c>
      <c r="BM240" t="s">
        <v>7456</v>
      </c>
      <c r="BN240" t="s">
        <v>74</v>
      </c>
      <c r="BO240" t="s">
        <v>74</v>
      </c>
      <c r="BP240" t="s">
        <v>74</v>
      </c>
      <c r="BQ240" t="s">
        <v>74</v>
      </c>
      <c r="BR240" t="s">
        <v>6098</v>
      </c>
      <c r="BS240" t="s">
        <v>7457</v>
      </c>
      <c r="BT240" t="str">
        <f>HYPERLINK("https%3A%2F%2Fwww.webofscience.com%2Fwos%2Fwoscc%2Ffull-record%2FWOS:000347715700012","View Full Record in Web of Science")</f>
        <v>View Full Record in Web of Science</v>
      </c>
      <c r="BU240" t="s">
        <v>6100</v>
      </c>
      <c r="BV240" s="1" t="s">
        <v>6080</v>
      </c>
      <c r="BW240" s="1" t="s">
        <v>6080</v>
      </c>
    </row>
    <row r="241" spans="1:75" x14ac:dyDescent="0.35">
      <c r="A241" t="s">
        <v>72</v>
      </c>
      <c r="B241" t="s">
        <v>8438</v>
      </c>
      <c r="C241" t="s">
        <v>74</v>
      </c>
      <c r="D241" t="s">
        <v>74</v>
      </c>
      <c r="E241" t="s">
        <v>74</v>
      </c>
      <c r="F241" t="s">
        <v>8439</v>
      </c>
      <c r="G241" t="s">
        <v>74</v>
      </c>
      <c r="H241" t="s">
        <v>74</v>
      </c>
      <c r="I241" t="s">
        <v>8440</v>
      </c>
      <c r="J241" t="s">
        <v>6745</v>
      </c>
      <c r="K241" t="s">
        <v>74</v>
      </c>
      <c r="L241" t="s">
        <v>74</v>
      </c>
      <c r="M241" t="s">
        <v>78</v>
      </c>
      <c r="N241" t="s">
        <v>79</v>
      </c>
      <c r="O241" t="s">
        <v>74</v>
      </c>
      <c r="P241" t="s">
        <v>74</v>
      </c>
      <c r="Q241" t="s">
        <v>74</v>
      </c>
      <c r="R241" t="s">
        <v>74</v>
      </c>
      <c r="S241" t="s">
        <v>74</v>
      </c>
      <c r="T241" t="s">
        <v>8441</v>
      </c>
      <c r="U241" t="s">
        <v>8442</v>
      </c>
      <c r="V241" t="s">
        <v>8443</v>
      </c>
      <c r="W241" t="s">
        <v>8444</v>
      </c>
      <c r="X241" t="s">
        <v>1490</v>
      </c>
      <c r="Y241" t="s">
        <v>8445</v>
      </c>
      <c r="Z241" t="s">
        <v>8446</v>
      </c>
      <c r="AA241" t="s">
        <v>74</v>
      </c>
      <c r="AB241" t="s">
        <v>74</v>
      </c>
      <c r="AC241" t="s">
        <v>74</v>
      </c>
      <c r="AD241" t="s">
        <v>74</v>
      </c>
      <c r="AE241" t="s">
        <v>74</v>
      </c>
      <c r="AF241" t="s">
        <v>74</v>
      </c>
      <c r="AG241">
        <v>77</v>
      </c>
      <c r="AH241">
        <v>36</v>
      </c>
      <c r="AI241">
        <v>36</v>
      </c>
      <c r="AJ241">
        <v>3</v>
      </c>
      <c r="AK241">
        <v>50</v>
      </c>
      <c r="AL241" t="s">
        <v>1180</v>
      </c>
      <c r="AM241" t="s">
        <v>1181</v>
      </c>
      <c r="AN241" t="s">
        <v>8378</v>
      </c>
      <c r="AO241" t="s">
        <v>6754</v>
      </c>
      <c r="AP241" t="s">
        <v>6755</v>
      </c>
      <c r="AQ241" t="s">
        <v>74</v>
      </c>
      <c r="AR241" t="s">
        <v>6756</v>
      </c>
      <c r="AS241" t="s">
        <v>6757</v>
      </c>
      <c r="AT241" t="s">
        <v>8447</v>
      </c>
      <c r="AU241">
        <v>2014</v>
      </c>
      <c r="AV241">
        <v>17</v>
      </c>
      <c r="AW241">
        <v>6</v>
      </c>
      <c r="AX241" t="s">
        <v>74</v>
      </c>
      <c r="AY241" t="s">
        <v>74</v>
      </c>
      <c r="AZ241" t="s">
        <v>74</v>
      </c>
      <c r="BA241" t="s">
        <v>74</v>
      </c>
      <c r="BB241">
        <v>553</v>
      </c>
      <c r="BC241">
        <v>572</v>
      </c>
      <c r="BD241" t="s">
        <v>74</v>
      </c>
      <c r="BE241" t="s">
        <v>8448</v>
      </c>
      <c r="BF241" t="str">
        <f>HYPERLINK("http://dx.doi.org/10.1080/10253866.2013.879817","http://dx.doi.org/10.1080/10253866.2013.879817")</f>
        <v>http://dx.doi.org/10.1080/10253866.2013.879817</v>
      </c>
      <c r="BG241" t="s">
        <v>74</v>
      </c>
      <c r="BH241" t="s">
        <v>74</v>
      </c>
      <c r="BI241">
        <v>20</v>
      </c>
      <c r="BJ241" t="s">
        <v>153</v>
      </c>
      <c r="BK241" t="s">
        <v>101</v>
      </c>
      <c r="BL241" t="s">
        <v>154</v>
      </c>
      <c r="BM241" t="s">
        <v>8449</v>
      </c>
      <c r="BN241" t="s">
        <v>74</v>
      </c>
      <c r="BO241" t="s">
        <v>74</v>
      </c>
      <c r="BP241" t="s">
        <v>74</v>
      </c>
      <c r="BQ241" t="s">
        <v>74</v>
      </c>
      <c r="BR241" t="s">
        <v>6098</v>
      </c>
      <c r="BS241" t="s">
        <v>8450</v>
      </c>
      <c r="BT241" t="str">
        <f>HYPERLINK("https%3A%2F%2Fwww.webofscience.com%2Fwos%2Fwoscc%2Ffull-record%2FWOS:000343651100003","View Full Record in Web of Science")</f>
        <v>View Full Record in Web of Science</v>
      </c>
      <c r="BU241" t="s">
        <v>6100</v>
      </c>
      <c r="BV241" s="1" t="s">
        <v>6080</v>
      </c>
      <c r="BW241" s="1" t="s">
        <v>10653</v>
      </c>
    </row>
    <row r="242" spans="1:75" ht="319" x14ac:dyDescent="0.35">
      <c r="A242" s="1" t="s">
        <v>72</v>
      </c>
      <c r="B242" s="1" t="s">
        <v>73</v>
      </c>
      <c r="C242" s="1" t="s">
        <v>74</v>
      </c>
      <c r="D242" s="1" t="s">
        <v>74</v>
      </c>
      <c r="E242" s="1" t="s">
        <v>74</v>
      </c>
      <c r="F242" s="1" t="s">
        <v>75</v>
      </c>
      <c r="G242" s="1" t="s">
        <v>74</v>
      </c>
      <c r="H242" s="1" t="s">
        <v>74</v>
      </c>
      <c r="I242" s="1" t="s">
        <v>76</v>
      </c>
      <c r="J242" s="1" t="s">
        <v>77</v>
      </c>
      <c r="K242" s="1" t="s">
        <v>74</v>
      </c>
      <c r="L242" s="1" t="s">
        <v>74</v>
      </c>
      <c r="M242" s="1" t="s">
        <v>78</v>
      </c>
      <c r="N242" s="1" t="s">
        <v>79</v>
      </c>
      <c r="O242" s="1" t="s">
        <v>74</v>
      </c>
      <c r="P242" s="1" t="s">
        <v>74</v>
      </c>
      <c r="Q242" s="1" t="s">
        <v>74</v>
      </c>
      <c r="R242" s="1" t="s">
        <v>74</v>
      </c>
      <c r="S242" s="1" t="s">
        <v>74</v>
      </c>
      <c r="T242" s="1" t="s">
        <v>80</v>
      </c>
      <c r="U242" s="1" t="s">
        <v>81</v>
      </c>
      <c r="V242" s="1" t="s">
        <v>82</v>
      </c>
      <c r="W242" s="1" t="s">
        <v>83</v>
      </c>
      <c r="X242" s="1" t="s">
        <v>84</v>
      </c>
      <c r="Y242" s="1" t="s">
        <v>85</v>
      </c>
      <c r="Z242" s="1" t="s">
        <v>86</v>
      </c>
      <c r="AA242" s="1" t="s">
        <v>87</v>
      </c>
      <c r="AB242" s="1" t="s">
        <v>88</v>
      </c>
      <c r="AC242" s="1" t="s">
        <v>89</v>
      </c>
      <c r="AD242" s="1" t="s">
        <v>89</v>
      </c>
      <c r="AE242" s="1" t="s">
        <v>90</v>
      </c>
      <c r="AF242" s="1" t="s">
        <v>74</v>
      </c>
      <c r="AG242" s="1">
        <v>91</v>
      </c>
      <c r="AH242" s="1">
        <v>19</v>
      </c>
      <c r="AI242" s="1">
        <v>19</v>
      </c>
      <c r="AJ242" s="1">
        <v>0</v>
      </c>
      <c r="AK242" s="1">
        <v>39</v>
      </c>
      <c r="AL242" s="1" t="s">
        <v>91</v>
      </c>
      <c r="AM242" s="1" t="s">
        <v>92</v>
      </c>
      <c r="AN242" s="1" t="s">
        <v>93</v>
      </c>
      <c r="AO242" s="1" t="s">
        <v>94</v>
      </c>
      <c r="AP242" s="1" t="s">
        <v>95</v>
      </c>
      <c r="AQ242" s="1" t="s">
        <v>74</v>
      </c>
      <c r="AR242" s="1" t="s">
        <v>96</v>
      </c>
      <c r="AS242" s="1" t="s">
        <v>97</v>
      </c>
      <c r="AT242" s="1" t="s">
        <v>98</v>
      </c>
      <c r="AU242" s="1">
        <v>2015</v>
      </c>
      <c r="AV242" s="1">
        <v>109</v>
      </c>
      <c r="AW242" s="1">
        <v>1</v>
      </c>
      <c r="AX242" s="1" t="s">
        <v>74</v>
      </c>
      <c r="AY242" s="1" t="s">
        <v>74</v>
      </c>
      <c r="AZ242" s="1" t="s">
        <v>74</v>
      </c>
      <c r="BA242" s="1" t="s">
        <v>74</v>
      </c>
      <c r="BB242" s="1">
        <v>20</v>
      </c>
      <c r="BC242" s="1">
        <v>34</v>
      </c>
      <c r="BD242" s="1" t="s">
        <v>74</v>
      </c>
      <c r="BE242" s="1" t="s">
        <v>99</v>
      </c>
      <c r="BF242" s="1" t="str">
        <f>HYPERLINK("http://dx.doi.org/10.1037/pspa0000025","http://dx.doi.org/10.1037/pspa0000025")</f>
        <v>http://dx.doi.org/10.1037/pspa0000025</v>
      </c>
      <c r="BG242" s="1" t="s">
        <v>74</v>
      </c>
      <c r="BH242" s="1" t="s">
        <v>74</v>
      </c>
      <c r="BI242" s="1">
        <v>15</v>
      </c>
      <c r="BJ242" s="1" t="s">
        <v>100</v>
      </c>
      <c r="BK242" s="1" t="s">
        <v>101</v>
      </c>
      <c r="BL242" s="1" t="s">
        <v>102</v>
      </c>
      <c r="BM242" s="1" t="s">
        <v>103</v>
      </c>
      <c r="BN242" s="1">
        <v>26030055</v>
      </c>
      <c r="BO242" s="1" t="s">
        <v>74</v>
      </c>
      <c r="BP242" s="1" t="s">
        <v>74</v>
      </c>
      <c r="BQ242" s="1" t="s">
        <v>74</v>
      </c>
      <c r="BR242" s="1" t="s">
        <v>104</v>
      </c>
      <c r="BS242" s="1" t="s">
        <v>105</v>
      </c>
      <c r="BT242" s="1" t="str">
        <f>HYPERLINK("https%3A%2F%2Fwww.webofscience.com%2Fwos%2Fwoscc%2Ffull-record%2FWOS:000356598600002","View Full Record in Web of Science")</f>
        <v>View Full Record in Web of Science</v>
      </c>
      <c r="BU242" s="1" t="s">
        <v>2040</v>
      </c>
      <c r="BV242" s="1" t="s">
        <v>10653</v>
      </c>
    </row>
    <row r="243" spans="1:75" ht="275.5" x14ac:dyDescent="0.35">
      <c r="A243" s="1" t="s">
        <v>72</v>
      </c>
      <c r="B243" s="1" t="s">
        <v>195</v>
      </c>
      <c r="C243" s="1" t="s">
        <v>74</v>
      </c>
      <c r="D243" s="1" t="s">
        <v>74</v>
      </c>
      <c r="E243" s="1" t="s">
        <v>74</v>
      </c>
      <c r="F243" s="1" t="s">
        <v>196</v>
      </c>
      <c r="G243" s="1" t="s">
        <v>74</v>
      </c>
      <c r="H243" s="1" t="s">
        <v>74</v>
      </c>
      <c r="I243" s="1" t="s">
        <v>197</v>
      </c>
      <c r="J243" s="1" t="s">
        <v>198</v>
      </c>
      <c r="K243" s="1" t="s">
        <v>74</v>
      </c>
      <c r="L243" s="1" t="s">
        <v>74</v>
      </c>
      <c r="M243" s="1" t="s">
        <v>78</v>
      </c>
      <c r="N243" s="1" t="s">
        <v>79</v>
      </c>
      <c r="O243" s="1" t="s">
        <v>74</v>
      </c>
      <c r="P243" s="1" t="s">
        <v>74</v>
      </c>
      <c r="Q243" s="1" t="s">
        <v>74</v>
      </c>
      <c r="R243" s="1" t="s">
        <v>74</v>
      </c>
      <c r="S243" s="1" t="s">
        <v>74</v>
      </c>
      <c r="T243" s="1" t="s">
        <v>74</v>
      </c>
      <c r="U243" s="1" t="s">
        <v>199</v>
      </c>
      <c r="V243" s="1" t="s">
        <v>200</v>
      </c>
      <c r="W243" s="1" t="s">
        <v>201</v>
      </c>
      <c r="X243" s="1" t="s">
        <v>202</v>
      </c>
      <c r="Y243" s="1" t="s">
        <v>203</v>
      </c>
      <c r="Z243" s="1" t="s">
        <v>204</v>
      </c>
      <c r="AA243" s="1" t="s">
        <v>205</v>
      </c>
      <c r="AB243" s="1" t="s">
        <v>74</v>
      </c>
      <c r="AC243" s="1" t="s">
        <v>74</v>
      </c>
      <c r="AD243" s="1" t="s">
        <v>74</v>
      </c>
      <c r="AE243" s="1" t="s">
        <v>74</v>
      </c>
      <c r="AF243" s="1" t="s">
        <v>74</v>
      </c>
      <c r="AG243" s="1">
        <v>71</v>
      </c>
      <c r="AH243" s="1">
        <v>506</v>
      </c>
      <c r="AI243" s="1">
        <v>514</v>
      </c>
      <c r="AJ243" s="1">
        <v>41</v>
      </c>
      <c r="AK243" s="1">
        <v>744</v>
      </c>
      <c r="AL243" s="1" t="s">
        <v>206</v>
      </c>
      <c r="AM243" s="1" t="s">
        <v>207</v>
      </c>
      <c r="AN243" s="1" t="s">
        <v>208</v>
      </c>
      <c r="AO243" s="1" t="s">
        <v>209</v>
      </c>
      <c r="AP243" s="1" t="s">
        <v>210</v>
      </c>
      <c r="AQ243" s="1" t="s">
        <v>74</v>
      </c>
      <c r="AR243" s="1" t="s">
        <v>211</v>
      </c>
      <c r="AS243" s="1" t="s">
        <v>212</v>
      </c>
      <c r="AT243" s="1" t="s">
        <v>213</v>
      </c>
      <c r="AU243" s="1">
        <v>2015</v>
      </c>
      <c r="AV243" s="1">
        <v>32</v>
      </c>
      <c r="AW243" s="1">
        <v>1</v>
      </c>
      <c r="AX243" s="1" t="s">
        <v>74</v>
      </c>
      <c r="AY243" s="1" t="s">
        <v>74</v>
      </c>
      <c r="AZ243" s="1" t="s">
        <v>74</v>
      </c>
      <c r="BA243" s="1" t="s">
        <v>74</v>
      </c>
      <c r="BB243" s="1">
        <v>15</v>
      </c>
      <c r="BC243" s="1">
        <v>27</v>
      </c>
      <c r="BD243" s="1" t="s">
        <v>74</v>
      </c>
      <c r="BE243" s="1" t="s">
        <v>214</v>
      </c>
      <c r="BF243" s="1" t="str">
        <f>HYPERLINK("http://dx.doi.org/10.1002/mar.20761","http://dx.doi.org/10.1002/mar.20761")</f>
        <v>http://dx.doi.org/10.1002/mar.20761</v>
      </c>
      <c r="BG243" s="1" t="s">
        <v>74</v>
      </c>
      <c r="BH243" s="1" t="s">
        <v>74</v>
      </c>
      <c r="BI243" s="1">
        <v>13</v>
      </c>
      <c r="BJ243" s="1" t="s">
        <v>215</v>
      </c>
      <c r="BK243" s="1" t="s">
        <v>101</v>
      </c>
      <c r="BL243" s="1" t="s">
        <v>216</v>
      </c>
      <c r="BM243" s="1" t="s">
        <v>217</v>
      </c>
      <c r="BN243" s="1" t="s">
        <v>74</v>
      </c>
      <c r="BO243" s="1" t="s">
        <v>74</v>
      </c>
      <c r="BP243" s="1" t="s">
        <v>218</v>
      </c>
      <c r="BQ243" s="1" t="s">
        <v>219</v>
      </c>
      <c r="BR243" s="1" t="s">
        <v>104</v>
      </c>
      <c r="BS243" s="1" t="s">
        <v>220</v>
      </c>
      <c r="BT243" s="1" t="str">
        <f>HYPERLINK("https%3A%2F%2Fwww.webofscience.com%2Fwos%2Fwoscc%2Ffull-record%2FWOS:000349071500002","View Full Record in Web of Science")</f>
        <v>View Full Record in Web of Science</v>
      </c>
      <c r="BU243" s="1" t="s">
        <v>2040</v>
      </c>
      <c r="BV243" s="1" t="s">
        <v>6080</v>
      </c>
      <c r="BW243" s="1" t="s">
        <v>6080</v>
      </c>
    </row>
    <row r="244" spans="1:75" ht="290" x14ac:dyDescent="0.35">
      <c r="A244" s="1" t="s">
        <v>578</v>
      </c>
      <c r="B244" s="1" t="s">
        <v>579</v>
      </c>
      <c r="C244" s="1" t="s">
        <v>74</v>
      </c>
      <c r="D244" s="1" t="s">
        <v>74</v>
      </c>
      <c r="E244" s="1" t="s">
        <v>580</v>
      </c>
      <c r="F244" s="1" t="s">
        <v>581</v>
      </c>
      <c r="G244" s="1" t="s">
        <v>74</v>
      </c>
      <c r="H244" s="1" t="s">
        <v>74</v>
      </c>
      <c r="I244" s="1" t="s">
        <v>582</v>
      </c>
      <c r="J244" s="1" t="s">
        <v>583</v>
      </c>
      <c r="K244" s="1" t="s">
        <v>74</v>
      </c>
      <c r="L244" s="1" t="s">
        <v>74</v>
      </c>
      <c r="M244" s="1" t="s">
        <v>78</v>
      </c>
      <c r="N244" s="1" t="s">
        <v>584</v>
      </c>
      <c r="O244" s="1" t="s">
        <v>585</v>
      </c>
      <c r="P244" s="1" t="s">
        <v>586</v>
      </c>
      <c r="Q244" s="1" t="s">
        <v>587</v>
      </c>
      <c r="R244" s="1" t="s">
        <v>588</v>
      </c>
      <c r="S244" s="1" t="s">
        <v>589</v>
      </c>
      <c r="T244" s="1" t="s">
        <v>590</v>
      </c>
      <c r="U244" s="1" t="s">
        <v>591</v>
      </c>
      <c r="V244" s="1" t="s">
        <v>592</v>
      </c>
      <c r="W244" s="1" t="s">
        <v>593</v>
      </c>
      <c r="X244" s="1" t="s">
        <v>594</v>
      </c>
      <c r="Y244" s="1" t="s">
        <v>595</v>
      </c>
      <c r="Z244" s="1" t="s">
        <v>596</v>
      </c>
      <c r="AA244" s="1" t="s">
        <v>74</v>
      </c>
      <c r="AB244" s="1" t="s">
        <v>74</v>
      </c>
      <c r="AC244" s="1" t="s">
        <v>597</v>
      </c>
      <c r="AD244" s="1" t="s">
        <v>597</v>
      </c>
      <c r="AE244" s="1" t="s">
        <v>598</v>
      </c>
      <c r="AF244" s="1" t="s">
        <v>74</v>
      </c>
      <c r="AG244" s="1">
        <v>22</v>
      </c>
      <c r="AH244" s="1">
        <v>21</v>
      </c>
      <c r="AI244" s="1">
        <v>22</v>
      </c>
      <c r="AJ244" s="1">
        <v>0</v>
      </c>
      <c r="AK244" s="1">
        <v>1</v>
      </c>
      <c r="AL244" s="1" t="s">
        <v>599</v>
      </c>
      <c r="AM244" s="1" t="s">
        <v>325</v>
      </c>
      <c r="AN244" s="1" t="s">
        <v>600</v>
      </c>
      <c r="AO244" s="1" t="s">
        <v>74</v>
      </c>
      <c r="AP244" s="1" t="s">
        <v>74</v>
      </c>
      <c r="AQ244" s="1" t="s">
        <v>601</v>
      </c>
      <c r="AR244" s="1" t="s">
        <v>74</v>
      </c>
      <c r="AS244" s="1" t="s">
        <v>74</v>
      </c>
      <c r="AT244" s="1" t="s">
        <v>74</v>
      </c>
      <c r="AU244" s="1">
        <v>2015</v>
      </c>
      <c r="AV244" s="1" t="s">
        <v>74</v>
      </c>
      <c r="AW244" s="1" t="s">
        <v>74</v>
      </c>
      <c r="AX244" s="1" t="s">
        <v>74</v>
      </c>
      <c r="AY244" s="1" t="s">
        <v>74</v>
      </c>
      <c r="AZ244" s="1" t="s">
        <v>74</v>
      </c>
      <c r="BA244" s="1" t="s">
        <v>74</v>
      </c>
      <c r="BB244" s="1">
        <v>1779</v>
      </c>
      <c r="BC244" s="1">
        <v>1788</v>
      </c>
      <c r="BD244" s="1" t="s">
        <v>74</v>
      </c>
      <c r="BE244" s="1" t="s">
        <v>602</v>
      </c>
      <c r="BF244" s="1" t="str">
        <f>HYPERLINK("http://dx.doi.org/10.1145/2783258.2788608","http://dx.doi.org/10.1145/2783258.2788608")</f>
        <v>http://dx.doi.org/10.1145/2783258.2788608</v>
      </c>
      <c r="BG244" s="1" t="s">
        <v>74</v>
      </c>
      <c r="BH244" s="1" t="s">
        <v>74</v>
      </c>
      <c r="BI244" s="1">
        <v>10</v>
      </c>
      <c r="BJ244" s="1" t="s">
        <v>603</v>
      </c>
      <c r="BK244" s="1" t="s">
        <v>604</v>
      </c>
      <c r="BL244" s="1" t="s">
        <v>417</v>
      </c>
      <c r="BM244" s="1" t="s">
        <v>605</v>
      </c>
      <c r="BN244" s="1" t="s">
        <v>74</v>
      </c>
      <c r="BO244" s="1" t="s">
        <v>74</v>
      </c>
      <c r="BP244" s="1" t="s">
        <v>74</v>
      </c>
      <c r="BQ244" s="1" t="s">
        <v>74</v>
      </c>
      <c r="BR244" s="1" t="s">
        <v>104</v>
      </c>
      <c r="BS244" s="1" t="s">
        <v>606</v>
      </c>
      <c r="BT244" s="1" t="str">
        <f>HYPERLINK("https%3A%2F%2Fwww.webofscience.com%2Fwos%2Fwoscc%2Ffull-record%2FWOS:000485312900189","View Full Record in Web of Science")</f>
        <v>View Full Record in Web of Science</v>
      </c>
      <c r="BU244" s="1" t="s">
        <v>2040</v>
      </c>
      <c r="BV244" s="1" t="s">
        <v>10653</v>
      </c>
    </row>
    <row r="245" spans="1:75" ht="409.5" x14ac:dyDescent="0.35">
      <c r="A245" s="1" t="s">
        <v>72</v>
      </c>
      <c r="B245" s="1" t="s">
        <v>639</v>
      </c>
      <c r="C245" s="1" t="s">
        <v>74</v>
      </c>
      <c r="D245" s="1" t="s">
        <v>74</v>
      </c>
      <c r="E245" s="1" t="s">
        <v>74</v>
      </c>
      <c r="F245" s="1" t="s">
        <v>640</v>
      </c>
      <c r="G245" s="1" t="s">
        <v>74</v>
      </c>
      <c r="H245" s="1" t="s">
        <v>74</v>
      </c>
      <c r="I245" s="1" t="s">
        <v>641</v>
      </c>
      <c r="J245" s="1" t="s">
        <v>642</v>
      </c>
      <c r="K245" s="1" t="s">
        <v>74</v>
      </c>
      <c r="L245" s="1" t="s">
        <v>74</v>
      </c>
      <c r="M245" s="1" t="s">
        <v>78</v>
      </c>
      <c r="N245" s="1" t="s">
        <v>79</v>
      </c>
      <c r="O245" s="1" t="s">
        <v>74</v>
      </c>
      <c r="P245" s="1" t="s">
        <v>74</v>
      </c>
      <c r="Q245" s="1" t="s">
        <v>74</v>
      </c>
      <c r="R245" s="1" t="s">
        <v>74</v>
      </c>
      <c r="S245" s="1" t="s">
        <v>74</v>
      </c>
      <c r="T245" s="1" t="s">
        <v>643</v>
      </c>
      <c r="U245" s="1" t="s">
        <v>644</v>
      </c>
      <c r="V245" s="1" t="s">
        <v>645</v>
      </c>
      <c r="W245" s="1" t="s">
        <v>646</v>
      </c>
      <c r="X245" s="1" t="s">
        <v>647</v>
      </c>
      <c r="Y245" s="1" t="s">
        <v>648</v>
      </c>
      <c r="Z245" s="1" t="s">
        <v>649</v>
      </c>
      <c r="AA245" s="1" t="s">
        <v>650</v>
      </c>
      <c r="AB245" s="1" t="s">
        <v>651</v>
      </c>
      <c r="AC245" s="1" t="s">
        <v>74</v>
      </c>
      <c r="AD245" s="1" t="s">
        <v>74</v>
      </c>
      <c r="AE245" s="1" t="s">
        <v>74</v>
      </c>
      <c r="AF245" s="1" t="s">
        <v>74</v>
      </c>
      <c r="AG245" s="1">
        <v>35</v>
      </c>
      <c r="AH245" s="1">
        <v>1717</v>
      </c>
      <c r="AI245" s="1">
        <v>1755</v>
      </c>
      <c r="AJ245" s="1">
        <v>74</v>
      </c>
      <c r="AK245" s="1">
        <v>1004</v>
      </c>
      <c r="AL245" s="1" t="s">
        <v>652</v>
      </c>
      <c r="AM245" s="1" t="s">
        <v>653</v>
      </c>
      <c r="AN245" s="1" t="s">
        <v>654</v>
      </c>
      <c r="AO245" s="1" t="s">
        <v>655</v>
      </c>
      <c r="AP245" s="1" t="s">
        <v>656</v>
      </c>
      <c r="AQ245" s="1" t="s">
        <v>74</v>
      </c>
      <c r="AR245" s="1" t="s">
        <v>657</v>
      </c>
      <c r="AS245" s="1" t="s">
        <v>658</v>
      </c>
      <c r="AT245" s="1" t="s">
        <v>294</v>
      </c>
      <c r="AU245" s="1">
        <v>2015</v>
      </c>
      <c r="AV245" s="1">
        <v>35</v>
      </c>
      <c r="AW245" s="1">
        <v>2</v>
      </c>
      <c r="AX245" s="1" t="s">
        <v>74</v>
      </c>
      <c r="AY245" s="1" t="s">
        <v>74</v>
      </c>
      <c r="AZ245" s="1" t="s">
        <v>74</v>
      </c>
      <c r="BA245" s="1" t="s">
        <v>74</v>
      </c>
      <c r="BB245" s="1">
        <v>137</v>
      </c>
      <c r="BC245" s="1">
        <v>144</v>
      </c>
      <c r="BD245" s="1" t="s">
        <v>74</v>
      </c>
      <c r="BE245" s="1" t="s">
        <v>659</v>
      </c>
      <c r="BF245" s="1" t="str">
        <f>HYPERLINK("http://dx.doi.org/10.1016/j.ijinfomgt.2014.10.007","http://dx.doi.org/10.1016/j.ijinfomgt.2014.10.007")</f>
        <v>http://dx.doi.org/10.1016/j.ijinfomgt.2014.10.007</v>
      </c>
      <c r="BG245" s="1" t="s">
        <v>74</v>
      </c>
      <c r="BH245" s="1" t="s">
        <v>74</v>
      </c>
      <c r="BI245" s="1">
        <v>8</v>
      </c>
      <c r="BJ245" s="1" t="s">
        <v>660</v>
      </c>
      <c r="BK245" s="1" t="s">
        <v>101</v>
      </c>
      <c r="BL245" s="1" t="s">
        <v>660</v>
      </c>
      <c r="BM245" s="1" t="s">
        <v>661</v>
      </c>
      <c r="BN245" s="1" t="s">
        <v>74</v>
      </c>
      <c r="BO245" s="1" t="s">
        <v>662</v>
      </c>
      <c r="BP245" s="1" t="s">
        <v>218</v>
      </c>
      <c r="BQ245" s="1" t="s">
        <v>219</v>
      </c>
      <c r="BR245" s="1" t="s">
        <v>104</v>
      </c>
      <c r="BS245" s="1" t="s">
        <v>663</v>
      </c>
      <c r="BT245" s="1" t="str">
        <f>HYPERLINK("https%3A%2F%2Fwww.webofscience.com%2Fwos%2Fwoscc%2Ffull-record%2FWOS:000351321100001","View Full Record in Web of Science")</f>
        <v>View Full Record in Web of Science</v>
      </c>
      <c r="BU245" s="1" t="s">
        <v>2040</v>
      </c>
      <c r="BV245" s="1" t="s">
        <v>10653</v>
      </c>
    </row>
    <row r="246" spans="1:75" ht="348" x14ac:dyDescent="0.35">
      <c r="A246" s="1" t="s">
        <v>72</v>
      </c>
      <c r="B246" s="1" t="s">
        <v>807</v>
      </c>
      <c r="C246" s="1" t="s">
        <v>74</v>
      </c>
      <c r="D246" s="1" t="s">
        <v>74</v>
      </c>
      <c r="E246" s="1" t="s">
        <v>74</v>
      </c>
      <c r="F246" s="1" t="s">
        <v>808</v>
      </c>
      <c r="G246" s="1" t="s">
        <v>74</v>
      </c>
      <c r="H246" s="1" t="s">
        <v>74</v>
      </c>
      <c r="I246" s="1" t="s">
        <v>809</v>
      </c>
      <c r="J246" s="1" t="s">
        <v>810</v>
      </c>
      <c r="K246" s="1" t="s">
        <v>74</v>
      </c>
      <c r="L246" s="1" t="s">
        <v>74</v>
      </c>
      <c r="M246" s="1" t="s">
        <v>78</v>
      </c>
      <c r="N246" s="1" t="s">
        <v>79</v>
      </c>
      <c r="O246" s="1" t="s">
        <v>74</v>
      </c>
      <c r="P246" s="1" t="s">
        <v>74</v>
      </c>
      <c r="Q246" s="1" t="s">
        <v>74</v>
      </c>
      <c r="R246" s="1" t="s">
        <v>74</v>
      </c>
      <c r="S246" s="1" t="s">
        <v>74</v>
      </c>
      <c r="T246" s="1" t="s">
        <v>811</v>
      </c>
      <c r="U246" s="1" t="s">
        <v>812</v>
      </c>
      <c r="V246" s="1" t="s">
        <v>813</v>
      </c>
      <c r="W246" s="1" t="s">
        <v>814</v>
      </c>
      <c r="X246" s="1" t="s">
        <v>815</v>
      </c>
      <c r="Y246" s="1" t="s">
        <v>816</v>
      </c>
      <c r="Z246" s="1" t="s">
        <v>817</v>
      </c>
      <c r="AA246" s="1" t="s">
        <v>74</v>
      </c>
      <c r="AB246" s="1" t="s">
        <v>74</v>
      </c>
      <c r="AC246" s="1" t="s">
        <v>818</v>
      </c>
      <c r="AD246" s="1" t="s">
        <v>818</v>
      </c>
      <c r="AE246" s="1" t="s">
        <v>819</v>
      </c>
      <c r="AF246" s="1" t="s">
        <v>74</v>
      </c>
      <c r="AG246" s="1">
        <v>66</v>
      </c>
      <c r="AH246" s="1">
        <v>208</v>
      </c>
      <c r="AI246" s="1">
        <v>210</v>
      </c>
      <c r="AJ246" s="1">
        <v>19</v>
      </c>
      <c r="AK246" s="1">
        <v>225</v>
      </c>
      <c r="AL246" s="1" t="s">
        <v>820</v>
      </c>
      <c r="AM246" s="1" t="s">
        <v>325</v>
      </c>
      <c r="AN246" s="1" t="s">
        <v>821</v>
      </c>
      <c r="AO246" s="1" t="s">
        <v>822</v>
      </c>
      <c r="AP246" s="1" t="s">
        <v>823</v>
      </c>
      <c r="AQ246" s="1" t="s">
        <v>74</v>
      </c>
      <c r="AR246" s="1" t="s">
        <v>824</v>
      </c>
      <c r="AS246" s="1" t="s">
        <v>825</v>
      </c>
      <c r="AT246" s="1" t="s">
        <v>704</v>
      </c>
      <c r="AU246" s="1">
        <v>2015</v>
      </c>
      <c r="AV246" s="1">
        <v>43</v>
      </c>
      <c r="AW246" s="1">
        <v>3</v>
      </c>
      <c r="AX246" s="1" t="s">
        <v>74</v>
      </c>
      <c r="AY246" s="1" t="s">
        <v>74</v>
      </c>
      <c r="AZ246" s="1" t="s">
        <v>74</v>
      </c>
      <c r="BA246" s="1" t="s">
        <v>74</v>
      </c>
      <c r="BB246" s="1">
        <v>375</v>
      </c>
      <c r="BC246" s="1">
        <v>394</v>
      </c>
      <c r="BD246" s="1" t="s">
        <v>74</v>
      </c>
      <c r="BE246" s="1" t="s">
        <v>826</v>
      </c>
      <c r="BF246" s="1" t="str">
        <f>HYPERLINK("http://dx.doi.org/10.1007/s11747-014-0388-3","http://dx.doi.org/10.1007/s11747-014-0388-3")</f>
        <v>http://dx.doi.org/10.1007/s11747-014-0388-3</v>
      </c>
      <c r="BG246" s="1" t="s">
        <v>74</v>
      </c>
      <c r="BH246" s="1" t="s">
        <v>74</v>
      </c>
      <c r="BI246" s="1">
        <v>20</v>
      </c>
      <c r="BJ246" s="1" t="s">
        <v>153</v>
      </c>
      <c r="BK246" s="1" t="s">
        <v>101</v>
      </c>
      <c r="BL246" s="1" t="s">
        <v>154</v>
      </c>
      <c r="BM246" s="1" t="s">
        <v>827</v>
      </c>
      <c r="BN246" s="1" t="s">
        <v>74</v>
      </c>
      <c r="BO246" s="1" t="s">
        <v>828</v>
      </c>
      <c r="BP246" s="1" t="s">
        <v>218</v>
      </c>
      <c r="BQ246" s="1" t="s">
        <v>219</v>
      </c>
      <c r="BR246" s="1" t="s">
        <v>104</v>
      </c>
      <c r="BS246" s="1" t="s">
        <v>829</v>
      </c>
      <c r="BT246" s="1" t="str">
        <f>HYPERLINK("https%3A%2F%2Fwww.webofscience.com%2Fwos%2Fwoscc%2Ffull-record%2FWOS:000353049100006","View Full Record in Web of Science")</f>
        <v>View Full Record in Web of Science</v>
      </c>
      <c r="BU246" s="1" t="s">
        <v>2040</v>
      </c>
      <c r="BV246" s="1" t="s">
        <v>6080</v>
      </c>
      <c r="BW246" s="1" t="s">
        <v>6080</v>
      </c>
    </row>
    <row r="247" spans="1:75" ht="409.5" x14ac:dyDescent="0.35">
      <c r="A247" s="1" t="s">
        <v>72</v>
      </c>
      <c r="B247" s="1" t="s">
        <v>880</v>
      </c>
      <c r="C247" s="1" t="s">
        <v>74</v>
      </c>
      <c r="D247" s="1" t="s">
        <v>74</v>
      </c>
      <c r="E247" s="1" t="s">
        <v>74</v>
      </c>
      <c r="F247" s="1" t="s">
        <v>881</v>
      </c>
      <c r="G247" s="1" t="s">
        <v>74</v>
      </c>
      <c r="H247" s="1" t="s">
        <v>74</v>
      </c>
      <c r="I247" s="1" t="s">
        <v>882</v>
      </c>
      <c r="J247" s="1" t="s">
        <v>136</v>
      </c>
      <c r="K247" s="1" t="s">
        <v>74</v>
      </c>
      <c r="L247" s="1" t="s">
        <v>74</v>
      </c>
      <c r="M247" s="1" t="s">
        <v>78</v>
      </c>
      <c r="N247" s="1" t="s">
        <v>79</v>
      </c>
      <c r="O247" s="1" t="s">
        <v>74</v>
      </c>
      <c r="P247" s="1" t="s">
        <v>74</v>
      </c>
      <c r="Q247" s="1" t="s">
        <v>74</v>
      </c>
      <c r="R247" s="1" t="s">
        <v>74</v>
      </c>
      <c r="S247" s="1" t="s">
        <v>74</v>
      </c>
      <c r="T247" s="1" t="s">
        <v>883</v>
      </c>
      <c r="U247" s="1" t="s">
        <v>884</v>
      </c>
      <c r="V247" s="1" t="s">
        <v>885</v>
      </c>
      <c r="W247" s="1" t="s">
        <v>886</v>
      </c>
      <c r="X247" s="1" t="s">
        <v>887</v>
      </c>
      <c r="Y247" s="1" t="s">
        <v>888</v>
      </c>
      <c r="Z247" s="1" t="s">
        <v>889</v>
      </c>
      <c r="AA247" s="1" t="s">
        <v>74</v>
      </c>
      <c r="AB247" s="1" t="s">
        <v>74</v>
      </c>
      <c r="AC247" s="1" t="s">
        <v>890</v>
      </c>
      <c r="AD247" s="1" t="s">
        <v>890</v>
      </c>
      <c r="AE247" s="1" t="s">
        <v>891</v>
      </c>
      <c r="AF247" s="1" t="s">
        <v>74</v>
      </c>
      <c r="AG247" s="1">
        <v>48</v>
      </c>
      <c r="AH247" s="1">
        <v>98</v>
      </c>
      <c r="AI247" s="1">
        <v>101</v>
      </c>
      <c r="AJ247" s="1">
        <v>8</v>
      </c>
      <c r="AK247" s="1">
        <v>180</v>
      </c>
      <c r="AL247" s="1" t="s">
        <v>144</v>
      </c>
      <c r="AM247" s="1" t="s">
        <v>145</v>
      </c>
      <c r="AN247" s="1" t="s">
        <v>146</v>
      </c>
      <c r="AO247" s="1" t="s">
        <v>147</v>
      </c>
      <c r="AP247" s="1" t="s">
        <v>148</v>
      </c>
      <c r="AQ247" s="1" t="s">
        <v>74</v>
      </c>
      <c r="AR247" s="1" t="s">
        <v>149</v>
      </c>
      <c r="AS247" s="1" t="s">
        <v>150</v>
      </c>
      <c r="AT247" s="1" t="s">
        <v>281</v>
      </c>
      <c r="AU247" s="1">
        <v>2015</v>
      </c>
      <c r="AV247" s="1">
        <v>52</v>
      </c>
      <c r="AW247" s="1">
        <v>5</v>
      </c>
      <c r="AX247" s="1" t="s">
        <v>74</v>
      </c>
      <c r="AY247" s="1" t="s">
        <v>74</v>
      </c>
      <c r="AZ247" s="1" t="s">
        <v>74</v>
      </c>
      <c r="BA247" s="1" t="s">
        <v>74</v>
      </c>
      <c r="BB247" s="1">
        <v>629</v>
      </c>
      <c r="BC247" s="1">
        <v>641</v>
      </c>
      <c r="BD247" s="1" t="s">
        <v>74</v>
      </c>
      <c r="BE247" s="1" t="s">
        <v>892</v>
      </c>
      <c r="BF247" s="1" t="str">
        <f>HYPERLINK("http://dx.doi.org/10.1509/jmr.11.0448","http://dx.doi.org/10.1509/jmr.11.0448")</f>
        <v>http://dx.doi.org/10.1509/jmr.11.0448</v>
      </c>
      <c r="BG247" s="1" t="s">
        <v>74</v>
      </c>
      <c r="BH247" s="1" t="s">
        <v>74</v>
      </c>
      <c r="BI247" s="1">
        <v>13</v>
      </c>
      <c r="BJ247" s="1" t="s">
        <v>153</v>
      </c>
      <c r="BK247" s="1" t="s">
        <v>101</v>
      </c>
      <c r="BL247" s="1" t="s">
        <v>154</v>
      </c>
      <c r="BM247" s="1" t="s">
        <v>893</v>
      </c>
      <c r="BN247" s="1" t="s">
        <v>74</v>
      </c>
      <c r="BO247" s="1" t="s">
        <v>74</v>
      </c>
      <c r="BP247" s="1" t="s">
        <v>74</v>
      </c>
      <c r="BQ247" s="1" t="s">
        <v>74</v>
      </c>
      <c r="BR247" s="1" t="s">
        <v>104</v>
      </c>
      <c r="BS247" s="1" t="s">
        <v>894</v>
      </c>
      <c r="BT247" s="1" t="str">
        <f>HYPERLINK("https%3A%2F%2Fwww.webofscience.com%2Fwos%2Fwoscc%2Ffull-record%2FWOS:000368255900005","View Full Record in Web of Science")</f>
        <v>View Full Record in Web of Science</v>
      </c>
      <c r="BU247" s="1" t="s">
        <v>2040</v>
      </c>
      <c r="BV247" s="1" t="s">
        <v>6080</v>
      </c>
      <c r="BW247" s="1" t="s">
        <v>6080</v>
      </c>
    </row>
    <row r="248" spans="1:75" ht="246.5" x14ac:dyDescent="0.35">
      <c r="A248" s="1" t="s">
        <v>72</v>
      </c>
      <c r="B248" s="1" t="s">
        <v>1019</v>
      </c>
      <c r="C248" s="1" t="s">
        <v>74</v>
      </c>
      <c r="D248" s="1" t="s">
        <v>74</v>
      </c>
      <c r="E248" s="1" t="s">
        <v>74</v>
      </c>
      <c r="F248" s="1" t="s">
        <v>1020</v>
      </c>
      <c r="G248" s="1" t="s">
        <v>74</v>
      </c>
      <c r="H248" s="1" t="s">
        <v>74</v>
      </c>
      <c r="I248" s="1" t="s">
        <v>1021</v>
      </c>
      <c r="J248" s="1" t="s">
        <v>1022</v>
      </c>
      <c r="K248" s="1" t="s">
        <v>74</v>
      </c>
      <c r="L248" s="1" t="s">
        <v>74</v>
      </c>
      <c r="M248" s="1" t="s">
        <v>78</v>
      </c>
      <c r="N248" s="1" t="s">
        <v>110</v>
      </c>
      <c r="O248" s="1" t="s">
        <v>74</v>
      </c>
      <c r="P248" s="1" t="s">
        <v>74</v>
      </c>
      <c r="Q248" s="1" t="s">
        <v>74</v>
      </c>
      <c r="R248" s="1" t="s">
        <v>74</v>
      </c>
      <c r="S248" s="1" t="s">
        <v>74</v>
      </c>
      <c r="T248" s="1" t="s">
        <v>74</v>
      </c>
      <c r="U248" s="1" t="s">
        <v>1023</v>
      </c>
      <c r="V248" s="1" t="s">
        <v>1024</v>
      </c>
      <c r="W248" s="1" t="s">
        <v>1025</v>
      </c>
      <c r="X248" s="1" t="s">
        <v>1026</v>
      </c>
      <c r="Y248" s="1" t="s">
        <v>1027</v>
      </c>
      <c r="Z248" s="1" t="s">
        <v>1028</v>
      </c>
      <c r="AA248" s="1" t="s">
        <v>1029</v>
      </c>
      <c r="AB248" s="1" t="s">
        <v>74</v>
      </c>
      <c r="AC248" s="1" t="s">
        <v>1030</v>
      </c>
      <c r="AD248" s="1" t="s">
        <v>1031</v>
      </c>
      <c r="AE248" s="1" t="s">
        <v>1032</v>
      </c>
      <c r="AF248" s="1" t="s">
        <v>74</v>
      </c>
      <c r="AG248" s="1">
        <v>103</v>
      </c>
      <c r="AH248" s="1">
        <v>22631</v>
      </c>
      <c r="AI248" s="1">
        <v>22697</v>
      </c>
      <c r="AJ248" s="1">
        <v>1338</v>
      </c>
      <c r="AK248" s="1">
        <v>1340</v>
      </c>
      <c r="AL248" s="1" t="s">
        <v>1033</v>
      </c>
      <c r="AM248" s="1" t="s">
        <v>1034</v>
      </c>
      <c r="AN248" s="1" t="s">
        <v>1035</v>
      </c>
      <c r="AO248" s="1" t="s">
        <v>1036</v>
      </c>
      <c r="AP248" s="1" t="s">
        <v>1037</v>
      </c>
      <c r="AQ248" s="1" t="s">
        <v>74</v>
      </c>
      <c r="AR248" s="1" t="s">
        <v>1022</v>
      </c>
      <c r="AS248" s="1" t="s">
        <v>1038</v>
      </c>
      <c r="AT248" s="1" t="s">
        <v>1039</v>
      </c>
      <c r="AU248" s="1">
        <v>2015</v>
      </c>
      <c r="AV248" s="1">
        <v>521</v>
      </c>
      <c r="AW248" s="1">
        <v>7553</v>
      </c>
      <c r="AX248" s="1" t="s">
        <v>74</v>
      </c>
      <c r="AY248" s="1" t="s">
        <v>74</v>
      </c>
      <c r="AZ248" s="1" t="s">
        <v>74</v>
      </c>
      <c r="BA248" s="1" t="s">
        <v>74</v>
      </c>
      <c r="BB248" s="1">
        <v>436</v>
      </c>
      <c r="BC248" s="1">
        <v>444</v>
      </c>
      <c r="BD248" s="1" t="s">
        <v>74</v>
      </c>
      <c r="BE248" s="1" t="s">
        <v>1040</v>
      </c>
      <c r="BF248" s="1" t="str">
        <f>HYPERLINK("http://dx.doi.org/10.1038/nature14539","http://dx.doi.org/10.1038/nature14539")</f>
        <v>http://dx.doi.org/10.1038/nature14539</v>
      </c>
      <c r="BG248" s="1" t="s">
        <v>74</v>
      </c>
      <c r="BH248" s="1" t="s">
        <v>74</v>
      </c>
      <c r="BI248" s="1">
        <v>9</v>
      </c>
      <c r="BJ248" s="1" t="s">
        <v>561</v>
      </c>
      <c r="BK248" s="1" t="s">
        <v>129</v>
      </c>
      <c r="BL248" s="1" t="s">
        <v>562</v>
      </c>
      <c r="BM248" s="1" t="s">
        <v>1041</v>
      </c>
      <c r="BN248" s="1">
        <v>26017442</v>
      </c>
      <c r="BO248" s="1" t="s">
        <v>74</v>
      </c>
      <c r="BP248" s="1" t="s">
        <v>218</v>
      </c>
      <c r="BQ248" s="1" t="s">
        <v>219</v>
      </c>
      <c r="BR248" s="1" t="s">
        <v>104</v>
      </c>
      <c r="BS248" s="1" t="s">
        <v>1042</v>
      </c>
      <c r="BT248" s="1" t="str">
        <f>HYPERLINK("https%3A%2F%2Fwww.webofscience.com%2Fwos%2Fwoscc%2Ffull-record%2FWOS:000355286600030","View Full Record in Web of Science")</f>
        <v>View Full Record in Web of Science</v>
      </c>
      <c r="BU248" s="1" t="s">
        <v>2040</v>
      </c>
      <c r="BV248" s="1" t="s">
        <v>10653</v>
      </c>
    </row>
    <row r="249" spans="1:75" ht="409.5" x14ac:dyDescent="0.35">
      <c r="A249" s="1" t="s">
        <v>72</v>
      </c>
      <c r="B249" s="1" t="s">
        <v>1191</v>
      </c>
      <c r="C249" s="1" t="s">
        <v>74</v>
      </c>
      <c r="D249" s="1" t="s">
        <v>74</v>
      </c>
      <c r="E249" s="1" t="s">
        <v>74</v>
      </c>
      <c r="F249" s="1" t="s">
        <v>1192</v>
      </c>
      <c r="G249" s="1" t="s">
        <v>74</v>
      </c>
      <c r="H249" s="1" t="s">
        <v>74</v>
      </c>
      <c r="I249" s="1" t="s">
        <v>1193</v>
      </c>
      <c r="J249" s="1" t="s">
        <v>436</v>
      </c>
      <c r="K249" s="1" t="s">
        <v>74</v>
      </c>
      <c r="L249" s="1" t="s">
        <v>74</v>
      </c>
      <c r="M249" s="1" t="s">
        <v>78</v>
      </c>
      <c r="N249" s="1" t="s">
        <v>79</v>
      </c>
      <c r="O249" s="1" t="s">
        <v>74</v>
      </c>
      <c r="P249" s="1" t="s">
        <v>74</v>
      </c>
      <c r="Q249" s="1" t="s">
        <v>74</v>
      </c>
      <c r="R249" s="1" t="s">
        <v>74</v>
      </c>
      <c r="S249" s="1" t="s">
        <v>74</v>
      </c>
      <c r="T249" s="1" t="s">
        <v>1194</v>
      </c>
      <c r="U249" s="1" t="s">
        <v>1195</v>
      </c>
      <c r="V249" s="1" t="s">
        <v>1196</v>
      </c>
      <c r="W249" s="1" t="s">
        <v>1197</v>
      </c>
      <c r="X249" s="1" t="s">
        <v>1198</v>
      </c>
      <c r="Y249" s="1" t="s">
        <v>1199</v>
      </c>
      <c r="Z249" s="1" t="s">
        <v>1200</v>
      </c>
      <c r="AA249" s="1" t="s">
        <v>74</v>
      </c>
      <c r="AB249" s="1" t="s">
        <v>74</v>
      </c>
      <c r="AC249" s="1" t="s">
        <v>1201</v>
      </c>
      <c r="AD249" s="1" t="s">
        <v>1201</v>
      </c>
      <c r="AE249" s="1" t="s">
        <v>1202</v>
      </c>
      <c r="AF249" s="1" t="s">
        <v>74</v>
      </c>
      <c r="AG249" s="1">
        <v>61</v>
      </c>
      <c r="AH249" s="1">
        <v>115</v>
      </c>
      <c r="AI249" s="1">
        <v>116</v>
      </c>
      <c r="AJ249" s="1">
        <v>10</v>
      </c>
      <c r="AK249" s="1">
        <v>165</v>
      </c>
      <c r="AL249" s="1" t="s">
        <v>446</v>
      </c>
      <c r="AM249" s="1" t="s">
        <v>447</v>
      </c>
      <c r="AN249" s="1" t="s">
        <v>448</v>
      </c>
      <c r="AO249" s="1" t="s">
        <v>449</v>
      </c>
      <c r="AP249" s="1" t="s">
        <v>450</v>
      </c>
      <c r="AQ249" s="1" t="s">
        <v>74</v>
      </c>
      <c r="AR249" s="1" t="s">
        <v>451</v>
      </c>
      <c r="AS249" s="1" t="s">
        <v>452</v>
      </c>
      <c r="AT249" s="1" t="s">
        <v>1203</v>
      </c>
      <c r="AU249" s="1">
        <v>2015</v>
      </c>
      <c r="AV249" s="1">
        <v>34</v>
      </c>
      <c r="AW249" s="1">
        <v>5</v>
      </c>
      <c r="AX249" s="1" t="s">
        <v>74</v>
      </c>
      <c r="AY249" s="1" t="s">
        <v>74</v>
      </c>
      <c r="AZ249" s="1" t="s">
        <v>74</v>
      </c>
      <c r="BA249" s="1" t="s">
        <v>74</v>
      </c>
      <c r="BB249" s="1">
        <v>627</v>
      </c>
      <c r="BC249" s="1">
        <v>645</v>
      </c>
      <c r="BD249" s="1" t="s">
        <v>74</v>
      </c>
      <c r="BE249" s="1" t="s">
        <v>1204</v>
      </c>
      <c r="BF249" s="1" t="str">
        <f>HYPERLINK("http://dx.doi.org/10.1287/mksc.2015.0912","http://dx.doi.org/10.1287/mksc.2015.0912")</f>
        <v>http://dx.doi.org/10.1287/mksc.2015.0912</v>
      </c>
      <c r="BG249" s="1" t="s">
        <v>74</v>
      </c>
      <c r="BH249" s="1" t="s">
        <v>74</v>
      </c>
      <c r="BI249" s="1">
        <v>19</v>
      </c>
      <c r="BJ249" s="1" t="s">
        <v>153</v>
      </c>
      <c r="BK249" s="1" t="s">
        <v>101</v>
      </c>
      <c r="BL249" s="1" t="s">
        <v>154</v>
      </c>
      <c r="BM249" s="1" t="s">
        <v>1205</v>
      </c>
      <c r="BN249" s="1" t="s">
        <v>74</v>
      </c>
      <c r="BO249" s="1" t="s">
        <v>74</v>
      </c>
      <c r="BP249" s="1" t="s">
        <v>74</v>
      </c>
      <c r="BQ249" s="1" t="s">
        <v>74</v>
      </c>
      <c r="BR249" s="1" t="s">
        <v>104</v>
      </c>
      <c r="BS249" s="1" t="s">
        <v>1206</v>
      </c>
      <c r="BT249" s="1" t="str">
        <f>HYPERLINK("https%3A%2F%2Fwww.webofscience.com%2Fwos%2Fwoscc%2Ffull-record%2FWOS:000361681300001","View Full Record in Web of Science")</f>
        <v>View Full Record in Web of Science</v>
      </c>
      <c r="BU249" s="1" t="s">
        <v>2040</v>
      </c>
      <c r="BV249" s="1" t="s">
        <v>6080</v>
      </c>
      <c r="BW249" s="1" t="s">
        <v>6080</v>
      </c>
    </row>
    <row r="250" spans="1:75" ht="409.5" x14ac:dyDescent="0.35">
      <c r="A250" s="1" t="s">
        <v>72</v>
      </c>
      <c r="B250" s="1" t="s">
        <v>1207</v>
      </c>
      <c r="C250" s="1" t="s">
        <v>74</v>
      </c>
      <c r="D250" s="1" t="s">
        <v>74</v>
      </c>
      <c r="E250" s="1" t="s">
        <v>74</v>
      </c>
      <c r="F250" s="1" t="s">
        <v>1208</v>
      </c>
      <c r="G250" s="1" t="s">
        <v>74</v>
      </c>
      <c r="H250" s="1" t="s">
        <v>74</v>
      </c>
      <c r="I250" s="1" t="s">
        <v>1209</v>
      </c>
      <c r="J250" s="1" t="s">
        <v>436</v>
      </c>
      <c r="K250" s="1" t="s">
        <v>74</v>
      </c>
      <c r="L250" s="1" t="s">
        <v>74</v>
      </c>
      <c r="M250" s="1" t="s">
        <v>78</v>
      </c>
      <c r="N250" s="1" t="s">
        <v>79</v>
      </c>
      <c r="O250" s="1" t="s">
        <v>74</v>
      </c>
      <c r="P250" s="1" t="s">
        <v>74</v>
      </c>
      <c r="Q250" s="1" t="s">
        <v>74</v>
      </c>
      <c r="R250" s="1" t="s">
        <v>74</v>
      </c>
      <c r="S250" s="1" t="s">
        <v>74</v>
      </c>
      <c r="T250" s="1" t="s">
        <v>1210</v>
      </c>
      <c r="U250" s="1" t="s">
        <v>1211</v>
      </c>
      <c r="V250" s="1" t="s">
        <v>1212</v>
      </c>
      <c r="W250" s="1" t="s">
        <v>1213</v>
      </c>
      <c r="X250" s="1" t="s">
        <v>1214</v>
      </c>
      <c r="Y250" s="1" t="s">
        <v>1215</v>
      </c>
      <c r="Z250" s="1" t="s">
        <v>1216</v>
      </c>
      <c r="AA250" s="1" t="s">
        <v>1217</v>
      </c>
      <c r="AB250" s="1" t="s">
        <v>74</v>
      </c>
      <c r="AC250" s="1" t="s">
        <v>74</v>
      </c>
      <c r="AD250" s="1" t="s">
        <v>74</v>
      </c>
      <c r="AE250" s="1" t="s">
        <v>74</v>
      </c>
      <c r="AF250" s="1" t="s">
        <v>74</v>
      </c>
      <c r="AG250" s="1">
        <v>69</v>
      </c>
      <c r="AH250" s="1">
        <v>121</v>
      </c>
      <c r="AI250" s="1">
        <v>124</v>
      </c>
      <c r="AJ250" s="1">
        <v>8</v>
      </c>
      <c r="AK250" s="1">
        <v>155</v>
      </c>
      <c r="AL250" s="1" t="s">
        <v>446</v>
      </c>
      <c r="AM250" s="1" t="s">
        <v>447</v>
      </c>
      <c r="AN250" s="1" t="s">
        <v>448</v>
      </c>
      <c r="AO250" s="1" t="s">
        <v>449</v>
      </c>
      <c r="AP250" s="1" t="s">
        <v>450</v>
      </c>
      <c r="AQ250" s="1" t="s">
        <v>74</v>
      </c>
      <c r="AR250" s="1" t="s">
        <v>451</v>
      </c>
      <c r="AS250" s="1" t="s">
        <v>452</v>
      </c>
      <c r="AT250" s="1" t="s">
        <v>760</v>
      </c>
      <c r="AU250" s="1">
        <v>2015</v>
      </c>
      <c r="AV250" s="1">
        <v>34</v>
      </c>
      <c r="AW250" s="1">
        <v>3</v>
      </c>
      <c r="AX250" s="1" t="s">
        <v>74</v>
      </c>
      <c r="AY250" s="1" t="s">
        <v>74</v>
      </c>
      <c r="AZ250" s="1" t="s">
        <v>74</v>
      </c>
      <c r="BA250" s="1" t="s">
        <v>74</v>
      </c>
      <c r="BB250" s="1">
        <v>367</v>
      </c>
      <c r="BC250" s="1">
        <v>387</v>
      </c>
      <c r="BD250" s="1" t="s">
        <v>74</v>
      </c>
      <c r="BE250" s="1" t="s">
        <v>1218</v>
      </c>
      <c r="BF250" s="1" t="str">
        <f>HYPERLINK("http://dx.doi.org/10.1287/mksc.2014.0890","http://dx.doi.org/10.1287/mksc.2014.0890")</f>
        <v>http://dx.doi.org/10.1287/mksc.2014.0890</v>
      </c>
      <c r="BG250" s="1" t="s">
        <v>74</v>
      </c>
      <c r="BH250" s="1" t="s">
        <v>74</v>
      </c>
      <c r="BI250" s="1">
        <v>21</v>
      </c>
      <c r="BJ250" s="1" t="s">
        <v>153</v>
      </c>
      <c r="BK250" s="1" t="s">
        <v>101</v>
      </c>
      <c r="BL250" s="1" t="s">
        <v>154</v>
      </c>
      <c r="BM250" s="1" t="s">
        <v>1219</v>
      </c>
      <c r="BN250" s="1" t="s">
        <v>74</v>
      </c>
      <c r="BO250" s="1" t="s">
        <v>74</v>
      </c>
      <c r="BP250" s="1" t="s">
        <v>74</v>
      </c>
      <c r="BQ250" s="1" t="s">
        <v>74</v>
      </c>
      <c r="BR250" s="1" t="s">
        <v>104</v>
      </c>
      <c r="BS250" s="1" t="s">
        <v>1220</v>
      </c>
      <c r="BT250" s="1" t="str">
        <f>HYPERLINK("https%3A%2F%2Fwww.webofscience.com%2Fwos%2Fwoscc%2Ffull-record%2FWOS:000354725000005","View Full Record in Web of Science")</f>
        <v>View Full Record in Web of Science</v>
      </c>
      <c r="BU250" s="1" t="s">
        <v>2040</v>
      </c>
      <c r="BV250" s="1" t="s">
        <v>6080</v>
      </c>
      <c r="BW250" s="1" t="s">
        <v>6080</v>
      </c>
    </row>
    <row r="251" spans="1:75" ht="409.5" x14ac:dyDescent="0.35">
      <c r="A251" s="1" t="s">
        <v>72</v>
      </c>
      <c r="B251" s="1" t="s">
        <v>1615</v>
      </c>
      <c r="C251" s="1" t="s">
        <v>74</v>
      </c>
      <c r="D251" s="1" t="s">
        <v>74</v>
      </c>
      <c r="E251" s="1" t="s">
        <v>74</v>
      </c>
      <c r="F251" s="1" t="s">
        <v>1616</v>
      </c>
      <c r="G251" s="1" t="s">
        <v>74</v>
      </c>
      <c r="H251" s="1" t="s">
        <v>74</v>
      </c>
      <c r="I251" s="1" t="s">
        <v>1617</v>
      </c>
      <c r="J251" s="1" t="s">
        <v>1618</v>
      </c>
      <c r="K251" s="1" t="s">
        <v>74</v>
      </c>
      <c r="L251" s="1" t="s">
        <v>74</v>
      </c>
      <c r="M251" s="1" t="s">
        <v>78</v>
      </c>
      <c r="N251" s="1" t="s">
        <v>79</v>
      </c>
      <c r="O251" s="1" t="s">
        <v>74</v>
      </c>
      <c r="P251" s="1" t="s">
        <v>74</v>
      </c>
      <c r="Q251" s="1" t="s">
        <v>74</v>
      </c>
      <c r="R251" s="1" t="s">
        <v>74</v>
      </c>
      <c r="S251" s="1" t="s">
        <v>74</v>
      </c>
      <c r="T251" s="1" t="s">
        <v>1619</v>
      </c>
      <c r="U251" s="1" t="s">
        <v>1620</v>
      </c>
      <c r="V251" s="1" t="s">
        <v>1621</v>
      </c>
      <c r="W251" s="1" t="s">
        <v>1622</v>
      </c>
      <c r="X251" s="1" t="s">
        <v>441</v>
      </c>
      <c r="Y251" s="1" t="s">
        <v>1623</v>
      </c>
      <c r="Z251" s="1" t="s">
        <v>1624</v>
      </c>
      <c r="AA251" s="1" t="s">
        <v>1625</v>
      </c>
      <c r="AB251" s="1" t="s">
        <v>1626</v>
      </c>
      <c r="AC251" s="1" t="s">
        <v>74</v>
      </c>
      <c r="AD251" s="1" t="s">
        <v>74</v>
      </c>
      <c r="AE251" s="1" t="s">
        <v>74</v>
      </c>
      <c r="AF251" s="1" t="s">
        <v>74</v>
      </c>
      <c r="AG251" s="1">
        <v>23</v>
      </c>
      <c r="AH251" s="1">
        <v>38</v>
      </c>
      <c r="AI251" s="1">
        <v>38</v>
      </c>
      <c r="AJ251" s="1">
        <v>3</v>
      </c>
      <c r="AK251" s="1">
        <v>25</v>
      </c>
      <c r="AL251" s="1" t="s">
        <v>1627</v>
      </c>
      <c r="AM251" s="1" t="s">
        <v>1628</v>
      </c>
      <c r="AN251" s="1" t="s">
        <v>1629</v>
      </c>
      <c r="AO251" s="1" t="s">
        <v>1630</v>
      </c>
      <c r="AP251" s="1" t="s">
        <v>1631</v>
      </c>
      <c r="AQ251" s="1" t="s">
        <v>74</v>
      </c>
      <c r="AR251" s="1" t="s">
        <v>1632</v>
      </c>
      <c r="AS251" s="1" t="s">
        <v>1633</v>
      </c>
      <c r="AT251" s="1" t="s">
        <v>213</v>
      </c>
      <c r="AU251" s="1">
        <v>2015</v>
      </c>
      <c r="AV251" s="1">
        <v>56</v>
      </c>
      <c r="AW251" s="1" t="s">
        <v>74</v>
      </c>
      <c r="AX251" s="1" t="s">
        <v>74</v>
      </c>
      <c r="AY251" s="1" t="s">
        <v>74</v>
      </c>
      <c r="AZ251" s="1" t="s">
        <v>74</v>
      </c>
      <c r="BA251" s="1" t="s">
        <v>74</v>
      </c>
      <c r="BB251" s="1">
        <v>214</v>
      </c>
      <c r="BC251" s="1">
        <v>227</v>
      </c>
      <c r="BD251" s="1" t="s">
        <v>74</v>
      </c>
      <c r="BE251" s="1" t="s">
        <v>1634</v>
      </c>
      <c r="BF251" s="1" t="str">
        <f>HYPERLINK("http://dx.doi.org/10.1016/j.jesp.2014.10.005","http://dx.doi.org/10.1016/j.jesp.2014.10.005")</f>
        <v>http://dx.doi.org/10.1016/j.jesp.2014.10.005</v>
      </c>
      <c r="BG251" s="1" t="s">
        <v>74</v>
      </c>
      <c r="BH251" s="1" t="s">
        <v>74</v>
      </c>
      <c r="BI251" s="1">
        <v>14</v>
      </c>
      <c r="BJ251" s="1" t="s">
        <v>100</v>
      </c>
      <c r="BK251" s="1" t="s">
        <v>101</v>
      </c>
      <c r="BL251" s="1" t="s">
        <v>102</v>
      </c>
      <c r="BM251" s="1" t="s">
        <v>1635</v>
      </c>
      <c r="BN251" s="1" t="s">
        <v>74</v>
      </c>
      <c r="BO251" s="1" t="s">
        <v>74</v>
      </c>
      <c r="BP251" s="1" t="s">
        <v>74</v>
      </c>
      <c r="BQ251" s="1" t="s">
        <v>74</v>
      </c>
      <c r="BR251" s="1" t="s">
        <v>104</v>
      </c>
      <c r="BS251" s="1" t="s">
        <v>1636</v>
      </c>
      <c r="BT251" s="1" t="str">
        <f>HYPERLINK("https%3A%2F%2Fwww.webofscience.com%2Fwos%2Fwoscc%2Ffull-record%2FWOS:000347770600029","View Full Record in Web of Science")</f>
        <v>View Full Record in Web of Science</v>
      </c>
      <c r="BU251" s="1" t="s">
        <v>2040</v>
      </c>
      <c r="BV251" s="1" t="s">
        <v>10653</v>
      </c>
    </row>
    <row r="252" spans="1:75" ht="319" x14ac:dyDescent="0.35">
      <c r="A252" s="1" t="s">
        <v>72</v>
      </c>
      <c r="B252" s="1" t="s">
        <v>1730</v>
      </c>
      <c r="C252" s="1" t="s">
        <v>74</v>
      </c>
      <c r="D252" s="1" t="s">
        <v>74</v>
      </c>
      <c r="E252" s="1" t="s">
        <v>74</v>
      </c>
      <c r="F252" s="1" t="s">
        <v>1731</v>
      </c>
      <c r="G252" s="1" t="s">
        <v>74</v>
      </c>
      <c r="H252" s="1" t="s">
        <v>74</v>
      </c>
      <c r="I252" s="1" t="s">
        <v>1732</v>
      </c>
      <c r="J252" s="1" t="s">
        <v>301</v>
      </c>
      <c r="K252" s="1" t="s">
        <v>74</v>
      </c>
      <c r="L252" s="1" t="s">
        <v>74</v>
      </c>
      <c r="M252" s="1" t="s">
        <v>78</v>
      </c>
      <c r="N252" s="1" t="s">
        <v>79</v>
      </c>
      <c r="O252" s="1" t="s">
        <v>74</v>
      </c>
      <c r="P252" s="1" t="s">
        <v>74</v>
      </c>
      <c r="Q252" s="1" t="s">
        <v>74</v>
      </c>
      <c r="R252" s="1" t="s">
        <v>74</v>
      </c>
      <c r="S252" s="1" t="s">
        <v>74</v>
      </c>
      <c r="T252" s="1" t="s">
        <v>1733</v>
      </c>
      <c r="U252" s="1" t="s">
        <v>1734</v>
      </c>
      <c r="V252" s="1" t="s">
        <v>1735</v>
      </c>
      <c r="W252" s="1" t="s">
        <v>1736</v>
      </c>
      <c r="X252" s="1" t="s">
        <v>1737</v>
      </c>
      <c r="Y252" s="1" t="s">
        <v>1738</v>
      </c>
      <c r="Z252" s="1" t="s">
        <v>1739</v>
      </c>
      <c r="AA252" s="1" t="s">
        <v>74</v>
      </c>
      <c r="AB252" s="1" t="s">
        <v>74</v>
      </c>
      <c r="AC252" s="1" t="s">
        <v>1740</v>
      </c>
      <c r="AD252" s="1" t="s">
        <v>1741</v>
      </c>
      <c r="AE252" s="1" t="s">
        <v>1742</v>
      </c>
      <c r="AF252" s="1" t="s">
        <v>74</v>
      </c>
      <c r="AG252" s="1">
        <v>41</v>
      </c>
      <c r="AH252" s="1">
        <v>51</v>
      </c>
      <c r="AI252" s="1">
        <v>51</v>
      </c>
      <c r="AJ252" s="1">
        <v>5</v>
      </c>
      <c r="AK252" s="1">
        <v>62</v>
      </c>
      <c r="AL252" s="1" t="s">
        <v>144</v>
      </c>
      <c r="AM252" s="1" t="s">
        <v>145</v>
      </c>
      <c r="AN252" s="1" t="s">
        <v>146</v>
      </c>
      <c r="AO252" s="1" t="s">
        <v>306</v>
      </c>
      <c r="AP252" s="1" t="s">
        <v>307</v>
      </c>
      <c r="AQ252" s="1" t="s">
        <v>74</v>
      </c>
      <c r="AR252" s="1" t="s">
        <v>308</v>
      </c>
      <c r="AS252" s="1" t="s">
        <v>309</v>
      </c>
      <c r="AT252" s="1" t="s">
        <v>517</v>
      </c>
      <c r="AU252" s="1">
        <v>2015</v>
      </c>
      <c r="AV252" s="1">
        <v>26</v>
      </c>
      <c r="AW252" s="1">
        <v>9</v>
      </c>
      <c r="AX252" s="1" t="s">
        <v>74</v>
      </c>
      <c r="AY252" s="1" t="s">
        <v>74</v>
      </c>
      <c r="AZ252" s="1" t="s">
        <v>74</v>
      </c>
      <c r="BA252" s="1" t="s">
        <v>74</v>
      </c>
      <c r="BB252" s="1">
        <v>1449</v>
      </c>
      <c r="BC252" s="1">
        <v>1460</v>
      </c>
      <c r="BD252" s="1" t="s">
        <v>74</v>
      </c>
      <c r="BE252" s="1" t="s">
        <v>1743</v>
      </c>
      <c r="BF252" s="1" t="str">
        <f>HYPERLINK("http://dx.doi.org/10.1177/0956797615591771","http://dx.doi.org/10.1177/0956797615591771")</f>
        <v>http://dx.doi.org/10.1177/0956797615591771</v>
      </c>
      <c r="BG252" s="1" t="s">
        <v>74</v>
      </c>
      <c r="BH252" s="1" t="s">
        <v>74</v>
      </c>
      <c r="BI252" s="1">
        <v>12</v>
      </c>
      <c r="BJ252" s="1" t="s">
        <v>311</v>
      </c>
      <c r="BK252" s="1" t="s">
        <v>101</v>
      </c>
      <c r="BL252" s="1" t="s">
        <v>102</v>
      </c>
      <c r="BM252" s="1" t="s">
        <v>1744</v>
      </c>
      <c r="BN252" s="1">
        <v>26239108</v>
      </c>
      <c r="BO252" s="1" t="s">
        <v>1333</v>
      </c>
      <c r="BP252" s="1" t="s">
        <v>74</v>
      </c>
      <c r="BQ252" s="1" t="s">
        <v>74</v>
      </c>
      <c r="BR252" s="1" t="s">
        <v>104</v>
      </c>
      <c r="BS252" s="1" t="s">
        <v>1745</v>
      </c>
      <c r="BT252" s="1" t="str">
        <f>HYPERLINK("https%3A%2F%2Fwww.webofscience.com%2Fwos%2Fwoscc%2Ffull-record%2FWOS:000361171200011","View Full Record in Web of Science")</f>
        <v>View Full Record in Web of Science</v>
      </c>
      <c r="BU252" s="1" t="s">
        <v>2040</v>
      </c>
      <c r="BV252" s="1" t="s">
        <v>10653</v>
      </c>
    </row>
    <row r="253" spans="1:75" ht="409.5" x14ac:dyDescent="0.35">
      <c r="A253" s="1" t="s">
        <v>72</v>
      </c>
      <c r="B253" s="1" t="s">
        <v>2174</v>
      </c>
      <c r="C253" s="1" t="s">
        <v>74</v>
      </c>
      <c r="D253" s="1" t="s">
        <v>74</v>
      </c>
      <c r="E253" s="1" t="s">
        <v>74</v>
      </c>
      <c r="F253" s="1" t="s">
        <v>2175</v>
      </c>
      <c r="G253" s="1" t="s">
        <v>74</v>
      </c>
      <c r="H253" s="1" t="s">
        <v>74</v>
      </c>
      <c r="I253" s="1" t="s">
        <v>2176</v>
      </c>
      <c r="J253" s="1" t="s">
        <v>2177</v>
      </c>
      <c r="K253" s="1" t="s">
        <v>74</v>
      </c>
      <c r="L253" s="1" t="s">
        <v>74</v>
      </c>
      <c r="M253" s="1" t="s">
        <v>78</v>
      </c>
      <c r="N253" s="1" t="s">
        <v>79</v>
      </c>
      <c r="O253" s="1" t="s">
        <v>74</v>
      </c>
      <c r="P253" s="1" t="s">
        <v>74</v>
      </c>
      <c r="Q253" s="1" t="s">
        <v>74</v>
      </c>
      <c r="R253" s="1" t="s">
        <v>74</v>
      </c>
      <c r="S253" s="1" t="s">
        <v>74</v>
      </c>
      <c r="T253" s="1" t="s">
        <v>2178</v>
      </c>
      <c r="U253" s="1" t="s">
        <v>2179</v>
      </c>
      <c r="V253" s="1" t="s">
        <v>2180</v>
      </c>
      <c r="W253" s="1" t="s">
        <v>2181</v>
      </c>
      <c r="X253" s="1" t="s">
        <v>2182</v>
      </c>
      <c r="Y253" s="1" t="s">
        <v>2183</v>
      </c>
      <c r="Z253" s="1" t="s">
        <v>2184</v>
      </c>
      <c r="AA253" s="1" t="s">
        <v>2185</v>
      </c>
      <c r="AB253" s="1" t="s">
        <v>2186</v>
      </c>
      <c r="AC253" s="1" t="s">
        <v>74</v>
      </c>
      <c r="AD253" s="1" t="s">
        <v>74</v>
      </c>
      <c r="AE253" s="1" t="s">
        <v>74</v>
      </c>
      <c r="AF253" s="1" t="s">
        <v>74</v>
      </c>
      <c r="AG253" s="1">
        <v>78</v>
      </c>
      <c r="AH253" s="1">
        <v>48</v>
      </c>
      <c r="AI253" s="1">
        <v>49</v>
      </c>
      <c r="AJ253" s="1">
        <v>1</v>
      </c>
      <c r="AK253" s="1">
        <v>49</v>
      </c>
      <c r="AL253" s="1" t="s">
        <v>2187</v>
      </c>
      <c r="AM253" s="1" t="s">
        <v>2188</v>
      </c>
      <c r="AN253" s="1" t="s">
        <v>2189</v>
      </c>
      <c r="AO253" s="1" t="s">
        <v>2190</v>
      </c>
      <c r="AP253" s="1" t="s">
        <v>74</v>
      </c>
      <c r="AQ253" s="1" t="s">
        <v>74</v>
      </c>
      <c r="AR253" s="1" t="s">
        <v>2191</v>
      </c>
      <c r="AS253" s="1" t="s">
        <v>2192</v>
      </c>
      <c r="AT253" s="1" t="s">
        <v>2193</v>
      </c>
      <c r="AU253" s="1">
        <v>2015</v>
      </c>
      <c r="AV253" s="1">
        <v>6</v>
      </c>
      <c r="AW253" s="1" t="s">
        <v>74</v>
      </c>
      <c r="AX253" s="1" t="s">
        <v>74</v>
      </c>
      <c r="AY253" s="1" t="s">
        <v>74</v>
      </c>
      <c r="AZ253" s="1" t="s">
        <v>74</v>
      </c>
      <c r="BA253" s="1" t="s">
        <v>74</v>
      </c>
      <c r="BB253" s="1" t="s">
        <v>74</v>
      </c>
      <c r="BC253" s="1" t="s">
        <v>74</v>
      </c>
      <c r="BD253" s="1">
        <v>1564</v>
      </c>
      <c r="BE253" s="1" t="s">
        <v>2194</v>
      </c>
      <c r="BF253" s="1" t="str">
        <f>HYPERLINK("http://dx.doi.org/10.3389/fpsyg.2015.01564","http://dx.doi.org/10.3389/fpsyg.2015.01564")</f>
        <v>http://dx.doi.org/10.3389/fpsyg.2015.01564</v>
      </c>
      <c r="BG253" s="1" t="s">
        <v>74</v>
      </c>
      <c r="BH253" s="1" t="s">
        <v>74</v>
      </c>
      <c r="BI253" s="1">
        <v>10</v>
      </c>
      <c r="BJ253" s="1" t="s">
        <v>311</v>
      </c>
      <c r="BK253" s="1" t="s">
        <v>101</v>
      </c>
      <c r="BL253" s="1" t="s">
        <v>102</v>
      </c>
      <c r="BM253" s="1" t="s">
        <v>2195</v>
      </c>
      <c r="BN253" s="1">
        <v>26500601</v>
      </c>
      <c r="BO253" s="1" t="s">
        <v>2196</v>
      </c>
      <c r="BP253" s="1" t="s">
        <v>74</v>
      </c>
      <c r="BQ253" s="1" t="s">
        <v>74</v>
      </c>
      <c r="BR253" s="1" t="s">
        <v>104</v>
      </c>
      <c r="BS253" s="1" t="s">
        <v>2197</v>
      </c>
      <c r="BT253" s="1" t="str">
        <f>HYPERLINK("https%3A%2F%2Fwww.webofscience.com%2Fwos%2Fwoscc%2Ffull-record%2FWOS:000363477800001","View Full Record in Web of Science")</f>
        <v>View Full Record in Web of Science</v>
      </c>
      <c r="BU253" s="1" t="s">
        <v>3776</v>
      </c>
      <c r="BV253" s="1" t="s">
        <v>10653</v>
      </c>
    </row>
    <row r="254" spans="1:75" ht="409.5" x14ac:dyDescent="0.35">
      <c r="A254" s="1" t="s">
        <v>72</v>
      </c>
      <c r="B254" s="1" t="s">
        <v>880</v>
      </c>
      <c r="C254" s="1" t="s">
        <v>74</v>
      </c>
      <c r="D254" s="1" t="s">
        <v>74</v>
      </c>
      <c r="E254" s="1" t="s">
        <v>74</v>
      </c>
      <c r="F254" s="1" t="s">
        <v>881</v>
      </c>
      <c r="G254" s="1" t="s">
        <v>74</v>
      </c>
      <c r="H254" s="1" t="s">
        <v>74</v>
      </c>
      <c r="I254" s="1" t="s">
        <v>882</v>
      </c>
      <c r="J254" s="1" t="s">
        <v>136</v>
      </c>
      <c r="K254" s="1" t="s">
        <v>74</v>
      </c>
      <c r="L254" s="1" t="s">
        <v>74</v>
      </c>
      <c r="M254" s="1" t="s">
        <v>78</v>
      </c>
      <c r="N254" s="1" t="s">
        <v>79</v>
      </c>
      <c r="O254" s="1" t="s">
        <v>74</v>
      </c>
      <c r="P254" s="1" t="s">
        <v>74</v>
      </c>
      <c r="Q254" s="1" t="s">
        <v>74</v>
      </c>
      <c r="R254" s="1" t="s">
        <v>74</v>
      </c>
      <c r="S254" s="1" t="s">
        <v>74</v>
      </c>
      <c r="T254" s="1" t="s">
        <v>883</v>
      </c>
      <c r="U254" s="1" t="s">
        <v>884</v>
      </c>
      <c r="V254" s="1" t="s">
        <v>885</v>
      </c>
      <c r="W254" s="1" t="s">
        <v>886</v>
      </c>
      <c r="X254" s="1" t="s">
        <v>887</v>
      </c>
      <c r="Y254" s="1" t="s">
        <v>888</v>
      </c>
      <c r="Z254" s="1" t="s">
        <v>889</v>
      </c>
      <c r="AA254" s="1" t="s">
        <v>74</v>
      </c>
      <c r="AB254" s="1" t="s">
        <v>74</v>
      </c>
      <c r="AC254" s="1" t="s">
        <v>890</v>
      </c>
      <c r="AD254" s="1" t="s">
        <v>890</v>
      </c>
      <c r="AE254" s="1" t="s">
        <v>891</v>
      </c>
      <c r="AF254" s="1" t="s">
        <v>74</v>
      </c>
      <c r="AG254" s="1">
        <v>48</v>
      </c>
      <c r="AH254" s="1">
        <v>98</v>
      </c>
      <c r="AI254" s="1">
        <v>101</v>
      </c>
      <c r="AJ254" s="1">
        <v>8</v>
      </c>
      <c r="AK254" s="1">
        <v>180</v>
      </c>
      <c r="AL254" s="1" t="s">
        <v>144</v>
      </c>
      <c r="AM254" s="1" t="s">
        <v>145</v>
      </c>
      <c r="AN254" s="1" t="s">
        <v>146</v>
      </c>
      <c r="AO254" s="1" t="s">
        <v>147</v>
      </c>
      <c r="AP254" s="1" t="s">
        <v>148</v>
      </c>
      <c r="AQ254" s="1" t="s">
        <v>74</v>
      </c>
      <c r="AR254" s="1" t="s">
        <v>149</v>
      </c>
      <c r="AS254" s="1" t="s">
        <v>150</v>
      </c>
      <c r="AT254" s="1" t="s">
        <v>281</v>
      </c>
      <c r="AU254" s="1">
        <v>2015</v>
      </c>
      <c r="AV254" s="1">
        <v>52</v>
      </c>
      <c r="AW254" s="1">
        <v>5</v>
      </c>
      <c r="AX254" s="1" t="s">
        <v>74</v>
      </c>
      <c r="AY254" s="1" t="s">
        <v>74</v>
      </c>
      <c r="AZ254" s="1" t="s">
        <v>74</v>
      </c>
      <c r="BA254" s="1" t="s">
        <v>74</v>
      </c>
      <c r="BB254" s="1">
        <v>629</v>
      </c>
      <c r="BC254" s="1">
        <v>641</v>
      </c>
      <c r="BD254" s="1" t="s">
        <v>74</v>
      </c>
      <c r="BE254" s="1" t="s">
        <v>892</v>
      </c>
      <c r="BF254" s="1" t="str">
        <f>HYPERLINK("http://dx.doi.org/10.1509/jmr.11.0448","http://dx.doi.org/10.1509/jmr.11.0448")</f>
        <v>http://dx.doi.org/10.1509/jmr.11.0448</v>
      </c>
      <c r="BG254" s="1" t="s">
        <v>74</v>
      </c>
      <c r="BH254" s="1" t="s">
        <v>74</v>
      </c>
      <c r="BI254" s="1">
        <v>13</v>
      </c>
      <c r="BJ254" s="1" t="s">
        <v>153</v>
      </c>
      <c r="BK254" s="1" t="s">
        <v>101</v>
      </c>
      <c r="BL254" s="1" t="s">
        <v>154</v>
      </c>
      <c r="BM254" s="1" t="s">
        <v>893</v>
      </c>
      <c r="BN254" s="1" t="s">
        <v>74</v>
      </c>
      <c r="BO254" s="1" t="s">
        <v>74</v>
      </c>
      <c r="BP254" s="1" t="s">
        <v>74</v>
      </c>
      <c r="BQ254" s="1" t="s">
        <v>74</v>
      </c>
      <c r="BR254" s="1" t="s">
        <v>104</v>
      </c>
      <c r="BS254" s="1" t="s">
        <v>894</v>
      </c>
      <c r="BT254" s="1" t="str">
        <f>HYPERLINK("https%3A%2F%2Fwww.webofscience.com%2Fwos%2Fwoscc%2Ffull-record%2FWOS:000368255900005","View Full Record in Web of Science")</f>
        <v>View Full Record in Web of Science</v>
      </c>
      <c r="BU254" s="1" t="s">
        <v>3776</v>
      </c>
      <c r="BV254" s="1" t="s">
        <v>6080</v>
      </c>
      <c r="BW254" s="1" t="s">
        <v>6080</v>
      </c>
    </row>
    <row r="255" spans="1:75" ht="319" x14ac:dyDescent="0.35">
      <c r="A255" s="1" t="s">
        <v>72</v>
      </c>
      <c r="B255" s="1" t="s">
        <v>2198</v>
      </c>
      <c r="C255" s="1" t="s">
        <v>74</v>
      </c>
      <c r="D255" s="1" t="s">
        <v>74</v>
      </c>
      <c r="E255" s="1" t="s">
        <v>74</v>
      </c>
      <c r="F255" s="1" t="s">
        <v>2199</v>
      </c>
      <c r="G255" s="1" t="s">
        <v>74</v>
      </c>
      <c r="H255" s="1" t="s">
        <v>74</v>
      </c>
      <c r="I255" s="1" t="s">
        <v>2200</v>
      </c>
      <c r="J255" s="1" t="s">
        <v>609</v>
      </c>
      <c r="K255" s="1" t="s">
        <v>74</v>
      </c>
      <c r="L255" s="1" t="s">
        <v>74</v>
      </c>
      <c r="M255" s="1" t="s">
        <v>78</v>
      </c>
      <c r="N255" s="1" t="s">
        <v>79</v>
      </c>
      <c r="O255" s="1" t="s">
        <v>74</v>
      </c>
      <c r="P255" s="1" t="s">
        <v>74</v>
      </c>
      <c r="Q255" s="1" t="s">
        <v>74</v>
      </c>
      <c r="R255" s="1" t="s">
        <v>74</v>
      </c>
      <c r="S255" s="1" t="s">
        <v>74</v>
      </c>
      <c r="T255" s="1" t="s">
        <v>2201</v>
      </c>
      <c r="U255" s="1" t="s">
        <v>2202</v>
      </c>
      <c r="V255" s="1" t="s">
        <v>2203</v>
      </c>
      <c r="W255" s="1" t="s">
        <v>2204</v>
      </c>
      <c r="X255" s="1" t="s">
        <v>2205</v>
      </c>
      <c r="Y255" s="1" t="s">
        <v>2206</v>
      </c>
      <c r="Z255" s="1" t="s">
        <v>2207</v>
      </c>
      <c r="AA255" s="1" t="s">
        <v>74</v>
      </c>
      <c r="AB255" s="1" t="s">
        <v>74</v>
      </c>
      <c r="AC255" s="1" t="s">
        <v>74</v>
      </c>
      <c r="AD255" s="1" t="s">
        <v>74</v>
      </c>
      <c r="AE255" s="1" t="s">
        <v>74</v>
      </c>
      <c r="AF255" s="1" t="s">
        <v>74</v>
      </c>
      <c r="AG255" s="1">
        <v>96</v>
      </c>
      <c r="AH255" s="1">
        <v>117</v>
      </c>
      <c r="AI255" s="1">
        <v>117</v>
      </c>
      <c r="AJ255" s="1">
        <v>1</v>
      </c>
      <c r="AK255" s="1">
        <v>116</v>
      </c>
      <c r="AL255" s="1" t="s">
        <v>144</v>
      </c>
      <c r="AM255" s="1" t="s">
        <v>145</v>
      </c>
      <c r="AN255" s="1" t="s">
        <v>146</v>
      </c>
      <c r="AO255" s="1" t="s">
        <v>617</v>
      </c>
      <c r="AP255" s="1" t="s">
        <v>618</v>
      </c>
      <c r="AQ255" s="1" t="s">
        <v>74</v>
      </c>
      <c r="AR255" s="1" t="s">
        <v>619</v>
      </c>
      <c r="AS255" s="1" t="s">
        <v>620</v>
      </c>
      <c r="AT255" s="1" t="s">
        <v>281</v>
      </c>
      <c r="AU255" s="1">
        <v>2015</v>
      </c>
      <c r="AV255" s="1">
        <v>80</v>
      </c>
      <c r="AW255" s="1">
        <v>5</v>
      </c>
      <c r="AX255" s="1" t="s">
        <v>74</v>
      </c>
      <c r="AY255" s="1" t="s">
        <v>74</v>
      </c>
      <c r="AZ255" s="1" t="s">
        <v>74</v>
      </c>
      <c r="BA255" s="1" t="s">
        <v>74</v>
      </c>
      <c r="BB255" s="1">
        <v>934</v>
      </c>
      <c r="BC255" s="1">
        <v>959</v>
      </c>
      <c r="BD255" s="1" t="s">
        <v>74</v>
      </c>
      <c r="BE255" s="1" t="s">
        <v>2208</v>
      </c>
      <c r="BF255" s="1" t="str">
        <f>HYPERLINK("http://dx.doi.org/10.1177/0003122415598534","http://dx.doi.org/10.1177/0003122415598534")</f>
        <v>http://dx.doi.org/10.1177/0003122415598534</v>
      </c>
      <c r="BG255" s="1" t="s">
        <v>74</v>
      </c>
      <c r="BH255" s="1" t="s">
        <v>74</v>
      </c>
      <c r="BI255" s="1">
        <v>26</v>
      </c>
      <c r="BJ255" s="1" t="s">
        <v>365</v>
      </c>
      <c r="BK255" s="1" t="s">
        <v>101</v>
      </c>
      <c r="BL255" s="1" t="s">
        <v>365</v>
      </c>
      <c r="BM255" s="1" t="s">
        <v>2209</v>
      </c>
      <c r="BN255" s="1" t="s">
        <v>74</v>
      </c>
      <c r="BO255" s="1" t="s">
        <v>74</v>
      </c>
      <c r="BP255" s="1" t="s">
        <v>74</v>
      </c>
      <c r="BQ255" s="1" t="s">
        <v>74</v>
      </c>
      <c r="BR255" s="1" t="s">
        <v>104</v>
      </c>
      <c r="BS255" s="1" t="s">
        <v>2210</v>
      </c>
      <c r="BT255" s="1" t="str">
        <f>HYPERLINK("https%3A%2F%2Fwww.webofscience.com%2Fwos%2Fwoscc%2Ffull-record%2FWOS:000362448400003","View Full Record in Web of Science")</f>
        <v>View Full Record in Web of Science</v>
      </c>
      <c r="BU255" s="1" t="s">
        <v>3776</v>
      </c>
      <c r="BV255" s="1" t="s">
        <v>10653</v>
      </c>
    </row>
    <row r="256" spans="1:75" ht="377" x14ac:dyDescent="0.35">
      <c r="A256" s="1" t="s">
        <v>72</v>
      </c>
      <c r="B256" s="1" t="s">
        <v>2211</v>
      </c>
      <c r="C256" s="1" t="s">
        <v>74</v>
      </c>
      <c r="D256" s="1" t="s">
        <v>74</v>
      </c>
      <c r="E256" s="1" t="s">
        <v>74</v>
      </c>
      <c r="F256" s="1" t="s">
        <v>2212</v>
      </c>
      <c r="G256" s="1" t="s">
        <v>74</v>
      </c>
      <c r="H256" s="1" t="s">
        <v>74</v>
      </c>
      <c r="I256" s="1" t="s">
        <v>2213</v>
      </c>
      <c r="J256" s="1" t="s">
        <v>609</v>
      </c>
      <c r="K256" s="1" t="s">
        <v>74</v>
      </c>
      <c r="L256" s="1" t="s">
        <v>74</v>
      </c>
      <c r="M256" s="1" t="s">
        <v>78</v>
      </c>
      <c r="N256" s="1" t="s">
        <v>110</v>
      </c>
      <c r="O256" s="1" t="s">
        <v>74</v>
      </c>
      <c r="P256" s="1" t="s">
        <v>74</v>
      </c>
      <c r="Q256" s="1" t="s">
        <v>74</v>
      </c>
      <c r="R256" s="1" t="s">
        <v>74</v>
      </c>
      <c r="S256" s="1" t="s">
        <v>74</v>
      </c>
      <c r="T256" s="1" t="s">
        <v>2214</v>
      </c>
      <c r="U256" s="1" t="s">
        <v>2215</v>
      </c>
      <c r="V256" s="1" t="s">
        <v>2216</v>
      </c>
      <c r="W256" s="1" t="s">
        <v>2217</v>
      </c>
      <c r="X256" s="1" t="s">
        <v>2218</v>
      </c>
      <c r="Y256" s="1" t="s">
        <v>2219</v>
      </c>
      <c r="Z256" s="1" t="s">
        <v>2220</v>
      </c>
      <c r="AA256" s="1" t="s">
        <v>74</v>
      </c>
      <c r="AB256" s="1" t="s">
        <v>2221</v>
      </c>
      <c r="AC256" s="1" t="s">
        <v>2222</v>
      </c>
      <c r="AD256" s="1" t="s">
        <v>2223</v>
      </c>
      <c r="AE256" s="1" t="s">
        <v>2224</v>
      </c>
      <c r="AF256" s="1" t="s">
        <v>74</v>
      </c>
      <c r="AG256" s="1">
        <v>140</v>
      </c>
      <c r="AH256" s="1">
        <v>69</v>
      </c>
      <c r="AI256" s="1">
        <v>69</v>
      </c>
      <c r="AJ256" s="1">
        <v>3</v>
      </c>
      <c r="AK256" s="1">
        <v>51</v>
      </c>
      <c r="AL256" s="1" t="s">
        <v>144</v>
      </c>
      <c r="AM256" s="1" t="s">
        <v>145</v>
      </c>
      <c r="AN256" s="1" t="s">
        <v>146</v>
      </c>
      <c r="AO256" s="1" t="s">
        <v>617</v>
      </c>
      <c r="AP256" s="1" t="s">
        <v>618</v>
      </c>
      <c r="AQ256" s="1" t="s">
        <v>74</v>
      </c>
      <c r="AR256" s="1" t="s">
        <v>619</v>
      </c>
      <c r="AS256" s="1" t="s">
        <v>620</v>
      </c>
      <c r="AT256" s="1" t="s">
        <v>281</v>
      </c>
      <c r="AU256" s="1">
        <v>2015</v>
      </c>
      <c r="AV256" s="1">
        <v>80</v>
      </c>
      <c r="AW256" s="1">
        <v>5</v>
      </c>
      <c r="AX256" s="1" t="s">
        <v>74</v>
      </c>
      <c r="AY256" s="1" t="s">
        <v>74</v>
      </c>
      <c r="AZ256" s="1" t="s">
        <v>74</v>
      </c>
      <c r="BA256" s="1" t="s">
        <v>74</v>
      </c>
      <c r="BB256" s="1">
        <v>960</v>
      </c>
      <c r="BC256" s="1">
        <v>984</v>
      </c>
      <c r="BD256" s="1" t="s">
        <v>74</v>
      </c>
      <c r="BE256" s="1" t="s">
        <v>2225</v>
      </c>
      <c r="BF256" s="1" t="str">
        <f>HYPERLINK("http://dx.doi.org/10.1177/0003122415596999","http://dx.doi.org/10.1177/0003122415596999")</f>
        <v>http://dx.doi.org/10.1177/0003122415596999</v>
      </c>
      <c r="BG256" s="1" t="s">
        <v>74</v>
      </c>
      <c r="BH256" s="1" t="s">
        <v>74</v>
      </c>
      <c r="BI256" s="1">
        <v>25</v>
      </c>
      <c r="BJ256" s="1" t="s">
        <v>365</v>
      </c>
      <c r="BK256" s="1" t="s">
        <v>101</v>
      </c>
      <c r="BL256" s="1" t="s">
        <v>365</v>
      </c>
      <c r="BM256" s="1" t="s">
        <v>2209</v>
      </c>
      <c r="BN256" s="1" t="s">
        <v>74</v>
      </c>
      <c r="BO256" s="1" t="s">
        <v>74</v>
      </c>
      <c r="BP256" s="1" t="s">
        <v>74</v>
      </c>
      <c r="BQ256" s="1" t="s">
        <v>74</v>
      </c>
      <c r="BR256" s="1" t="s">
        <v>104</v>
      </c>
      <c r="BS256" s="1" t="s">
        <v>2226</v>
      </c>
      <c r="BT256" s="1" t="str">
        <f>HYPERLINK("https%3A%2F%2Fwww.webofscience.com%2Fwos%2Fwoscc%2Ffull-record%2FWOS:000362448400004","View Full Record in Web of Science")</f>
        <v>View Full Record in Web of Science</v>
      </c>
      <c r="BU256" s="1" t="s">
        <v>3776</v>
      </c>
      <c r="BV256" s="1" t="s">
        <v>10653</v>
      </c>
    </row>
    <row r="257" spans="1:75" ht="246.5" x14ac:dyDescent="0.35">
      <c r="A257" s="1" t="s">
        <v>72</v>
      </c>
      <c r="B257" s="1" t="s">
        <v>2227</v>
      </c>
      <c r="C257" s="1" t="s">
        <v>74</v>
      </c>
      <c r="D257" s="1" t="s">
        <v>74</v>
      </c>
      <c r="E257" s="1" t="s">
        <v>74</v>
      </c>
      <c r="F257" s="1" t="s">
        <v>2228</v>
      </c>
      <c r="G257" s="1" t="s">
        <v>74</v>
      </c>
      <c r="H257" s="1" t="s">
        <v>74</v>
      </c>
      <c r="I257" s="1" t="s">
        <v>2229</v>
      </c>
      <c r="J257" s="1" t="s">
        <v>2177</v>
      </c>
      <c r="K257" s="1" t="s">
        <v>74</v>
      </c>
      <c r="L257" s="1" t="s">
        <v>74</v>
      </c>
      <c r="M257" s="1" t="s">
        <v>78</v>
      </c>
      <c r="N257" s="1" t="s">
        <v>79</v>
      </c>
      <c r="O257" s="1" t="s">
        <v>74</v>
      </c>
      <c r="P257" s="1" t="s">
        <v>74</v>
      </c>
      <c r="Q257" s="1" t="s">
        <v>74</v>
      </c>
      <c r="R257" s="1" t="s">
        <v>74</v>
      </c>
      <c r="S257" s="1" t="s">
        <v>74</v>
      </c>
      <c r="T257" s="1" t="s">
        <v>2230</v>
      </c>
      <c r="U257" s="1" t="s">
        <v>2231</v>
      </c>
      <c r="V257" s="1" t="s">
        <v>2232</v>
      </c>
      <c r="W257" s="1" t="s">
        <v>2233</v>
      </c>
      <c r="X257" s="1" t="s">
        <v>2234</v>
      </c>
      <c r="Y257" s="1" t="s">
        <v>2235</v>
      </c>
      <c r="Z257" s="1" t="s">
        <v>2236</v>
      </c>
      <c r="AA257" s="1" t="s">
        <v>74</v>
      </c>
      <c r="AB257" s="1" t="s">
        <v>74</v>
      </c>
      <c r="AC257" s="1" t="s">
        <v>2237</v>
      </c>
      <c r="AD257" s="1" t="s">
        <v>2238</v>
      </c>
      <c r="AE257" s="1" t="s">
        <v>2239</v>
      </c>
      <c r="AF257" s="1" t="s">
        <v>74</v>
      </c>
      <c r="AG257" s="1">
        <v>28</v>
      </c>
      <c r="AH257" s="1">
        <v>59</v>
      </c>
      <c r="AI257" s="1">
        <v>60</v>
      </c>
      <c r="AJ257" s="1">
        <v>0</v>
      </c>
      <c r="AK257" s="1">
        <v>17</v>
      </c>
      <c r="AL257" s="1" t="s">
        <v>2187</v>
      </c>
      <c r="AM257" s="1" t="s">
        <v>2188</v>
      </c>
      <c r="AN257" s="1" t="s">
        <v>2189</v>
      </c>
      <c r="AO257" s="1" t="s">
        <v>2190</v>
      </c>
      <c r="AP257" s="1" t="s">
        <v>74</v>
      </c>
      <c r="AQ257" s="1" t="s">
        <v>74</v>
      </c>
      <c r="AR257" s="1" t="s">
        <v>2191</v>
      </c>
      <c r="AS257" s="1" t="s">
        <v>2192</v>
      </c>
      <c r="AT257" s="1" t="s">
        <v>2240</v>
      </c>
      <c r="AU257" s="1">
        <v>2015</v>
      </c>
      <c r="AV257" s="1">
        <v>6</v>
      </c>
      <c r="AW257" s="1" t="s">
        <v>74</v>
      </c>
      <c r="AX257" s="1" t="s">
        <v>74</v>
      </c>
      <c r="AY257" s="1" t="s">
        <v>74</v>
      </c>
      <c r="AZ257" s="1" t="s">
        <v>74</v>
      </c>
      <c r="BA257" s="1" t="s">
        <v>74</v>
      </c>
      <c r="BB257" s="1" t="s">
        <v>74</v>
      </c>
      <c r="BC257" s="1" t="s">
        <v>74</v>
      </c>
      <c r="BD257" s="1" t="s">
        <v>74</v>
      </c>
      <c r="BE257" s="1" t="s">
        <v>2241</v>
      </c>
      <c r="BF257" s="1" t="str">
        <f>HYPERLINK("http://dx.doi.org/10.3389/fpsyg.2015.01386","http://dx.doi.org/10.3389/fpsyg.2015.01386")</f>
        <v>http://dx.doi.org/10.3389/fpsyg.2015.01386</v>
      </c>
      <c r="BG257" s="1" t="s">
        <v>74</v>
      </c>
      <c r="BH257" s="1" t="s">
        <v>74</v>
      </c>
      <c r="BI257" s="1">
        <v>6</v>
      </c>
      <c r="BJ257" s="1" t="s">
        <v>311</v>
      </c>
      <c r="BK257" s="1" t="s">
        <v>101</v>
      </c>
      <c r="BL257" s="1" t="s">
        <v>102</v>
      </c>
      <c r="BM257" s="1" t="s">
        <v>2242</v>
      </c>
      <c r="BN257" s="1">
        <v>26441761</v>
      </c>
      <c r="BO257" s="1" t="s">
        <v>2196</v>
      </c>
      <c r="BP257" s="1" t="s">
        <v>74</v>
      </c>
      <c r="BQ257" s="1" t="s">
        <v>74</v>
      </c>
      <c r="BR257" s="1" t="s">
        <v>104</v>
      </c>
      <c r="BS257" s="1" t="s">
        <v>2243</v>
      </c>
      <c r="BT257" s="1" t="str">
        <f>HYPERLINK("https%3A%2F%2Fwww.webofscience.com%2Fwos%2Fwoscc%2Ffull-record%2FWOS:000361065900001","View Full Record in Web of Science")</f>
        <v>View Full Record in Web of Science</v>
      </c>
      <c r="BU257" s="1" t="s">
        <v>3776</v>
      </c>
      <c r="BV257" s="1" t="s">
        <v>10653</v>
      </c>
    </row>
    <row r="258" spans="1:75" ht="362.5" x14ac:dyDescent="0.35">
      <c r="A258" s="1" t="s">
        <v>72</v>
      </c>
      <c r="B258" s="1" t="s">
        <v>2244</v>
      </c>
      <c r="C258" s="1" t="s">
        <v>74</v>
      </c>
      <c r="D258" s="1" t="s">
        <v>74</v>
      </c>
      <c r="E258" s="1" t="s">
        <v>74</v>
      </c>
      <c r="F258" s="1" t="s">
        <v>2245</v>
      </c>
      <c r="G258" s="1" t="s">
        <v>74</v>
      </c>
      <c r="H258" s="1" t="s">
        <v>74</v>
      </c>
      <c r="I258" s="1" t="s">
        <v>2246</v>
      </c>
      <c r="J258" s="1" t="s">
        <v>301</v>
      </c>
      <c r="K258" s="1" t="s">
        <v>74</v>
      </c>
      <c r="L258" s="1" t="s">
        <v>74</v>
      </c>
      <c r="M258" s="1" t="s">
        <v>78</v>
      </c>
      <c r="N258" s="1" t="s">
        <v>79</v>
      </c>
      <c r="O258" s="1" t="s">
        <v>74</v>
      </c>
      <c r="P258" s="1" t="s">
        <v>74</v>
      </c>
      <c r="Q258" s="1" t="s">
        <v>74</v>
      </c>
      <c r="R258" s="1" t="s">
        <v>74</v>
      </c>
      <c r="S258" s="1" t="s">
        <v>74</v>
      </c>
      <c r="T258" s="1" t="s">
        <v>2247</v>
      </c>
      <c r="U258" s="1" t="s">
        <v>2248</v>
      </c>
      <c r="V258" s="1" t="s">
        <v>2249</v>
      </c>
      <c r="W258" s="1" t="s">
        <v>2250</v>
      </c>
      <c r="X258" s="1" t="s">
        <v>2251</v>
      </c>
      <c r="Y258" s="1" t="s">
        <v>2252</v>
      </c>
      <c r="Z258" s="1" t="s">
        <v>2253</v>
      </c>
      <c r="AA258" s="1" t="s">
        <v>74</v>
      </c>
      <c r="AB258" s="1" t="s">
        <v>2254</v>
      </c>
      <c r="AC258" s="1" t="s">
        <v>2255</v>
      </c>
      <c r="AD258" s="1" t="s">
        <v>2255</v>
      </c>
      <c r="AE258" s="1" t="s">
        <v>2256</v>
      </c>
      <c r="AF258" s="1" t="s">
        <v>74</v>
      </c>
      <c r="AG258" s="1">
        <v>36</v>
      </c>
      <c r="AH258" s="1">
        <v>84</v>
      </c>
      <c r="AI258" s="1">
        <v>85</v>
      </c>
      <c r="AJ258" s="1">
        <v>1</v>
      </c>
      <c r="AK258" s="1">
        <v>39</v>
      </c>
      <c r="AL258" s="1" t="s">
        <v>144</v>
      </c>
      <c r="AM258" s="1" t="s">
        <v>145</v>
      </c>
      <c r="AN258" s="1" t="s">
        <v>146</v>
      </c>
      <c r="AO258" s="1" t="s">
        <v>306</v>
      </c>
      <c r="AP258" s="1" t="s">
        <v>307</v>
      </c>
      <c r="AQ258" s="1" t="s">
        <v>74</v>
      </c>
      <c r="AR258" s="1" t="s">
        <v>308</v>
      </c>
      <c r="AS258" s="1" t="s">
        <v>309</v>
      </c>
      <c r="AT258" s="1" t="s">
        <v>517</v>
      </c>
      <c r="AU258" s="1">
        <v>2015</v>
      </c>
      <c r="AV258" s="1">
        <v>26</v>
      </c>
      <c r="AW258" s="1">
        <v>9</v>
      </c>
      <c r="AX258" s="1" t="s">
        <v>74</v>
      </c>
      <c r="AY258" s="1" t="s">
        <v>74</v>
      </c>
      <c r="AZ258" s="1" t="s">
        <v>74</v>
      </c>
      <c r="BA258" s="1" t="s">
        <v>74</v>
      </c>
      <c r="BB258" s="1">
        <v>1411</v>
      </c>
      <c r="BC258" s="1">
        <v>1422</v>
      </c>
      <c r="BD258" s="1" t="s">
        <v>74</v>
      </c>
      <c r="BE258" s="1" t="s">
        <v>2257</v>
      </c>
      <c r="BF258" s="1" t="str">
        <f>HYPERLINK("http://dx.doi.org/10.1177/0956797615588467","http://dx.doi.org/10.1177/0956797615588467")</f>
        <v>http://dx.doi.org/10.1177/0956797615588467</v>
      </c>
      <c r="BG258" s="1" t="s">
        <v>74</v>
      </c>
      <c r="BH258" s="1" t="s">
        <v>74</v>
      </c>
      <c r="BI258" s="1">
        <v>12</v>
      </c>
      <c r="BJ258" s="1" t="s">
        <v>311</v>
      </c>
      <c r="BK258" s="1" t="s">
        <v>101</v>
      </c>
      <c r="BL258" s="1" t="s">
        <v>102</v>
      </c>
      <c r="BM258" s="1" t="s">
        <v>1744</v>
      </c>
      <c r="BN258" s="1">
        <v>26187248</v>
      </c>
      <c r="BO258" s="1" t="s">
        <v>131</v>
      </c>
      <c r="BP258" s="1" t="s">
        <v>74</v>
      </c>
      <c r="BQ258" s="1" t="s">
        <v>74</v>
      </c>
      <c r="BR258" s="1" t="s">
        <v>104</v>
      </c>
      <c r="BS258" s="1" t="s">
        <v>2258</v>
      </c>
      <c r="BT258" s="1" t="str">
        <f>HYPERLINK("https%3A%2F%2Fwww.webofscience.com%2Fwos%2Fwoscc%2Ffull-record%2FWOS:000361171200007","View Full Record in Web of Science")</f>
        <v>View Full Record in Web of Science</v>
      </c>
      <c r="BU258" s="1" t="s">
        <v>3776</v>
      </c>
      <c r="BV258" s="1" t="s">
        <v>10653</v>
      </c>
    </row>
    <row r="259" spans="1:75" ht="319" x14ac:dyDescent="0.35">
      <c r="A259" s="1" t="s">
        <v>72</v>
      </c>
      <c r="B259" s="1" t="s">
        <v>1730</v>
      </c>
      <c r="C259" s="1" t="s">
        <v>74</v>
      </c>
      <c r="D259" s="1" t="s">
        <v>74</v>
      </c>
      <c r="E259" s="1" t="s">
        <v>74</v>
      </c>
      <c r="F259" s="1" t="s">
        <v>1731</v>
      </c>
      <c r="G259" s="1" t="s">
        <v>74</v>
      </c>
      <c r="H259" s="1" t="s">
        <v>74</v>
      </c>
      <c r="I259" s="1" t="s">
        <v>1732</v>
      </c>
      <c r="J259" s="1" t="s">
        <v>301</v>
      </c>
      <c r="K259" s="1" t="s">
        <v>74</v>
      </c>
      <c r="L259" s="1" t="s">
        <v>74</v>
      </c>
      <c r="M259" s="1" t="s">
        <v>78</v>
      </c>
      <c r="N259" s="1" t="s">
        <v>79</v>
      </c>
      <c r="O259" s="1" t="s">
        <v>74</v>
      </c>
      <c r="P259" s="1" t="s">
        <v>74</v>
      </c>
      <c r="Q259" s="1" t="s">
        <v>74</v>
      </c>
      <c r="R259" s="1" t="s">
        <v>74</v>
      </c>
      <c r="S259" s="1" t="s">
        <v>74</v>
      </c>
      <c r="T259" s="1" t="s">
        <v>1733</v>
      </c>
      <c r="U259" s="1" t="s">
        <v>1734</v>
      </c>
      <c r="V259" s="1" t="s">
        <v>1735</v>
      </c>
      <c r="W259" s="1" t="s">
        <v>1736</v>
      </c>
      <c r="X259" s="1" t="s">
        <v>1737</v>
      </c>
      <c r="Y259" s="1" t="s">
        <v>1738</v>
      </c>
      <c r="Z259" s="1" t="s">
        <v>1739</v>
      </c>
      <c r="AA259" s="1" t="s">
        <v>74</v>
      </c>
      <c r="AB259" s="1" t="s">
        <v>74</v>
      </c>
      <c r="AC259" s="1" t="s">
        <v>1740</v>
      </c>
      <c r="AD259" s="1" t="s">
        <v>1741</v>
      </c>
      <c r="AE259" s="1" t="s">
        <v>1742</v>
      </c>
      <c r="AF259" s="1" t="s">
        <v>74</v>
      </c>
      <c r="AG259" s="1">
        <v>41</v>
      </c>
      <c r="AH259" s="1">
        <v>51</v>
      </c>
      <c r="AI259" s="1">
        <v>51</v>
      </c>
      <c r="AJ259" s="1">
        <v>5</v>
      </c>
      <c r="AK259" s="1">
        <v>62</v>
      </c>
      <c r="AL259" s="1" t="s">
        <v>144</v>
      </c>
      <c r="AM259" s="1" t="s">
        <v>145</v>
      </c>
      <c r="AN259" s="1" t="s">
        <v>146</v>
      </c>
      <c r="AO259" s="1" t="s">
        <v>306</v>
      </c>
      <c r="AP259" s="1" t="s">
        <v>307</v>
      </c>
      <c r="AQ259" s="1" t="s">
        <v>74</v>
      </c>
      <c r="AR259" s="1" t="s">
        <v>308</v>
      </c>
      <c r="AS259" s="1" t="s">
        <v>309</v>
      </c>
      <c r="AT259" s="1" t="s">
        <v>517</v>
      </c>
      <c r="AU259" s="1">
        <v>2015</v>
      </c>
      <c r="AV259" s="1">
        <v>26</v>
      </c>
      <c r="AW259" s="1">
        <v>9</v>
      </c>
      <c r="AX259" s="1" t="s">
        <v>74</v>
      </c>
      <c r="AY259" s="1" t="s">
        <v>74</v>
      </c>
      <c r="AZ259" s="1" t="s">
        <v>74</v>
      </c>
      <c r="BA259" s="1" t="s">
        <v>74</v>
      </c>
      <c r="BB259" s="1">
        <v>1449</v>
      </c>
      <c r="BC259" s="1">
        <v>1460</v>
      </c>
      <c r="BD259" s="1" t="s">
        <v>74</v>
      </c>
      <c r="BE259" s="1" t="s">
        <v>1743</v>
      </c>
      <c r="BF259" s="1" t="str">
        <f>HYPERLINK("http://dx.doi.org/10.1177/0956797615591771","http://dx.doi.org/10.1177/0956797615591771")</f>
        <v>http://dx.doi.org/10.1177/0956797615591771</v>
      </c>
      <c r="BG259" s="1" t="s">
        <v>74</v>
      </c>
      <c r="BH259" s="1" t="s">
        <v>74</v>
      </c>
      <c r="BI259" s="1">
        <v>12</v>
      </c>
      <c r="BJ259" s="1" t="s">
        <v>311</v>
      </c>
      <c r="BK259" s="1" t="s">
        <v>101</v>
      </c>
      <c r="BL259" s="1" t="s">
        <v>102</v>
      </c>
      <c r="BM259" s="1" t="s">
        <v>1744</v>
      </c>
      <c r="BN259" s="1">
        <v>26239108</v>
      </c>
      <c r="BO259" s="1" t="s">
        <v>1333</v>
      </c>
      <c r="BP259" s="1" t="s">
        <v>74</v>
      </c>
      <c r="BQ259" s="1" t="s">
        <v>74</v>
      </c>
      <c r="BR259" s="1" t="s">
        <v>104</v>
      </c>
      <c r="BS259" s="1" t="s">
        <v>1745</v>
      </c>
      <c r="BT259" s="1" t="str">
        <f>HYPERLINK("https%3A%2F%2Fwww.webofscience.com%2Fwos%2Fwoscc%2Ffull-record%2FWOS:000361171200011","View Full Record in Web of Science")</f>
        <v>View Full Record in Web of Science</v>
      </c>
      <c r="BU259" s="1" t="s">
        <v>3776</v>
      </c>
      <c r="BV259" s="1" t="s">
        <v>10653</v>
      </c>
    </row>
    <row r="260" spans="1:75" ht="304.5" x14ac:dyDescent="0.35">
      <c r="A260" s="1" t="s">
        <v>72</v>
      </c>
      <c r="B260" s="1" t="s">
        <v>2259</v>
      </c>
      <c r="C260" s="1" t="s">
        <v>74</v>
      </c>
      <c r="D260" s="1" t="s">
        <v>74</v>
      </c>
      <c r="E260" s="1" t="s">
        <v>74</v>
      </c>
      <c r="F260" s="1" t="s">
        <v>2260</v>
      </c>
      <c r="G260" s="1" t="s">
        <v>74</v>
      </c>
      <c r="H260" s="1" t="s">
        <v>74</v>
      </c>
      <c r="I260" s="1" t="s">
        <v>2261</v>
      </c>
      <c r="J260" s="1" t="s">
        <v>2262</v>
      </c>
      <c r="K260" s="1" t="s">
        <v>74</v>
      </c>
      <c r="L260" s="1" t="s">
        <v>74</v>
      </c>
      <c r="M260" s="1" t="s">
        <v>78</v>
      </c>
      <c r="N260" s="1" t="s">
        <v>79</v>
      </c>
      <c r="O260" s="1" t="s">
        <v>74</v>
      </c>
      <c r="P260" s="1" t="s">
        <v>74</v>
      </c>
      <c r="Q260" s="1" t="s">
        <v>74</v>
      </c>
      <c r="R260" s="1" t="s">
        <v>74</v>
      </c>
      <c r="S260" s="1" t="s">
        <v>74</v>
      </c>
      <c r="T260" s="1" t="s">
        <v>2263</v>
      </c>
      <c r="U260" s="1" t="s">
        <v>2264</v>
      </c>
      <c r="V260" s="1" t="s">
        <v>2265</v>
      </c>
      <c r="W260" s="1" t="s">
        <v>2266</v>
      </c>
      <c r="X260" s="1" t="s">
        <v>2267</v>
      </c>
      <c r="Y260" s="1" t="s">
        <v>2268</v>
      </c>
      <c r="Z260" s="1" t="s">
        <v>2269</v>
      </c>
      <c r="AA260" s="1" t="s">
        <v>2270</v>
      </c>
      <c r="AB260" s="1" t="s">
        <v>2271</v>
      </c>
      <c r="AC260" s="1" t="s">
        <v>74</v>
      </c>
      <c r="AD260" s="1" t="s">
        <v>74</v>
      </c>
      <c r="AE260" s="1" t="s">
        <v>74</v>
      </c>
      <c r="AF260" s="1" t="s">
        <v>74</v>
      </c>
      <c r="AG260" s="1">
        <v>58</v>
      </c>
      <c r="AH260" s="1">
        <v>13</v>
      </c>
      <c r="AI260" s="1">
        <v>13</v>
      </c>
      <c r="AJ260" s="1">
        <v>1</v>
      </c>
      <c r="AK260" s="1">
        <v>27</v>
      </c>
      <c r="AL260" s="1" t="s">
        <v>144</v>
      </c>
      <c r="AM260" s="1" t="s">
        <v>145</v>
      </c>
      <c r="AN260" s="1" t="s">
        <v>146</v>
      </c>
      <c r="AO260" s="1" t="s">
        <v>2272</v>
      </c>
      <c r="AP260" s="1" t="s">
        <v>2273</v>
      </c>
      <c r="AQ260" s="1" t="s">
        <v>74</v>
      </c>
      <c r="AR260" s="1" t="s">
        <v>2274</v>
      </c>
      <c r="AS260" s="1" t="s">
        <v>2275</v>
      </c>
      <c r="AT260" s="1" t="s">
        <v>517</v>
      </c>
      <c r="AU260" s="1">
        <v>2015</v>
      </c>
      <c r="AV260" s="1">
        <v>41</v>
      </c>
      <c r="AW260" s="1">
        <v>9</v>
      </c>
      <c r="AX260" s="1" t="s">
        <v>74</v>
      </c>
      <c r="AY260" s="1" t="s">
        <v>74</v>
      </c>
      <c r="AZ260" s="1" t="s">
        <v>74</v>
      </c>
      <c r="BA260" s="1" t="s">
        <v>74</v>
      </c>
      <c r="BB260" s="1">
        <v>1195</v>
      </c>
      <c r="BC260" s="1">
        <v>1206</v>
      </c>
      <c r="BD260" s="1" t="s">
        <v>74</v>
      </c>
      <c r="BE260" s="1" t="s">
        <v>2276</v>
      </c>
      <c r="BF260" s="1" t="str">
        <f>HYPERLINK("http://dx.doi.org/10.1177/0146167215591960","http://dx.doi.org/10.1177/0146167215591960")</f>
        <v>http://dx.doi.org/10.1177/0146167215591960</v>
      </c>
      <c r="BG260" s="1" t="s">
        <v>74</v>
      </c>
      <c r="BH260" s="1" t="s">
        <v>74</v>
      </c>
      <c r="BI260" s="1">
        <v>12</v>
      </c>
      <c r="BJ260" s="1" t="s">
        <v>100</v>
      </c>
      <c r="BK260" s="1" t="s">
        <v>101</v>
      </c>
      <c r="BL260" s="1" t="s">
        <v>102</v>
      </c>
      <c r="BM260" s="1" t="s">
        <v>2277</v>
      </c>
      <c r="BN260" s="1">
        <v>26101445</v>
      </c>
      <c r="BO260" s="1" t="s">
        <v>828</v>
      </c>
      <c r="BP260" s="1" t="s">
        <v>74</v>
      </c>
      <c r="BQ260" s="1" t="s">
        <v>74</v>
      </c>
      <c r="BR260" s="1" t="s">
        <v>104</v>
      </c>
      <c r="BS260" s="1" t="s">
        <v>2278</v>
      </c>
      <c r="BT260" s="1" t="str">
        <f>HYPERLINK("https%3A%2F%2Fwww.webofscience.com%2Fwos%2Fwoscc%2Ffull-record%2FWOS:000358876900003","View Full Record in Web of Science")</f>
        <v>View Full Record in Web of Science</v>
      </c>
      <c r="BU260" s="1" t="s">
        <v>3776</v>
      </c>
      <c r="BV260" s="1" t="s">
        <v>10653</v>
      </c>
    </row>
    <row r="261" spans="1:75" ht="391.5" x14ac:dyDescent="0.35">
      <c r="A261" s="1" t="s">
        <v>72</v>
      </c>
      <c r="B261" s="1" t="s">
        <v>2279</v>
      </c>
      <c r="C261" s="1" t="s">
        <v>74</v>
      </c>
      <c r="D261" s="1" t="s">
        <v>74</v>
      </c>
      <c r="E261" s="1" t="s">
        <v>74</v>
      </c>
      <c r="F261" s="1" t="s">
        <v>2280</v>
      </c>
      <c r="G261" s="1" t="s">
        <v>74</v>
      </c>
      <c r="H261" s="1" t="s">
        <v>74</v>
      </c>
      <c r="I261" s="1" t="s">
        <v>2281</v>
      </c>
      <c r="J261" s="1" t="s">
        <v>2177</v>
      </c>
      <c r="K261" s="1" t="s">
        <v>74</v>
      </c>
      <c r="L261" s="1" t="s">
        <v>74</v>
      </c>
      <c r="M261" s="1" t="s">
        <v>78</v>
      </c>
      <c r="N261" s="1" t="s">
        <v>79</v>
      </c>
      <c r="O261" s="1" t="s">
        <v>74</v>
      </c>
      <c r="P261" s="1" t="s">
        <v>74</v>
      </c>
      <c r="Q261" s="1" t="s">
        <v>74</v>
      </c>
      <c r="R261" s="1" t="s">
        <v>74</v>
      </c>
      <c r="S261" s="1" t="s">
        <v>74</v>
      </c>
      <c r="T261" s="1" t="s">
        <v>2282</v>
      </c>
      <c r="U261" s="1" t="s">
        <v>2283</v>
      </c>
      <c r="V261" s="1" t="s">
        <v>2284</v>
      </c>
      <c r="W261" s="1" t="s">
        <v>2285</v>
      </c>
      <c r="X261" s="1" t="s">
        <v>2286</v>
      </c>
      <c r="Y261" s="1" t="s">
        <v>2287</v>
      </c>
      <c r="Z261" s="1" t="s">
        <v>2288</v>
      </c>
      <c r="AA261" s="1" t="s">
        <v>2289</v>
      </c>
      <c r="AB261" s="1" t="s">
        <v>2290</v>
      </c>
      <c r="AC261" s="1" t="s">
        <v>74</v>
      </c>
      <c r="AD261" s="1" t="s">
        <v>74</v>
      </c>
      <c r="AE261" s="1" t="s">
        <v>74</v>
      </c>
      <c r="AF261" s="1" t="s">
        <v>74</v>
      </c>
      <c r="AG261" s="1">
        <v>57</v>
      </c>
      <c r="AH261" s="1">
        <v>56</v>
      </c>
      <c r="AI261" s="1">
        <v>58</v>
      </c>
      <c r="AJ261" s="1">
        <v>6</v>
      </c>
      <c r="AK261" s="1">
        <v>130</v>
      </c>
      <c r="AL261" s="1" t="s">
        <v>2187</v>
      </c>
      <c r="AM261" s="1" t="s">
        <v>2188</v>
      </c>
      <c r="AN261" s="1" t="s">
        <v>2189</v>
      </c>
      <c r="AO261" s="1" t="s">
        <v>2190</v>
      </c>
      <c r="AP261" s="1" t="s">
        <v>74</v>
      </c>
      <c r="AQ261" s="1" t="s">
        <v>74</v>
      </c>
      <c r="AR261" s="1" t="s">
        <v>2191</v>
      </c>
      <c r="AS261" s="1" t="s">
        <v>2192</v>
      </c>
      <c r="AT261" s="1" t="s">
        <v>2291</v>
      </c>
      <c r="AU261" s="1">
        <v>2015</v>
      </c>
      <c r="AV261" s="1">
        <v>6</v>
      </c>
      <c r="AW261" s="1" t="s">
        <v>74</v>
      </c>
      <c r="AX261" s="1" t="s">
        <v>74</v>
      </c>
      <c r="AY261" s="1" t="s">
        <v>74</v>
      </c>
      <c r="AZ261" s="1" t="s">
        <v>74</v>
      </c>
      <c r="BA261" s="1" t="s">
        <v>74</v>
      </c>
      <c r="BB261" s="1" t="s">
        <v>74</v>
      </c>
      <c r="BC261" s="1" t="s">
        <v>74</v>
      </c>
      <c r="BD261" s="1">
        <v>1045</v>
      </c>
      <c r="BE261" s="1" t="s">
        <v>2292</v>
      </c>
      <c r="BF261" s="1" t="str">
        <f>HYPERLINK("http://dx.doi.org/10.3389/fpsyg.2015.01045","http://dx.doi.org/10.3389/fpsyg.2015.01045")</f>
        <v>http://dx.doi.org/10.3389/fpsyg.2015.01045</v>
      </c>
      <c r="BG261" s="1" t="s">
        <v>74</v>
      </c>
      <c r="BH261" s="1" t="s">
        <v>74</v>
      </c>
      <c r="BI261" s="1">
        <v>7</v>
      </c>
      <c r="BJ261" s="1" t="s">
        <v>311</v>
      </c>
      <c r="BK261" s="1" t="s">
        <v>101</v>
      </c>
      <c r="BL261" s="1" t="s">
        <v>102</v>
      </c>
      <c r="BM261" s="1" t="s">
        <v>2293</v>
      </c>
      <c r="BN261" s="1">
        <v>26257692</v>
      </c>
      <c r="BO261" s="1" t="s">
        <v>2294</v>
      </c>
      <c r="BP261" s="1" t="s">
        <v>74</v>
      </c>
      <c r="BQ261" s="1" t="s">
        <v>74</v>
      </c>
      <c r="BR261" s="1" t="s">
        <v>104</v>
      </c>
      <c r="BS261" s="1" t="s">
        <v>2295</v>
      </c>
      <c r="BT261" s="1" t="str">
        <f>HYPERLINK("https%3A%2F%2Fwww.webofscience.com%2Fwos%2Fwoscc%2Ffull-record%2FWOS:000358878800001","View Full Record in Web of Science")</f>
        <v>View Full Record in Web of Science</v>
      </c>
      <c r="BU261" s="1" t="s">
        <v>3776</v>
      </c>
      <c r="BV261" s="1" t="s">
        <v>10653</v>
      </c>
    </row>
    <row r="262" spans="1:75" ht="406" x14ac:dyDescent="0.35">
      <c r="A262" s="1" t="s">
        <v>72</v>
      </c>
      <c r="B262" s="1" t="s">
        <v>2296</v>
      </c>
      <c r="C262" s="1" t="s">
        <v>74</v>
      </c>
      <c r="D262" s="1" t="s">
        <v>74</v>
      </c>
      <c r="E262" s="1" t="s">
        <v>74</v>
      </c>
      <c r="F262" s="1" t="s">
        <v>2297</v>
      </c>
      <c r="G262" s="1" t="s">
        <v>74</v>
      </c>
      <c r="H262" s="1" t="s">
        <v>74</v>
      </c>
      <c r="I262" s="1" t="s">
        <v>2298</v>
      </c>
      <c r="J262" s="1" t="s">
        <v>161</v>
      </c>
      <c r="K262" s="1" t="s">
        <v>74</v>
      </c>
      <c r="L262" s="1" t="s">
        <v>74</v>
      </c>
      <c r="M262" s="1" t="s">
        <v>78</v>
      </c>
      <c r="N262" s="1" t="s">
        <v>110</v>
      </c>
      <c r="O262" s="1" t="s">
        <v>74</v>
      </c>
      <c r="P262" s="1" t="s">
        <v>74</v>
      </c>
      <c r="Q262" s="1" t="s">
        <v>74</v>
      </c>
      <c r="R262" s="1" t="s">
        <v>74</v>
      </c>
      <c r="S262" s="1" t="s">
        <v>74</v>
      </c>
      <c r="T262" s="1" t="s">
        <v>2299</v>
      </c>
      <c r="U262" s="1" t="s">
        <v>2300</v>
      </c>
      <c r="V262" s="1" t="s">
        <v>2301</v>
      </c>
      <c r="W262" s="1" t="s">
        <v>2302</v>
      </c>
      <c r="X262" s="1" t="s">
        <v>2303</v>
      </c>
      <c r="Y262" s="1" t="s">
        <v>2304</v>
      </c>
      <c r="Z262" s="1" t="s">
        <v>2305</v>
      </c>
      <c r="AA262" s="1" t="s">
        <v>74</v>
      </c>
      <c r="AB262" s="1" t="s">
        <v>1464</v>
      </c>
      <c r="AC262" s="1" t="s">
        <v>2306</v>
      </c>
      <c r="AD262" s="1" t="s">
        <v>2307</v>
      </c>
      <c r="AE262" s="1" t="s">
        <v>2308</v>
      </c>
      <c r="AF262" s="1" t="s">
        <v>74</v>
      </c>
      <c r="AG262" s="1">
        <v>58</v>
      </c>
      <c r="AH262" s="1">
        <v>105</v>
      </c>
      <c r="AI262" s="1">
        <v>107</v>
      </c>
      <c r="AJ262" s="1">
        <v>19</v>
      </c>
      <c r="AK262" s="1">
        <v>195</v>
      </c>
      <c r="AL262" s="1" t="s">
        <v>170</v>
      </c>
      <c r="AM262" s="1" t="s">
        <v>171</v>
      </c>
      <c r="AN262" s="1" t="s">
        <v>172</v>
      </c>
      <c r="AO262" s="1" t="s">
        <v>173</v>
      </c>
      <c r="AP262" s="1" t="s">
        <v>174</v>
      </c>
      <c r="AQ262" s="1" t="s">
        <v>74</v>
      </c>
      <c r="AR262" s="1" t="s">
        <v>175</v>
      </c>
      <c r="AS262" s="1" t="s">
        <v>176</v>
      </c>
      <c r="AT262" s="1" t="s">
        <v>151</v>
      </c>
      <c r="AU262" s="1">
        <v>2015</v>
      </c>
      <c r="AV262" s="1">
        <v>42</v>
      </c>
      <c r="AW262" s="1">
        <v>1</v>
      </c>
      <c r="AX262" s="1" t="s">
        <v>74</v>
      </c>
      <c r="AY262" s="1" t="s">
        <v>74</v>
      </c>
      <c r="AZ262" s="1" t="s">
        <v>74</v>
      </c>
      <c r="BA262" s="1" t="s">
        <v>74</v>
      </c>
      <c r="BB262" s="1">
        <v>30</v>
      </c>
      <c r="BC262" s="1">
        <v>44</v>
      </c>
      <c r="BD262" s="1" t="s">
        <v>74</v>
      </c>
      <c r="BE262" s="1" t="s">
        <v>2309</v>
      </c>
      <c r="BF262" s="1" t="str">
        <f>HYPERLINK("http://dx.doi.org/10.1093/jcr/ucv003","http://dx.doi.org/10.1093/jcr/ucv003")</f>
        <v>http://dx.doi.org/10.1093/jcr/ucv003</v>
      </c>
      <c r="BG262" s="1" t="s">
        <v>74</v>
      </c>
      <c r="BH262" s="1" t="s">
        <v>74</v>
      </c>
      <c r="BI262" s="1">
        <v>15</v>
      </c>
      <c r="BJ262" s="1" t="s">
        <v>153</v>
      </c>
      <c r="BK262" s="1" t="s">
        <v>101</v>
      </c>
      <c r="BL262" s="1" t="s">
        <v>154</v>
      </c>
      <c r="BM262" s="1" t="s">
        <v>2310</v>
      </c>
      <c r="BN262" s="1" t="s">
        <v>74</v>
      </c>
      <c r="BO262" s="1" t="s">
        <v>74</v>
      </c>
      <c r="BP262" s="1" t="s">
        <v>74</v>
      </c>
      <c r="BQ262" s="1" t="s">
        <v>74</v>
      </c>
      <c r="BR262" s="1" t="s">
        <v>104</v>
      </c>
      <c r="BS262" s="1" t="s">
        <v>2311</v>
      </c>
      <c r="BT262" s="1" t="str">
        <f>HYPERLINK("https%3A%2F%2Fwww.webofscience.com%2Fwos%2Fwoscc%2Ffull-record%2FWOS:000356596900004","View Full Record in Web of Science")</f>
        <v>View Full Record in Web of Science</v>
      </c>
      <c r="BU262" s="1" t="s">
        <v>3776</v>
      </c>
      <c r="BV262" s="1" t="s">
        <v>6080</v>
      </c>
      <c r="BW262" s="1" t="s">
        <v>6080</v>
      </c>
    </row>
    <row r="263" spans="1:75" ht="348" x14ac:dyDescent="0.35">
      <c r="A263" s="1" t="s">
        <v>72</v>
      </c>
      <c r="B263" s="1" t="s">
        <v>2312</v>
      </c>
      <c r="C263" s="1" t="s">
        <v>74</v>
      </c>
      <c r="D263" s="1" t="s">
        <v>74</v>
      </c>
      <c r="E263" s="1" t="s">
        <v>74</v>
      </c>
      <c r="F263" s="1" t="s">
        <v>2313</v>
      </c>
      <c r="G263" s="1" t="s">
        <v>74</v>
      </c>
      <c r="H263" s="1" t="s">
        <v>74</v>
      </c>
      <c r="I263" s="1" t="s">
        <v>2314</v>
      </c>
      <c r="J263" s="1" t="s">
        <v>301</v>
      </c>
      <c r="K263" s="1" t="s">
        <v>74</v>
      </c>
      <c r="L263" s="1" t="s">
        <v>74</v>
      </c>
      <c r="M263" s="1" t="s">
        <v>78</v>
      </c>
      <c r="N263" s="1" t="s">
        <v>79</v>
      </c>
      <c r="O263" s="1" t="s">
        <v>74</v>
      </c>
      <c r="P263" s="1" t="s">
        <v>74</v>
      </c>
      <c r="Q263" s="1" t="s">
        <v>74</v>
      </c>
      <c r="R263" s="1" t="s">
        <v>74</v>
      </c>
      <c r="S263" s="1" t="s">
        <v>74</v>
      </c>
      <c r="T263" s="1" t="s">
        <v>2315</v>
      </c>
      <c r="U263" s="1" t="s">
        <v>2316</v>
      </c>
      <c r="V263" s="1" t="s">
        <v>2317</v>
      </c>
      <c r="W263" s="1" t="s">
        <v>2318</v>
      </c>
      <c r="X263" s="1" t="s">
        <v>1490</v>
      </c>
      <c r="Y263" s="1" t="s">
        <v>2319</v>
      </c>
      <c r="Z263" s="1" t="s">
        <v>2320</v>
      </c>
      <c r="AA263" s="1" t="s">
        <v>2321</v>
      </c>
      <c r="AB263" s="1" t="s">
        <v>2322</v>
      </c>
      <c r="AC263" s="1" t="s">
        <v>2323</v>
      </c>
      <c r="AD263" s="1" t="s">
        <v>2324</v>
      </c>
      <c r="AE263" s="1" t="s">
        <v>2325</v>
      </c>
      <c r="AF263" s="1" t="s">
        <v>74</v>
      </c>
      <c r="AG263" s="1">
        <v>58</v>
      </c>
      <c r="AH263" s="1">
        <v>48</v>
      </c>
      <c r="AI263" s="1">
        <v>48</v>
      </c>
      <c r="AJ263" s="1">
        <v>3</v>
      </c>
      <c r="AK263" s="1">
        <v>33</v>
      </c>
      <c r="AL263" s="1" t="s">
        <v>144</v>
      </c>
      <c r="AM263" s="1" t="s">
        <v>145</v>
      </c>
      <c r="AN263" s="1" t="s">
        <v>146</v>
      </c>
      <c r="AO263" s="1" t="s">
        <v>306</v>
      </c>
      <c r="AP263" s="1" t="s">
        <v>307</v>
      </c>
      <c r="AQ263" s="1" t="s">
        <v>74</v>
      </c>
      <c r="AR263" s="1" t="s">
        <v>308</v>
      </c>
      <c r="AS263" s="1" t="s">
        <v>309</v>
      </c>
      <c r="AT263" s="1" t="s">
        <v>704</v>
      </c>
      <c r="AU263" s="1">
        <v>2015</v>
      </c>
      <c r="AV263" s="1">
        <v>26</v>
      </c>
      <c r="AW263" s="1">
        <v>5</v>
      </c>
      <c r="AX263" s="1" t="s">
        <v>74</v>
      </c>
      <c r="AY263" s="1" t="s">
        <v>74</v>
      </c>
      <c r="AZ263" s="1" t="s">
        <v>74</v>
      </c>
      <c r="BA263" s="1" t="s">
        <v>74</v>
      </c>
      <c r="BB263" s="1">
        <v>570</v>
      </c>
      <c r="BC263" s="1">
        <v>582</v>
      </c>
      <c r="BD263" s="1" t="s">
        <v>74</v>
      </c>
      <c r="BE263" s="1" t="s">
        <v>2326</v>
      </c>
      <c r="BF263" s="1" t="str">
        <f>HYPERLINK("http://dx.doi.org/10.1177/0956797614566658","http://dx.doi.org/10.1177/0956797614566658")</f>
        <v>http://dx.doi.org/10.1177/0956797614566658</v>
      </c>
      <c r="BG263" s="1" t="s">
        <v>74</v>
      </c>
      <c r="BH263" s="1" t="s">
        <v>74</v>
      </c>
      <c r="BI263" s="1">
        <v>13</v>
      </c>
      <c r="BJ263" s="1" t="s">
        <v>311</v>
      </c>
      <c r="BK263" s="1" t="s">
        <v>1532</v>
      </c>
      <c r="BL263" s="1" t="s">
        <v>102</v>
      </c>
      <c r="BM263" s="1" t="s">
        <v>2327</v>
      </c>
      <c r="BN263" s="1">
        <v>25854277</v>
      </c>
      <c r="BO263" s="1" t="s">
        <v>74</v>
      </c>
      <c r="BP263" s="1" t="s">
        <v>74</v>
      </c>
      <c r="BQ263" s="1" t="s">
        <v>74</v>
      </c>
      <c r="BR263" s="1" t="s">
        <v>104</v>
      </c>
      <c r="BS263" s="1" t="s">
        <v>2328</v>
      </c>
      <c r="BT263" s="1" t="str">
        <f>HYPERLINK("https%3A%2F%2Fwww.webofscience.com%2Fwos%2Fwoscc%2Ffull-record%2FWOS:000354269100002","View Full Record in Web of Science")</f>
        <v>View Full Record in Web of Science</v>
      </c>
      <c r="BU263" s="1" t="s">
        <v>3776</v>
      </c>
      <c r="BV263" s="1" t="s">
        <v>10653</v>
      </c>
    </row>
    <row r="264" spans="1:75" ht="319" x14ac:dyDescent="0.35">
      <c r="A264" s="1" t="s">
        <v>72</v>
      </c>
      <c r="B264" s="1" t="s">
        <v>2329</v>
      </c>
      <c r="C264" s="1" t="s">
        <v>74</v>
      </c>
      <c r="D264" s="1" t="s">
        <v>74</v>
      </c>
      <c r="E264" s="1" t="s">
        <v>74</v>
      </c>
      <c r="F264" s="1" t="s">
        <v>2330</v>
      </c>
      <c r="G264" s="1" t="s">
        <v>74</v>
      </c>
      <c r="H264" s="1" t="s">
        <v>74</v>
      </c>
      <c r="I264" s="1" t="s">
        <v>2331</v>
      </c>
      <c r="J264" s="1" t="s">
        <v>301</v>
      </c>
      <c r="K264" s="1" t="s">
        <v>74</v>
      </c>
      <c r="L264" s="1" t="s">
        <v>74</v>
      </c>
      <c r="M264" s="1" t="s">
        <v>78</v>
      </c>
      <c r="N264" s="1" t="s">
        <v>79</v>
      </c>
      <c r="O264" s="1" t="s">
        <v>74</v>
      </c>
      <c r="P264" s="1" t="s">
        <v>74</v>
      </c>
      <c r="Q264" s="1" t="s">
        <v>74</v>
      </c>
      <c r="R264" s="1" t="s">
        <v>74</v>
      </c>
      <c r="S264" s="1" t="s">
        <v>74</v>
      </c>
      <c r="T264" s="1" t="s">
        <v>2332</v>
      </c>
      <c r="U264" s="1" t="s">
        <v>2333</v>
      </c>
      <c r="V264" s="1" t="s">
        <v>2334</v>
      </c>
      <c r="W264" s="1" t="s">
        <v>2335</v>
      </c>
      <c r="X264" s="1" t="s">
        <v>1870</v>
      </c>
      <c r="Y264" s="1" t="s">
        <v>2336</v>
      </c>
      <c r="Z264" s="1" t="s">
        <v>2337</v>
      </c>
      <c r="AA264" s="1" t="s">
        <v>2338</v>
      </c>
      <c r="AB264" s="1" t="s">
        <v>74</v>
      </c>
      <c r="AC264" s="1" t="s">
        <v>2339</v>
      </c>
      <c r="AD264" s="1" t="s">
        <v>2340</v>
      </c>
      <c r="AE264" s="1" t="s">
        <v>2341</v>
      </c>
      <c r="AF264" s="1" t="s">
        <v>74</v>
      </c>
      <c r="AG264" s="1">
        <v>38</v>
      </c>
      <c r="AH264" s="1">
        <v>58</v>
      </c>
      <c r="AI264" s="1">
        <v>59</v>
      </c>
      <c r="AJ264" s="1">
        <v>2</v>
      </c>
      <c r="AK264" s="1">
        <v>35</v>
      </c>
      <c r="AL264" s="1" t="s">
        <v>144</v>
      </c>
      <c r="AM264" s="1" t="s">
        <v>145</v>
      </c>
      <c r="AN264" s="1" t="s">
        <v>146</v>
      </c>
      <c r="AO264" s="1" t="s">
        <v>306</v>
      </c>
      <c r="AP264" s="1" t="s">
        <v>307</v>
      </c>
      <c r="AQ264" s="1" t="s">
        <v>74</v>
      </c>
      <c r="AR264" s="1" t="s">
        <v>308</v>
      </c>
      <c r="AS264" s="1" t="s">
        <v>309</v>
      </c>
      <c r="AT264" s="1" t="s">
        <v>294</v>
      </c>
      <c r="AU264" s="1">
        <v>2015</v>
      </c>
      <c r="AV264" s="1">
        <v>26</v>
      </c>
      <c r="AW264" s="1">
        <v>4</v>
      </c>
      <c r="AX264" s="1" t="s">
        <v>74</v>
      </c>
      <c r="AY264" s="1" t="s">
        <v>74</v>
      </c>
      <c r="AZ264" s="1" t="s">
        <v>74</v>
      </c>
      <c r="BA264" s="1" t="s">
        <v>74</v>
      </c>
      <c r="BB264" s="1">
        <v>363</v>
      </c>
      <c r="BC264" s="1">
        <v>373</v>
      </c>
      <c r="BD264" s="1" t="s">
        <v>74</v>
      </c>
      <c r="BE264" s="1" t="s">
        <v>2342</v>
      </c>
      <c r="BF264" s="1" t="str">
        <f>HYPERLINK("http://dx.doi.org/10.1177/0956797614562218","http://dx.doi.org/10.1177/0956797614562218")</f>
        <v>http://dx.doi.org/10.1177/0956797614562218</v>
      </c>
      <c r="BG264" s="1" t="s">
        <v>74</v>
      </c>
      <c r="BH264" s="1" t="s">
        <v>74</v>
      </c>
      <c r="BI264" s="1">
        <v>11</v>
      </c>
      <c r="BJ264" s="1" t="s">
        <v>311</v>
      </c>
      <c r="BK264" s="1" t="s">
        <v>101</v>
      </c>
      <c r="BL264" s="1" t="s">
        <v>102</v>
      </c>
      <c r="BM264" s="1" t="s">
        <v>2343</v>
      </c>
      <c r="BN264" s="1">
        <v>25767209</v>
      </c>
      <c r="BO264" s="1" t="s">
        <v>828</v>
      </c>
      <c r="BP264" s="1" t="s">
        <v>74</v>
      </c>
      <c r="BQ264" s="1" t="s">
        <v>74</v>
      </c>
      <c r="BR264" s="1" t="s">
        <v>104</v>
      </c>
      <c r="BS264" s="1" t="s">
        <v>2344</v>
      </c>
      <c r="BT264" s="1" t="str">
        <f>HYPERLINK("https%3A%2F%2Fwww.webofscience.com%2Fwos%2Fwoscc%2Ffull-record%2FWOS:000352986600001","View Full Record in Web of Science")</f>
        <v>View Full Record in Web of Science</v>
      </c>
      <c r="BU264" s="1" t="s">
        <v>3776</v>
      </c>
      <c r="BV264" s="1" t="s">
        <v>10653</v>
      </c>
    </row>
    <row r="265" spans="1:75" ht="319" x14ac:dyDescent="0.35">
      <c r="A265" s="1" t="s">
        <v>72</v>
      </c>
      <c r="B265" s="1" t="s">
        <v>2345</v>
      </c>
      <c r="C265" s="1" t="s">
        <v>74</v>
      </c>
      <c r="D265" s="1" t="s">
        <v>74</v>
      </c>
      <c r="E265" s="1" t="s">
        <v>74</v>
      </c>
      <c r="F265" s="1" t="s">
        <v>2346</v>
      </c>
      <c r="G265" s="1" t="s">
        <v>74</v>
      </c>
      <c r="H265" s="1" t="s">
        <v>74</v>
      </c>
      <c r="I265" s="1" t="s">
        <v>2347</v>
      </c>
      <c r="J265" s="1" t="s">
        <v>2348</v>
      </c>
      <c r="K265" s="1" t="s">
        <v>74</v>
      </c>
      <c r="L265" s="1" t="s">
        <v>74</v>
      </c>
      <c r="M265" s="1" t="s">
        <v>78</v>
      </c>
      <c r="N265" s="1" t="s">
        <v>79</v>
      </c>
      <c r="O265" s="1" t="s">
        <v>74</v>
      </c>
      <c r="P265" s="1" t="s">
        <v>74</v>
      </c>
      <c r="Q265" s="1" t="s">
        <v>74</v>
      </c>
      <c r="R265" s="1" t="s">
        <v>74</v>
      </c>
      <c r="S265" s="1" t="s">
        <v>74</v>
      </c>
      <c r="T265" s="1" t="s">
        <v>74</v>
      </c>
      <c r="U265" s="1" t="s">
        <v>2349</v>
      </c>
      <c r="V265" s="1" t="s">
        <v>2350</v>
      </c>
      <c r="W265" s="1" t="s">
        <v>2351</v>
      </c>
      <c r="X265" s="1" t="s">
        <v>2352</v>
      </c>
      <c r="Y265" s="1" t="s">
        <v>2353</v>
      </c>
      <c r="Z265" s="1" t="s">
        <v>2354</v>
      </c>
      <c r="AA265" s="1" t="s">
        <v>2355</v>
      </c>
      <c r="AB265" s="1" t="s">
        <v>2356</v>
      </c>
      <c r="AC265" s="1" t="s">
        <v>74</v>
      </c>
      <c r="AD265" s="1" t="s">
        <v>74</v>
      </c>
      <c r="AE265" s="1" t="s">
        <v>74</v>
      </c>
      <c r="AF265" s="1" t="s">
        <v>74</v>
      </c>
      <c r="AG265" s="1">
        <v>34</v>
      </c>
      <c r="AH265" s="1">
        <v>3</v>
      </c>
      <c r="AI265" s="1">
        <v>4</v>
      </c>
      <c r="AJ265" s="1">
        <v>1</v>
      </c>
      <c r="AK265" s="1">
        <v>21</v>
      </c>
      <c r="AL265" s="1" t="s">
        <v>206</v>
      </c>
      <c r="AM265" s="1" t="s">
        <v>207</v>
      </c>
      <c r="AN265" s="1" t="s">
        <v>208</v>
      </c>
      <c r="AO265" s="1" t="s">
        <v>2357</v>
      </c>
      <c r="AP265" s="1" t="s">
        <v>2358</v>
      </c>
      <c r="AQ265" s="1" t="s">
        <v>74</v>
      </c>
      <c r="AR265" s="1" t="s">
        <v>2359</v>
      </c>
      <c r="AS265" s="1" t="s">
        <v>2360</v>
      </c>
      <c r="AT265" s="1" t="s">
        <v>330</v>
      </c>
      <c r="AU265" s="1">
        <v>2015</v>
      </c>
      <c r="AV265" s="1">
        <v>29</v>
      </c>
      <c r="AW265" s="1">
        <v>2</v>
      </c>
      <c r="AX265" s="1" t="s">
        <v>74</v>
      </c>
      <c r="AY265" s="1" t="s">
        <v>74</v>
      </c>
      <c r="AZ265" s="1" t="s">
        <v>74</v>
      </c>
      <c r="BA265" s="1" t="s">
        <v>74</v>
      </c>
      <c r="BB265" s="1">
        <v>262</v>
      </c>
      <c r="BC265" s="1">
        <v>270</v>
      </c>
      <c r="BD265" s="1" t="s">
        <v>74</v>
      </c>
      <c r="BE265" s="1" t="s">
        <v>2361</v>
      </c>
      <c r="BF265" s="1" t="str">
        <f>HYPERLINK("http://dx.doi.org/10.1002/acp.3104","http://dx.doi.org/10.1002/acp.3104")</f>
        <v>http://dx.doi.org/10.1002/acp.3104</v>
      </c>
      <c r="BG265" s="1" t="s">
        <v>74</v>
      </c>
      <c r="BH265" s="1" t="s">
        <v>74</v>
      </c>
      <c r="BI265" s="1">
        <v>9</v>
      </c>
      <c r="BJ265" s="1" t="s">
        <v>332</v>
      </c>
      <c r="BK265" s="1" t="s">
        <v>101</v>
      </c>
      <c r="BL265" s="1" t="s">
        <v>102</v>
      </c>
      <c r="BM265" s="1" t="s">
        <v>2362</v>
      </c>
      <c r="BN265" s="1" t="s">
        <v>74</v>
      </c>
      <c r="BO265" s="1" t="s">
        <v>74</v>
      </c>
      <c r="BP265" s="1" t="s">
        <v>74</v>
      </c>
      <c r="BQ265" s="1" t="s">
        <v>74</v>
      </c>
      <c r="BR265" s="1" t="s">
        <v>104</v>
      </c>
      <c r="BS265" s="1" t="s">
        <v>2363</v>
      </c>
      <c r="BT265" s="1" t="str">
        <f>HYPERLINK("https%3A%2F%2Fwww.webofscience.com%2Fwos%2Fwoscc%2Ffull-record%2FWOS:000351173400012","View Full Record in Web of Science")</f>
        <v>View Full Record in Web of Science</v>
      </c>
      <c r="BU265" s="1" t="s">
        <v>3776</v>
      </c>
      <c r="BV265" s="1" t="s">
        <v>10653</v>
      </c>
    </row>
    <row r="266" spans="1:75" ht="304.5" x14ac:dyDescent="0.35">
      <c r="A266" s="1" t="s">
        <v>72</v>
      </c>
      <c r="B266" s="1" t="s">
        <v>2364</v>
      </c>
      <c r="C266" s="1" t="s">
        <v>74</v>
      </c>
      <c r="D266" s="1" t="s">
        <v>74</v>
      </c>
      <c r="E266" s="1" t="s">
        <v>74</v>
      </c>
      <c r="F266" s="1" t="s">
        <v>2365</v>
      </c>
      <c r="G266" s="1" t="s">
        <v>74</v>
      </c>
      <c r="H266" s="1" t="s">
        <v>74</v>
      </c>
      <c r="I266" s="1" t="s">
        <v>2366</v>
      </c>
      <c r="J266" s="1" t="s">
        <v>240</v>
      </c>
      <c r="K266" s="1" t="s">
        <v>74</v>
      </c>
      <c r="L266" s="1" t="s">
        <v>74</v>
      </c>
      <c r="M266" s="1" t="s">
        <v>78</v>
      </c>
      <c r="N266" s="1" t="s">
        <v>79</v>
      </c>
      <c r="O266" s="1" t="s">
        <v>74</v>
      </c>
      <c r="P266" s="1" t="s">
        <v>74</v>
      </c>
      <c r="Q266" s="1" t="s">
        <v>74</v>
      </c>
      <c r="R266" s="1" t="s">
        <v>74</v>
      </c>
      <c r="S266" s="1" t="s">
        <v>74</v>
      </c>
      <c r="T266" s="1" t="s">
        <v>2367</v>
      </c>
      <c r="U266" s="1" t="s">
        <v>2368</v>
      </c>
      <c r="V266" s="1" t="s">
        <v>2369</v>
      </c>
      <c r="W266" s="1" t="s">
        <v>2370</v>
      </c>
      <c r="X266" s="1" t="s">
        <v>2371</v>
      </c>
      <c r="Y266" s="1" t="s">
        <v>2372</v>
      </c>
      <c r="Z266" s="1" t="s">
        <v>2373</v>
      </c>
      <c r="AA266" s="1" t="s">
        <v>74</v>
      </c>
      <c r="AB266" s="1" t="s">
        <v>74</v>
      </c>
      <c r="AC266" s="1" t="s">
        <v>74</v>
      </c>
      <c r="AD266" s="1" t="s">
        <v>74</v>
      </c>
      <c r="AE266" s="1" t="s">
        <v>74</v>
      </c>
      <c r="AF266" s="1" t="s">
        <v>74</v>
      </c>
      <c r="AG266" s="1">
        <v>127</v>
      </c>
      <c r="AH266" s="1">
        <v>107</v>
      </c>
      <c r="AI266" s="1">
        <v>106</v>
      </c>
      <c r="AJ266" s="1">
        <v>8</v>
      </c>
      <c r="AK266" s="1">
        <v>140</v>
      </c>
      <c r="AL266" s="1" t="s">
        <v>144</v>
      </c>
      <c r="AM266" s="1" t="s">
        <v>145</v>
      </c>
      <c r="AN266" s="1" t="s">
        <v>146</v>
      </c>
      <c r="AO266" s="1" t="s">
        <v>254</v>
      </c>
      <c r="AP266" s="1" t="s">
        <v>255</v>
      </c>
      <c r="AQ266" s="1" t="s">
        <v>74</v>
      </c>
      <c r="AR266" s="1" t="s">
        <v>256</v>
      </c>
      <c r="AS266" s="1" t="s">
        <v>257</v>
      </c>
      <c r="AT266" s="1" t="s">
        <v>363</v>
      </c>
      <c r="AU266" s="1">
        <v>2015</v>
      </c>
      <c r="AV266" s="1">
        <v>79</v>
      </c>
      <c r="AW266" s="1">
        <v>2</v>
      </c>
      <c r="AX266" s="1" t="s">
        <v>74</v>
      </c>
      <c r="AY266" s="1" t="s">
        <v>74</v>
      </c>
      <c r="AZ266" s="1" t="s">
        <v>74</v>
      </c>
      <c r="BA266" s="1" t="s">
        <v>74</v>
      </c>
      <c r="BB266" s="1">
        <v>40</v>
      </c>
      <c r="BC266" s="1">
        <v>61</v>
      </c>
      <c r="BD266" s="1" t="s">
        <v>74</v>
      </c>
      <c r="BE266" s="1" t="s">
        <v>2374</v>
      </c>
      <c r="BF266" s="1" t="str">
        <f>HYPERLINK("http://dx.doi.org/10.1509/jm.13.0218","http://dx.doi.org/10.1509/jm.13.0218")</f>
        <v>http://dx.doi.org/10.1509/jm.13.0218</v>
      </c>
      <c r="BG266" s="1" t="s">
        <v>74</v>
      </c>
      <c r="BH266" s="1" t="s">
        <v>74</v>
      </c>
      <c r="BI266" s="1">
        <v>22</v>
      </c>
      <c r="BJ266" s="1" t="s">
        <v>153</v>
      </c>
      <c r="BK266" s="1" t="s">
        <v>101</v>
      </c>
      <c r="BL266" s="1" t="s">
        <v>154</v>
      </c>
      <c r="BM266" s="1" t="s">
        <v>2375</v>
      </c>
      <c r="BN266" s="1" t="s">
        <v>74</v>
      </c>
      <c r="BO266" s="1" t="s">
        <v>74</v>
      </c>
      <c r="BP266" s="1" t="s">
        <v>74</v>
      </c>
      <c r="BQ266" s="1" t="s">
        <v>74</v>
      </c>
      <c r="BR266" s="1" t="s">
        <v>104</v>
      </c>
      <c r="BS266" s="1" t="s">
        <v>2376</v>
      </c>
      <c r="BT266" s="1" t="str">
        <f>HYPERLINK("https%3A%2F%2Fwww.webofscience.com%2Fwos%2Fwoscc%2Ffull-record%2FWOS:000351309300003","View Full Record in Web of Science")</f>
        <v>View Full Record in Web of Science</v>
      </c>
      <c r="BU266" s="1" t="s">
        <v>3776</v>
      </c>
      <c r="BV266" s="1" t="s">
        <v>6080</v>
      </c>
      <c r="BW266" s="1" t="s">
        <v>6080</v>
      </c>
    </row>
    <row r="267" spans="1:75" ht="304.5" x14ac:dyDescent="0.35">
      <c r="A267" s="1" t="s">
        <v>72</v>
      </c>
      <c r="B267" s="1" t="s">
        <v>2377</v>
      </c>
      <c r="C267" s="1" t="s">
        <v>74</v>
      </c>
      <c r="D267" s="1" t="s">
        <v>74</v>
      </c>
      <c r="E267" s="1" t="s">
        <v>74</v>
      </c>
      <c r="F267" s="1" t="s">
        <v>2378</v>
      </c>
      <c r="G267" s="1" t="s">
        <v>74</v>
      </c>
      <c r="H267" s="1" t="s">
        <v>74</v>
      </c>
      <c r="I267" s="1" t="s">
        <v>2379</v>
      </c>
      <c r="J267" s="1" t="s">
        <v>301</v>
      </c>
      <c r="K267" s="1" t="s">
        <v>74</v>
      </c>
      <c r="L267" s="1" t="s">
        <v>74</v>
      </c>
      <c r="M267" s="1" t="s">
        <v>78</v>
      </c>
      <c r="N267" s="1" t="s">
        <v>79</v>
      </c>
      <c r="O267" s="1" t="s">
        <v>74</v>
      </c>
      <c r="P267" s="1" t="s">
        <v>74</v>
      </c>
      <c r="Q267" s="1" t="s">
        <v>74</v>
      </c>
      <c r="R267" s="1" t="s">
        <v>74</v>
      </c>
      <c r="S267" s="1" t="s">
        <v>74</v>
      </c>
      <c r="T267" s="1" t="s">
        <v>2380</v>
      </c>
      <c r="U267" s="1" t="s">
        <v>2381</v>
      </c>
      <c r="V267" s="1" t="s">
        <v>2382</v>
      </c>
      <c r="W267" s="1" t="s">
        <v>2383</v>
      </c>
      <c r="X267" s="1" t="s">
        <v>2384</v>
      </c>
      <c r="Y267" s="1" t="s">
        <v>2385</v>
      </c>
      <c r="Z267" s="1" t="s">
        <v>2386</v>
      </c>
      <c r="AA267" s="1" t="s">
        <v>2387</v>
      </c>
      <c r="AB267" s="1" t="s">
        <v>2388</v>
      </c>
      <c r="AC267" s="1" t="s">
        <v>2389</v>
      </c>
      <c r="AD267" s="1" t="s">
        <v>2390</v>
      </c>
      <c r="AE267" s="1" t="s">
        <v>2391</v>
      </c>
      <c r="AF267" s="1" t="s">
        <v>74</v>
      </c>
      <c r="AG267" s="1">
        <v>47</v>
      </c>
      <c r="AH267" s="1">
        <v>253</v>
      </c>
      <c r="AI267" s="1">
        <v>257</v>
      </c>
      <c r="AJ267" s="1">
        <v>6</v>
      </c>
      <c r="AK267" s="1">
        <v>162</v>
      </c>
      <c r="AL267" s="1" t="s">
        <v>144</v>
      </c>
      <c r="AM267" s="1" t="s">
        <v>145</v>
      </c>
      <c r="AN267" s="1" t="s">
        <v>146</v>
      </c>
      <c r="AO267" s="1" t="s">
        <v>306</v>
      </c>
      <c r="AP267" s="1" t="s">
        <v>307</v>
      </c>
      <c r="AQ267" s="1" t="s">
        <v>74</v>
      </c>
      <c r="AR267" s="1" t="s">
        <v>308</v>
      </c>
      <c r="AS267" s="1" t="s">
        <v>309</v>
      </c>
      <c r="AT267" s="1" t="s">
        <v>177</v>
      </c>
      <c r="AU267" s="1">
        <v>2015</v>
      </c>
      <c r="AV267" s="1">
        <v>26</v>
      </c>
      <c r="AW267" s="1">
        <v>2</v>
      </c>
      <c r="AX267" s="1" t="s">
        <v>74</v>
      </c>
      <c r="AY267" s="1" t="s">
        <v>74</v>
      </c>
      <c r="AZ267" s="1" t="s">
        <v>74</v>
      </c>
      <c r="BA267" s="1" t="s">
        <v>74</v>
      </c>
      <c r="BB267" s="1">
        <v>159</v>
      </c>
      <c r="BC267" s="1">
        <v>169</v>
      </c>
      <c r="BD267" s="1" t="s">
        <v>74</v>
      </c>
      <c r="BE267" s="1" t="s">
        <v>2392</v>
      </c>
      <c r="BF267" s="1" t="str">
        <f>HYPERLINK("http://dx.doi.org/10.1177/0956797614557867","http://dx.doi.org/10.1177/0956797614557867")</f>
        <v>http://dx.doi.org/10.1177/0956797614557867</v>
      </c>
      <c r="BG267" s="1" t="s">
        <v>74</v>
      </c>
      <c r="BH267" s="1" t="s">
        <v>74</v>
      </c>
      <c r="BI267" s="1">
        <v>11</v>
      </c>
      <c r="BJ267" s="1" t="s">
        <v>311</v>
      </c>
      <c r="BK267" s="1" t="s">
        <v>101</v>
      </c>
      <c r="BL267" s="1" t="s">
        <v>102</v>
      </c>
      <c r="BM267" s="1" t="s">
        <v>2393</v>
      </c>
      <c r="BN267" s="1">
        <v>25605707</v>
      </c>
      <c r="BO267" s="1" t="s">
        <v>828</v>
      </c>
      <c r="BP267" s="1" t="s">
        <v>218</v>
      </c>
      <c r="BQ267" s="1" t="s">
        <v>219</v>
      </c>
      <c r="BR267" s="1" t="s">
        <v>104</v>
      </c>
      <c r="BS267" s="1" t="s">
        <v>2394</v>
      </c>
      <c r="BT267" s="1" t="str">
        <f>HYPERLINK("https%3A%2F%2Fwww.webofscience.com%2Fwos%2Fwoscc%2Ffull-record%2FWOS:000349622000005","View Full Record in Web of Science")</f>
        <v>View Full Record in Web of Science</v>
      </c>
      <c r="BU267" s="1" t="s">
        <v>3776</v>
      </c>
      <c r="BV267" s="1" t="s">
        <v>10653</v>
      </c>
    </row>
    <row r="268" spans="1:75" ht="261" x14ac:dyDescent="0.35">
      <c r="A268" s="1" t="s">
        <v>72</v>
      </c>
      <c r="B268" s="1" t="s">
        <v>2395</v>
      </c>
      <c r="C268" s="1" t="s">
        <v>74</v>
      </c>
      <c r="D268" s="1" t="s">
        <v>74</v>
      </c>
      <c r="E268" s="1" t="s">
        <v>74</v>
      </c>
      <c r="F268" s="1" t="s">
        <v>2396</v>
      </c>
      <c r="G268" s="1" t="s">
        <v>74</v>
      </c>
      <c r="H268" s="1" t="s">
        <v>74</v>
      </c>
      <c r="I268" s="1" t="s">
        <v>2397</v>
      </c>
      <c r="J268" s="1" t="s">
        <v>161</v>
      </c>
      <c r="K268" s="1" t="s">
        <v>74</v>
      </c>
      <c r="L268" s="1" t="s">
        <v>74</v>
      </c>
      <c r="M268" s="1" t="s">
        <v>78</v>
      </c>
      <c r="N268" s="1" t="s">
        <v>79</v>
      </c>
      <c r="O268" s="1" t="s">
        <v>74</v>
      </c>
      <c r="P268" s="1" t="s">
        <v>74</v>
      </c>
      <c r="Q268" s="1" t="s">
        <v>74</v>
      </c>
      <c r="R268" s="1" t="s">
        <v>74</v>
      </c>
      <c r="S268" s="1" t="s">
        <v>74</v>
      </c>
      <c r="T268" s="1" t="s">
        <v>74</v>
      </c>
      <c r="U268" s="1" t="s">
        <v>2398</v>
      </c>
      <c r="V268" s="1" t="s">
        <v>2399</v>
      </c>
      <c r="W268" s="1" t="s">
        <v>2400</v>
      </c>
      <c r="X268" s="1" t="s">
        <v>2401</v>
      </c>
      <c r="Y268" s="1" t="s">
        <v>2402</v>
      </c>
      <c r="Z268" s="1" t="s">
        <v>2403</v>
      </c>
      <c r="AA268" s="1" t="s">
        <v>2404</v>
      </c>
      <c r="AB268" s="1" t="s">
        <v>74</v>
      </c>
      <c r="AC268" s="1" t="s">
        <v>74</v>
      </c>
      <c r="AD268" s="1" t="s">
        <v>74</v>
      </c>
      <c r="AE268" s="1" t="s">
        <v>74</v>
      </c>
      <c r="AF268" s="1" t="s">
        <v>74</v>
      </c>
      <c r="AG268" s="1">
        <v>72</v>
      </c>
      <c r="AH268" s="1">
        <v>116</v>
      </c>
      <c r="AI268" s="1">
        <v>117</v>
      </c>
      <c r="AJ268" s="1">
        <v>0</v>
      </c>
      <c r="AK268" s="1">
        <v>81</v>
      </c>
      <c r="AL268" s="1" t="s">
        <v>170</v>
      </c>
      <c r="AM268" s="1" t="s">
        <v>171</v>
      </c>
      <c r="AN268" s="1" t="s">
        <v>172</v>
      </c>
      <c r="AO268" s="1" t="s">
        <v>173</v>
      </c>
      <c r="AP268" s="1" t="s">
        <v>174</v>
      </c>
      <c r="AQ268" s="1" t="s">
        <v>74</v>
      </c>
      <c r="AR268" s="1" t="s">
        <v>175</v>
      </c>
      <c r="AS268" s="1" t="s">
        <v>176</v>
      </c>
      <c r="AT268" s="1" t="s">
        <v>177</v>
      </c>
      <c r="AU268" s="1">
        <v>2015</v>
      </c>
      <c r="AV268" s="1">
        <v>41</v>
      </c>
      <c r="AW268" s="1">
        <v>5</v>
      </c>
      <c r="AX268" s="1" t="s">
        <v>74</v>
      </c>
      <c r="AY268" s="1" t="s">
        <v>74</v>
      </c>
      <c r="AZ268" s="1" t="s">
        <v>74</v>
      </c>
      <c r="BA268" s="1" t="s">
        <v>74</v>
      </c>
      <c r="BB268" s="1">
        <v>1228</v>
      </c>
      <c r="BC268" s="1">
        <v>1251</v>
      </c>
      <c r="BD268" s="1" t="s">
        <v>74</v>
      </c>
      <c r="BE268" s="1" t="s">
        <v>2405</v>
      </c>
      <c r="BF268" s="1" t="str">
        <f>HYPERLINK("http://dx.doi.org/10.1086/678907","http://dx.doi.org/10.1086/678907")</f>
        <v>http://dx.doi.org/10.1086/678907</v>
      </c>
      <c r="BG268" s="1" t="s">
        <v>74</v>
      </c>
      <c r="BH268" s="1" t="s">
        <v>74</v>
      </c>
      <c r="BI268" s="1">
        <v>24</v>
      </c>
      <c r="BJ268" s="1" t="s">
        <v>153</v>
      </c>
      <c r="BK268" s="1" t="s">
        <v>101</v>
      </c>
      <c r="BL268" s="1" t="s">
        <v>154</v>
      </c>
      <c r="BM268" s="1" t="s">
        <v>2406</v>
      </c>
      <c r="BN268" s="1" t="s">
        <v>74</v>
      </c>
      <c r="BO268" s="1" t="s">
        <v>74</v>
      </c>
      <c r="BP268" s="1" t="s">
        <v>74</v>
      </c>
      <c r="BQ268" s="1" t="s">
        <v>74</v>
      </c>
      <c r="BR268" s="1" t="s">
        <v>104</v>
      </c>
      <c r="BS268" s="1" t="s">
        <v>2407</v>
      </c>
      <c r="BT268" s="1" t="str">
        <f>HYPERLINK("https%3A%2F%2Fwww.webofscience.com%2Fwos%2Fwoscc%2Ffull-record%2FWOS:000348356100005","View Full Record in Web of Science")</f>
        <v>View Full Record in Web of Science</v>
      </c>
      <c r="BU268" s="1" t="s">
        <v>3776</v>
      </c>
      <c r="BV268" s="1" t="s">
        <v>6080</v>
      </c>
      <c r="BW268" s="1" t="s">
        <v>6080</v>
      </c>
    </row>
    <row r="269" spans="1:75" ht="72.5" x14ac:dyDescent="0.35">
      <c r="A269" s="1" t="s">
        <v>2064</v>
      </c>
      <c r="B269" s="1" t="s">
        <v>2408</v>
      </c>
      <c r="C269" s="1" t="s">
        <v>74</v>
      </c>
      <c r="D269" s="1" t="s">
        <v>74</v>
      </c>
      <c r="E269" s="1" t="s">
        <v>74</v>
      </c>
      <c r="F269" s="1" t="s">
        <v>2409</v>
      </c>
      <c r="G269" s="1" t="s">
        <v>74</v>
      </c>
      <c r="H269" s="1" t="s">
        <v>74</v>
      </c>
      <c r="I269" s="1" t="s">
        <v>2410</v>
      </c>
      <c r="J269" s="1" t="s">
        <v>2411</v>
      </c>
      <c r="K269" s="1" t="s">
        <v>74</v>
      </c>
      <c r="L269" s="1" t="s">
        <v>74</v>
      </c>
      <c r="M269" s="1" t="s">
        <v>78</v>
      </c>
      <c r="N269" s="1" t="s">
        <v>2065</v>
      </c>
      <c r="O269" s="1" t="s">
        <v>74</v>
      </c>
      <c r="P269" s="1" t="s">
        <v>74</v>
      </c>
      <c r="Q269" s="1" t="s">
        <v>74</v>
      </c>
      <c r="R269" s="1" t="s">
        <v>74</v>
      </c>
      <c r="S269" s="1" t="s">
        <v>74</v>
      </c>
      <c r="T269" s="1" t="s">
        <v>74</v>
      </c>
      <c r="U269" s="1" t="s">
        <v>2412</v>
      </c>
      <c r="V269" s="1" t="s">
        <v>74</v>
      </c>
      <c r="W269" s="1" t="s">
        <v>74</v>
      </c>
      <c r="X269" s="1" t="s">
        <v>74</v>
      </c>
      <c r="Y269" s="1" t="s">
        <v>74</v>
      </c>
      <c r="Z269" s="1" t="s">
        <v>74</v>
      </c>
      <c r="AA269" s="1" t="s">
        <v>74</v>
      </c>
      <c r="AB269" s="1" t="s">
        <v>74</v>
      </c>
      <c r="AC269" s="1" t="s">
        <v>74</v>
      </c>
      <c r="AD269" s="1" t="s">
        <v>74</v>
      </c>
      <c r="AE269" s="1" t="s">
        <v>74</v>
      </c>
      <c r="AF269" s="1" t="s">
        <v>74</v>
      </c>
      <c r="AG269" s="1">
        <v>969</v>
      </c>
      <c r="AH269" s="1">
        <v>374</v>
      </c>
      <c r="AI269" s="1">
        <v>373</v>
      </c>
      <c r="AJ269" s="1">
        <v>0</v>
      </c>
      <c r="AK269" s="1">
        <v>38</v>
      </c>
      <c r="AL269" s="1" t="s">
        <v>2115</v>
      </c>
      <c r="AM269" s="1" t="s">
        <v>2067</v>
      </c>
      <c r="AN269" s="1" t="s">
        <v>2116</v>
      </c>
      <c r="AO269" s="1" t="s">
        <v>74</v>
      </c>
      <c r="AP269" s="1" t="s">
        <v>74</v>
      </c>
      <c r="AQ269" s="1" t="s">
        <v>2413</v>
      </c>
      <c r="AR269" s="1" t="s">
        <v>74</v>
      </c>
      <c r="AS269" s="1" t="s">
        <v>74</v>
      </c>
      <c r="AT269" s="1" t="s">
        <v>74</v>
      </c>
      <c r="AU269" s="1">
        <v>2015</v>
      </c>
      <c r="AV269" s="1" t="s">
        <v>74</v>
      </c>
      <c r="AW269" s="1" t="s">
        <v>74</v>
      </c>
      <c r="AX269" s="1" t="s">
        <v>74</v>
      </c>
      <c r="AY269" s="1" t="s">
        <v>74</v>
      </c>
      <c r="AZ269" s="1" t="s">
        <v>74</v>
      </c>
      <c r="BA269" s="1" t="s">
        <v>74</v>
      </c>
      <c r="BB269" s="1">
        <v>1</v>
      </c>
      <c r="BC269" s="1">
        <v>383</v>
      </c>
      <c r="BD269" s="1" t="s">
        <v>74</v>
      </c>
      <c r="BE269" s="1" t="s">
        <v>74</v>
      </c>
      <c r="BF269" s="1" t="s">
        <v>74</v>
      </c>
      <c r="BG269" s="1" t="s">
        <v>74</v>
      </c>
      <c r="BH269" s="1" t="s">
        <v>74</v>
      </c>
      <c r="BI269" s="1">
        <v>383</v>
      </c>
      <c r="BJ269" s="1" t="s">
        <v>2414</v>
      </c>
      <c r="BK269" s="1" t="s">
        <v>2415</v>
      </c>
      <c r="BL269" s="1" t="s">
        <v>2416</v>
      </c>
      <c r="BM269" s="1" t="s">
        <v>2417</v>
      </c>
      <c r="BN269" s="1" t="s">
        <v>74</v>
      </c>
      <c r="BO269" s="1" t="s">
        <v>74</v>
      </c>
      <c r="BP269" s="1" t="s">
        <v>74</v>
      </c>
      <c r="BQ269" s="1" t="s">
        <v>74</v>
      </c>
      <c r="BR269" s="1" t="s">
        <v>104</v>
      </c>
      <c r="BS269" s="1" t="s">
        <v>2418</v>
      </c>
      <c r="BT269" s="1" t="str">
        <f>HYPERLINK("https%3A%2F%2Fwww.webofscience.com%2Fwos%2Fwoscc%2Ffull-record%2FWOS:000358503000013","View Full Record in Web of Science")</f>
        <v>View Full Record in Web of Science</v>
      </c>
      <c r="BU269" s="1" t="s">
        <v>3776</v>
      </c>
      <c r="BV269" s="1" t="s">
        <v>10653</v>
      </c>
    </row>
    <row r="270" spans="1:75" ht="409.5" x14ac:dyDescent="0.35">
      <c r="A270" s="1" t="s">
        <v>72</v>
      </c>
      <c r="B270" s="1" t="s">
        <v>880</v>
      </c>
      <c r="C270" s="1" t="s">
        <v>74</v>
      </c>
      <c r="D270" s="1" t="s">
        <v>74</v>
      </c>
      <c r="E270" s="1" t="s">
        <v>74</v>
      </c>
      <c r="F270" s="1" t="s">
        <v>881</v>
      </c>
      <c r="G270" s="1" t="s">
        <v>74</v>
      </c>
      <c r="H270" s="1" t="s">
        <v>74</v>
      </c>
      <c r="I270" s="1" t="s">
        <v>882</v>
      </c>
      <c r="J270" s="1" t="s">
        <v>136</v>
      </c>
      <c r="K270" s="1" t="s">
        <v>74</v>
      </c>
      <c r="L270" s="1" t="s">
        <v>74</v>
      </c>
      <c r="M270" s="1" t="s">
        <v>78</v>
      </c>
      <c r="N270" s="1" t="s">
        <v>79</v>
      </c>
      <c r="O270" s="1" t="s">
        <v>74</v>
      </c>
      <c r="P270" s="1" t="s">
        <v>74</v>
      </c>
      <c r="Q270" s="1" t="s">
        <v>74</v>
      </c>
      <c r="R270" s="1" t="s">
        <v>74</v>
      </c>
      <c r="S270" s="1" t="s">
        <v>74</v>
      </c>
      <c r="T270" s="1" t="s">
        <v>883</v>
      </c>
      <c r="U270" s="1" t="s">
        <v>884</v>
      </c>
      <c r="V270" s="1" t="s">
        <v>885</v>
      </c>
      <c r="W270" s="1" t="s">
        <v>886</v>
      </c>
      <c r="X270" s="1" t="s">
        <v>887</v>
      </c>
      <c r="Y270" s="1" t="s">
        <v>888</v>
      </c>
      <c r="Z270" s="1" t="s">
        <v>889</v>
      </c>
      <c r="AA270" s="1" t="s">
        <v>74</v>
      </c>
      <c r="AB270" s="1" t="s">
        <v>74</v>
      </c>
      <c r="AC270" s="1" t="s">
        <v>890</v>
      </c>
      <c r="AD270" s="1" t="s">
        <v>890</v>
      </c>
      <c r="AE270" s="1" t="s">
        <v>891</v>
      </c>
      <c r="AF270" s="1" t="s">
        <v>74</v>
      </c>
      <c r="AG270" s="1">
        <v>48</v>
      </c>
      <c r="AH270" s="1">
        <v>98</v>
      </c>
      <c r="AI270" s="1">
        <v>101</v>
      </c>
      <c r="AJ270" s="1">
        <v>8</v>
      </c>
      <c r="AK270" s="1">
        <v>180</v>
      </c>
      <c r="AL270" s="1" t="s">
        <v>144</v>
      </c>
      <c r="AM270" s="1" t="s">
        <v>145</v>
      </c>
      <c r="AN270" s="1" t="s">
        <v>146</v>
      </c>
      <c r="AO270" s="1" t="s">
        <v>147</v>
      </c>
      <c r="AP270" s="1" t="s">
        <v>148</v>
      </c>
      <c r="AQ270" s="1" t="s">
        <v>74</v>
      </c>
      <c r="AR270" s="1" t="s">
        <v>149</v>
      </c>
      <c r="AS270" s="1" t="s">
        <v>150</v>
      </c>
      <c r="AT270" s="1" t="s">
        <v>281</v>
      </c>
      <c r="AU270" s="1">
        <v>2015</v>
      </c>
      <c r="AV270" s="1">
        <v>52</v>
      </c>
      <c r="AW270" s="1">
        <v>5</v>
      </c>
      <c r="AX270" s="1" t="s">
        <v>74</v>
      </c>
      <c r="AY270" s="1" t="s">
        <v>74</v>
      </c>
      <c r="AZ270" s="1" t="s">
        <v>74</v>
      </c>
      <c r="BA270" s="1" t="s">
        <v>74</v>
      </c>
      <c r="BB270" s="1">
        <v>629</v>
      </c>
      <c r="BC270" s="1">
        <v>641</v>
      </c>
      <c r="BD270" s="1" t="s">
        <v>74</v>
      </c>
      <c r="BE270" s="1" t="s">
        <v>892</v>
      </c>
      <c r="BF270" s="1" t="str">
        <f>HYPERLINK("http://dx.doi.org/10.1509/jmr.11.0448","http://dx.doi.org/10.1509/jmr.11.0448")</f>
        <v>http://dx.doi.org/10.1509/jmr.11.0448</v>
      </c>
      <c r="BG270" s="1" t="s">
        <v>74</v>
      </c>
      <c r="BH270" s="1" t="s">
        <v>74</v>
      </c>
      <c r="BI270" s="1">
        <v>13</v>
      </c>
      <c r="BJ270" s="1" t="s">
        <v>153</v>
      </c>
      <c r="BK270" s="1" t="s">
        <v>101</v>
      </c>
      <c r="BL270" s="1" t="s">
        <v>154</v>
      </c>
      <c r="BM270" s="1" t="s">
        <v>893</v>
      </c>
      <c r="BN270" s="1" t="s">
        <v>74</v>
      </c>
      <c r="BO270" s="1" t="s">
        <v>74</v>
      </c>
      <c r="BP270" s="1" t="s">
        <v>74</v>
      </c>
      <c r="BQ270" s="1" t="s">
        <v>74</v>
      </c>
      <c r="BR270" s="1" t="s">
        <v>104</v>
      </c>
      <c r="BS270" s="1" t="s">
        <v>894</v>
      </c>
      <c r="BT270" s="1" t="str">
        <f>HYPERLINK("https%3A%2F%2Fwww.webofscience.com%2Fwos%2Fwoscc%2Ffull-record%2FWOS:000368255900005","View Full Record in Web of Science")</f>
        <v>View Full Record in Web of Science</v>
      </c>
      <c r="BU270" s="1" t="s">
        <v>4172</v>
      </c>
      <c r="BV270" s="1" t="s">
        <v>6080</v>
      </c>
      <c r="BW270" s="1" t="s">
        <v>6080</v>
      </c>
    </row>
    <row r="271" spans="1:75" ht="348" x14ac:dyDescent="0.35">
      <c r="A271" s="1" t="s">
        <v>72</v>
      </c>
      <c r="B271" s="1" t="s">
        <v>807</v>
      </c>
      <c r="C271" s="1" t="s">
        <v>74</v>
      </c>
      <c r="D271" s="1" t="s">
        <v>74</v>
      </c>
      <c r="E271" s="1" t="s">
        <v>74</v>
      </c>
      <c r="F271" s="1" t="s">
        <v>808</v>
      </c>
      <c r="G271" s="1" t="s">
        <v>74</v>
      </c>
      <c r="H271" s="1" t="s">
        <v>74</v>
      </c>
      <c r="I271" s="1" t="s">
        <v>809</v>
      </c>
      <c r="J271" s="1" t="s">
        <v>810</v>
      </c>
      <c r="K271" s="1" t="s">
        <v>74</v>
      </c>
      <c r="L271" s="1" t="s">
        <v>74</v>
      </c>
      <c r="M271" s="1" t="s">
        <v>78</v>
      </c>
      <c r="N271" s="1" t="s">
        <v>79</v>
      </c>
      <c r="O271" s="1" t="s">
        <v>74</v>
      </c>
      <c r="P271" s="1" t="s">
        <v>74</v>
      </c>
      <c r="Q271" s="1" t="s">
        <v>74</v>
      </c>
      <c r="R271" s="1" t="s">
        <v>74</v>
      </c>
      <c r="S271" s="1" t="s">
        <v>74</v>
      </c>
      <c r="T271" s="1" t="s">
        <v>811</v>
      </c>
      <c r="U271" s="1" t="s">
        <v>812</v>
      </c>
      <c r="V271" s="1" t="s">
        <v>813</v>
      </c>
      <c r="W271" s="1" t="s">
        <v>814</v>
      </c>
      <c r="X271" s="1" t="s">
        <v>815</v>
      </c>
      <c r="Y271" s="1" t="s">
        <v>816</v>
      </c>
      <c r="Z271" s="1" t="s">
        <v>817</v>
      </c>
      <c r="AA271" s="1" t="s">
        <v>74</v>
      </c>
      <c r="AB271" s="1" t="s">
        <v>74</v>
      </c>
      <c r="AC271" s="1" t="s">
        <v>818</v>
      </c>
      <c r="AD271" s="1" t="s">
        <v>818</v>
      </c>
      <c r="AE271" s="1" t="s">
        <v>819</v>
      </c>
      <c r="AF271" s="1" t="s">
        <v>74</v>
      </c>
      <c r="AG271" s="1">
        <v>66</v>
      </c>
      <c r="AH271" s="1">
        <v>208</v>
      </c>
      <c r="AI271" s="1">
        <v>210</v>
      </c>
      <c r="AJ271" s="1">
        <v>19</v>
      </c>
      <c r="AK271" s="1">
        <v>225</v>
      </c>
      <c r="AL271" s="1" t="s">
        <v>820</v>
      </c>
      <c r="AM271" s="1" t="s">
        <v>325</v>
      </c>
      <c r="AN271" s="1" t="s">
        <v>821</v>
      </c>
      <c r="AO271" s="1" t="s">
        <v>822</v>
      </c>
      <c r="AP271" s="1" t="s">
        <v>823</v>
      </c>
      <c r="AQ271" s="1" t="s">
        <v>74</v>
      </c>
      <c r="AR271" s="1" t="s">
        <v>824</v>
      </c>
      <c r="AS271" s="1" t="s">
        <v>825</v>
      </c>
      <c r="AT271" s="1" t="s">
        <v>704</v>
      </c>
      <c r="AU271" s="1">
        <v>2015</v>
      </c>
      <c r="AV271" s="1">
        <v>43</v>
      </c>
      <c r="AW271" s="1">
        <v>3</v>
      </c>
      <c r="AX271" s="1" t="s">
        <v>74</v>
      </c>
      <c r="AY271" s="1" t="s">
        <v>74</v>
      </c>
      <c r="AZ271" s="1" t="s">
        <v>74</v>
      </c>
      <c r="BA271" s="1" t="s">
        <v>74</v>
      </c>
      <c r="BB271" s="1">
        <v>375</v>
      </c>
      <c r="BC271" s="1">
        <v>394</v>
      </c>
      <c r="BD271" s="1" t="s">
        <v>74</v>
      </c>
      <c r="BE271" s="1" t="s">
        <v>826</v>
      </c>
      <c r="BF271" s="1" t="str">
        <f>HYPERLINK("http://dx.doi.org/10.1007/s11747-014-0388-3","http://dx.doi.org/10.1007/s11747-014-0388-3")</f>
        <v>http://dx.doi.org/10.1007/s11747-014-0388-3</v>
      </c>
      <c r="BG271" s="1" t="s">
        <v>74</v>
      </c>
      <c r="BH271" s="1" t="s">
        <v>74</v>
      </c>
      <c r="BI271" s="1">
        <v>20</v>
      </c>
      <c r="BJ271" s="1" t="s">
        <v>153</v>
      </c>
      <c r="BK271" s="1" t="s">
        <v>101</v>
      </c>
      <c r="BL271" s="1" t="s">
        <v>154</v>
      </c>
      <c r="BM271" s="1" t="s">
        <v>827</v>
      </c>
      <c r="BN271" s="1" t="s">
        <v>74</v>
      </c>
      <c r="BO271" s="1" t="s">
        <v>828</v>
      </c>
      <c r="BP271" s="1" t="s">
        <v>218</v>
      </c>
      <c r="BQ271" s="1" t="s">
        <v>219</v>
      </c>
      <c r="BR271" s="1" t="s">
        <v>104</v>
      </c>
      <c r="BS271" s="1" t="s">
        <v>829</v>
      </c>
      <c r="BT271" s="1" t="str">
        <f>HYPERLINK("https%3A%2F%2Fwww.webofscience.com%2Fwos%2Fwoscc%2Ffull-record%2FWOS:000353049100006","View Full Record in Web of Science")</f>
        <v>View Full Record in Web of Science</v>
      </c>
      <c r="BU271" s="1" t="s">
        <v>4172</v>
      </c>
      <c r="BV271" s="1" t="s">
        <v>6080</v>
      </c>
      <c r="BW271" s="1" t="s">
        <v>6080</v>
      </c>
    </row>
    <row r="272" spans="1:75" ht="304.5" x14ac:dyDescent="0.35">
      <c r="A272" s="1" t="s">
        <v>72</v>
      </c>
      <c r="B272" s="1" t="s">
        <v>3884</v>
      </c>
      <c r="C272" s="1" t="s">
        <v>74</v>
      </c>
      <c r="D272" s="1" t="s">
        <v>74</v>
      </c>
      <c r="E272" s="1" t="s">
        <v>74</v>
      </c>
      <c r="F272" s="1" t="s">
        <v>3885</v>
      </c>
      <c r="G272" s="1" t="s">
        <v>74</v>
      </c>
      <c r="H272" s="1" t="s">
        <v>74</v>
      </c>
      <c r="I272" s="1" t="s">
        <v>3886</v>
      </c>
      <c r="J272" s="1" t="s">
        <v>2072</v>
      </c>
      <c r="K272" s="1" t="s">
        <v>74</v>
      </c>
      <c r="L272" s="1" t="s">
        <v>74</v>
      </c>
      <c r="M272" s="1" t="s">
        <v>78</v>
      </c>
      <c r="N272" s="1" t="s">
        <v>110</v>
      </c>
      <c r="O272" s="1" t="s">
        <v>74</v>
      </c>
      <c r="P272" s="1" t="s">
        <v>74</v>
      </c>
      <c r="Q272" s="1" t="s">
        <v>74</v>
      </c>
      <c r="R272" s="1" t="s">
        <v>74</v>
      </c>
      <c r="S272" s="1" t="s">
        <v>74</v>
      </c>
      <c r="T272" s="1" t="s">
        <v>3887</v>
      </c>
      <c r="U272" s="1" t="s">
        <v>74</v>
      </c>
      <c r="V272" s="1" t="s">
        <v>3888</v>
      </c>
      <c r="W272" s="1" t="s">
        <v>3889</v>
      </c>
      <c r="X272" s="1" t="s">
        <v>3890</v>
      </c>
      <c r="Y272" s="1" t="s">
        <v>3891</v>
      </c>
      <c r="Z272" s="1" t="s">
        <v>3892</v>
      </c>
      <c r="AA272" s="1" t="s">
        <v>74</v>
      </c>
      <c r="AB272" s="1" t="s">
        <v>3893</v>
      </c>
      <c r="AC272" s="1" t="s">
        <v>74</v>
      </c>
      <c r="AD272" s="1" t="s">
        <v>74</v>
      </c>
      <c r="AE272" s="1" t="s">
        <v>74</v>
      </c>
      <c r="AF272" s="1" t="s">
        <v>74</v>
      </c>
      <c r="AG272" s="1">
        <v>41</v>
      </c>
      <c r="AH272" s="1">
        <v>146</v>
      </c>
      <c r="AI272" s="1">
        <v>150</v>
      </c>
      <c r="AJ272" s="1">
        <v>3</v>
      </c>
      <c r="AK272" s="1">
        <v>129</v>
      </c>
      <c r="AL272" s="1" t="s">
        <v>2073</v>
      </c>
      <c r="AM272" s="1" t="s">
        <v>653</v>
      </c>
      <c r="AN272" s="1" t="s">
        <v>2074</v>
      </c>
      <c r="AO272" s="1" t="s">
        <v>2075</v>
      </c>
      <c r="AP272" s="1" t="s">
        <v>2076</v>
      </c>
      <c r="AQ272" s="1" t="s">
        <v>74</v>
      </c>
      <c r="AR272" s="1" t="s">
        <v>2077</v>
      </c>
      <c r="AS272" s="1" t="s">
        <v>2078</v>
      </c>
      <c r="AT272" s="1" t="s">
        <v>3894</v>
      </c>
      <c r="AU272" s="1">
        <v>2015</v>
      </c>
      <c r="AV272" s="1">
        <v>42</v>
      </c>
      <c r="AW272" s="1">
        <v>7</v>
      </c>
      <c r="AX272" s="1" t="s">
        <v>74</v>
      </c>
      <c r="AY272" s="1" t="s">
        <v>74</v>
      </c>
      <c r="AZ272" s="1" t="s">
        <v>74</v>
      </c>
      <c r="BA272" s="1" t="s">
        <v>74</v>
      </c>
      <c r="BB272" s="1">
        <v>3634</v>
      </c>
      <c r="BC272" s="1">
        <v>3642</v>
      </c>
      <c r="BD272" s="1" t="s">
        <v>74</v>
      </c>
      <c r="BE272" s="1" t="s">
        <v>3895</v>
      </c>
      <c r="BF272" s="1" t="str">
        <f>HYPERLINK("http://dx.doi.org/10.1016/j.eswa.2014.12.029","http://dx.doi.org/10.1016/j.eswa.2014.12.029")</f>
        <v>http://dx.doi.org/10.1016/j.eswa.2014.12.029</v>
      </c>
      <c r="BG272" s="1" t="s">
        <v>74</v>
      </c>
      <c r="BH272" s="1" t="s">
        <v>74</v>
      </c>
      <c r="BI272" s="1">
        <v>9</v>
      </c>
      <c r="BJ272" s="1" t="s">
        <v>2079</v>
      </c>
      <c r="BK272" s="1" t="s">
        <v>129</v>
      </c>
      <c r="BL272" s="1" t="s">
        <v>2080</v>
      </c>
      <c r="BM272" s="1" t="s">
        <v>3896</v>
      </c>
      <c r="BN272" s="1" t="s">
        <v>74</v>
      </c>
      <c r="BO272" s="1" t="s">
        <v>74</v>
      </c>
      <c r="BP272" s="1" t="s">
        <v>74</v>
      </c>
      <c r="BQ272" s="1" t="s">
        <v>74</v>
      </c>
      <c r="BR272" s="1" t="s">
        <v>104</v>
      </c>
      <c r="BS272" s="1" t="s">
        <v>3897</v>
      </c>
      <c r="BT272" s="1" t="str">
        <f>HYPERLINK("https%3A%2F%2Fwww.webofscience.com%2Fwos%2Fwoscc%2Ffull-record%2FWOS:000350182600029","View Full Record in Web of Science")</f>
        <v>View Full Record in Web of Science</v>
      </c>
      <c r="BU272" s="1" t="s">
        <v>4172</v>
      </c>
      <c r="BV272" s="1" t="s">
        <v>10653</v>
      </c>
    </row>
    <row r="273" spans="1:75" ht="319" x14ac:dyDescent="0.35">
      <c r="A273" s="1" t="s">
        <v>72</v>
      </c>
      <c r="B273" s="1" t="s">
        <v>3898</v>
      </c>
      <c r="C273" s="1" t="s">
        <v>74</v>
      </c>
      <c r="D273" s="1" t="s">
        <v>74</v>
      </c>
      <c r="E273" s="1" t="s">
        <v>74</v>
      </c>
      <c r="F273" s="1" t="s">
        <v>3899</v>
      </c>
      <c r="G273" s="1" t="s">
        <v>74</v>
      </c>
      <c r="H273" s="1" t="s">
        <v>74</v>
      </c>
      <c r="I273" s="1" t="s">
        <v>3900</v>
      </c>
      <c r="J273" s="1" t="s">
        <v>3901</v>
      </c>
      <c r="K273" s="1" t="s">
        <v>74</v>
      </c>
      <c r="L273" s="1" t="s">
        <v>74</v>
      </c>
      <c r="M273" s="1" t="s">
        <v>78</v>
      </c>
      <c r="N273" s="1" t="s">
        <v>79</v>
      </c>
      <c r="O273" s="1" t="s">
        <v>74</v>
      </c>
      <c r="P273" s="1" t="s">
        <v>74</v>
      </c>
      <c r="Q273" s="1" t="s">
        <v>74</v>
      </c>
      <c r="R273" s="1" t="s">
        <v>74</v>
      </c>
      <c r="S273" s="1" t="s">
        <v>74</v>
      </c>
      <c r="T273" s="1" t="s">
        <v>3902</v>
      </c>
      <c r="U273" s="1" t="s">
        <v>74</v>
      </c>
      <c r="V273" s="1" t="s">
        <v>3903</v>
      </c>
      <c r="W273" s="1" t="s">
        <v>3904</v>
      </c>
      <c r="X273" s="1" t="s">
        <v>3905</v>
      </c>
      <c r="Y273" s="1" t="s">
        <v>3906</v>
      </c>
      <c r="Z273" s="1" t="s">
        <v>3907</v>
      </c>
      <c r="AA273" s="1" t="s">
        <v>74</v>
      </c>
      <c r="AB273" s="1" t="s">
        <v>3908</v>
      </c>
      <c r="AC273" s="1" t="s">
        <v>74</v>
      </c>
      <c r="AD273" s="1" t="s">
        <v>74</v>
      </c>
      <c r="AE273" s="1" t="s">
        <v>74</v>
      </c>
      <c r="AF273" s="1" t="s">
        <v>74</v>
      </c>
      <c r="AG273" s="1">
        <v>45</v>
      </c>
      <c r="AH273" s="1">
        <v>37</v>
      </c>
      <c r="AI273" s="1">
        <v>38</v>
      </c>
      <c r="AJ273" s="1">
        <v>0</v>
      </c>
      <c r="AK273" s="1">
        <v>48</v>
      </c>
      <c r="AL273" s="1" t="s">
        <v>144</v>
      </c>
      <c r="AM273" s="1" t="s">
        <v>145</v>
      </c>
      <c r="AN273" s="1" t="s">
        <v>146</v>
      </c>
      <c r="AO273" s="1" t="s">
        <v>3909</v>
      </c>
      <c r="AP273" s="1" t="s">
        <v>3910</v>
      </c>
      <c r="AQ273" s="1" t="s">
        <v>74</v>
      </c>
      <c r="AR273" s="1" t="s">
        <v>3911</v>
      </c>
      <c r="AS273" s="1" t="s">
        <v>3912</v>
      </c>
      <c r="AT273" s="1" t="s">
        <v>213</v>
      </c>
      <c r="AU273" s="1">
        <v>2015</v>
      </c>
      <c r="AV273" s="1">
        <v>25</v>
      </c>
      <c r="AW273" s="1">
        <v>1</v>
      </c>
      <c r="AX273" s="1" t="s">
        <v>74</v>
      </c>
      <c r="AY273" s="1" t="s">
        <v>74</v>
      </c>
      <c r="AZ273" s="1" t="s">
        <v>74</v>
      </c>
      <c r="BA273" s="1" t="s">
        <v>74</v>
      </c>
      <c r="BB273" s="1">
        <v>99</v>
      </c>
      <c r="BC273" s="1">
        <v>109</v>
      </c>
      <c r="BD273" s="1" t="s">
        <v>74</v>
      </c>
      <c r="BE273" s="1" t="s">
        <v>3913</v>
      </c>
      <c r="BF273" s="1" t="str">
        <f>HYPERLINK("http://dx.doi.org/10.1177/1049732314549031","http://dx.doi.org/10.1177/1049732314549031")</f>
        <v>http://dx.doi.org/10.1177/1049732314549031</v>
      </c>
      <c r="BG273" s="1" t="s">
        <v>74</v>
      </c>
      <c r="BH273" s="1" t="s">
        <v>74</v>
      </c>
      <c r="BI273" s="1">
        <v>11</v>
      </c>
      <c r="BJ273" s="1" t="s">
        <v>3914</v>
      </c>
      <c r="BK273" s="1" t="s">
        <v>101</v>
      </c>
      <c r="BL273" s="1" t="s">
        <v>3915</v>
      </c>
      <c r="BM273" s="1" t="s">
        <v>3916</v>
      </c>
      <c r="BN273" s="1">
        <v>25212856</v>
      </c>
      <c r="BO273" s="1" t="s">
        <v>74</v>
      </c>
      <c r="BP273" s="1" t="s">
        <v>74</v>
      </c>
      <c r="BQ273" s="1" t="s">
        <v>74</v>
      </c>
      <c r="BR273" s="1" t="s">
        <v>104</v>
      </c>
      <c r="BS273" s="1" t="s">
        <v>3917</v>
      </c>
      <c r="BT273" s="1" t="str">
        <f>HYPERLINK("https%3A%2F%2Fwww.webofscience.com%2Fwos%2Fwoscc%2Ffull-record%2FWOS:000346646000010","View Full Record in Web of Science")</f>
        <v>View Full Record in Web of Science</v>
      </c>
      <c r="BU273" s="1" t="s">
        <v>4172</v>
      </c>
      <c r="BV273" s="1" t="s">
        <v>10653</v>
      </c>
    </row>
    <row r="274" spans="1:75" ht="275.5" x14ac:dyDescent="0.35">
      <c r="A274" s="1" t="s">
        <v>72</v>
      </c>
      <c r="B274" s="1" t="s">
        <v>5560</v>
      </c>
      <c r="C274" s="1" t="s">
        <v>74</v>
      </c>
      <c r="D274" s="1" t="s">
        <v>74</v>
      </c>
      <c r="E274" s="1" t="s">
        <v>74</v>
      </c>
      <c r="F274" s="1" t="s">
        <v>5561</v>
      </c>
      <c r="G274" s="1" t="s">
        <v>74</v>
      </c>
      <c r="H274" s="1" t="s">
        <v>74</v>
      </c>
      <c r="I274" s="1" t="s">
        <v>5562</v>
      </c>
      <c r="J274" s="1" t="s">
        <v>667</v>
      </c>
      <c r="K274" s="1" t="s">
        <v>74</v>
      </c>
      <c r="L274" s="1" t="s">
        <v>74</v>
      </c>
      <c r="M274" s="1" t="s">
        <v>78</v>
      </c>
      <c r="N274" s="1" t="s">
        <v>79</v>
      </c>
      <c r="O274" s="1" t="s">
        <v>74</v>
      </c>
      <c r="P274" s="1" t="s">
        <v>74</v>
      </c>
      <c r="Q274" s="1" t="s">
        <v>74</v>
      </c>
      <c r="R274" s="1" t="s">
        <v>74</v>
      </c>
      <c r="S274" s="1" t="s">
        <v>74</v>
      </c>
      <c r="T274" s="1" t="s">
        <v>5563</v>
      </c>
      <c r="U274" s="1" t="s">
        <v>5564</v>
      </c>
      <c r="V274" s="1" t="s">
        <v>5565</v>
      </c>
      <c r="W274" s="1" t="s">
        <v>5566</v>
      </c>
      <c r="X274" s="1" t="s">
        <v>5567</v>
      </c>
      <c r="Y274" s="1" t="s">
        <v>5568</v>
      </c>
      <c r="Z274" s="1" t="s">
        <v>5569</v>
      </c>
      <c r="AA274" s="1" t="s">
        <v>5570</v>
      </c>
      <c r="AB274" s="1" t="s">
        <v>74</v>
      </c>
      <c r="AC274" s="1" t="s">
        <v>5571</v>
      </c>
      <c r="AD274" s="1" t="s">
        <v>5572</v>
      </c>
      <c r="AE274" s="1" t="s">
        <v>5573</v>
      </c>
      <c r="AF274" s="1" t="s">
        <v>74</v>
      </c>
      <c r="AG274" s="1">
        <v>44</v>
      </c>
      <c r="AH274" s="1">
        <v>186</v>
      </c>
      <c r="AI274" s="1">
        <v>191</v>
      </c>
      <c r="AJ274" s="1">
        <v>2</v>
      </c>
      <c r="AK274" s="1">
        <v>42</v>
      </c>
      <c r="AL274" s="1" t="s">
        <v>679</v>
      </c>
      <c r="AM274" s="1" t="s">
        <v>92</v>
      </c>
      <c r="AN274" s="1" t="s">
        <v>680</v>
      </c>
      <c r="AO274" s="1" t="s">
        <v>681</v>
      </c>
      <c r="AP274" s="1" t="s">
        <v>74</v>
      </c>
      <c r="AQ274" s="1" t="s">
        <v>74</v>
      </c>
      <c r="AR274" s="1" t="s">
        <v>683</v>
      </c>
      <c r="AS274" s="1" t="s">
        <v>684</v>
      </c>
      <c r="AT274" s="1" t="s">
        <v>5574</v>
      </c>
      <c r="AU274" s="1">
        <v>2015</v>
      </c>
      <c r="AV274" s="1">
        <v>112</v>
      </c>
      <c r="AW274" s="1">
        <v>47</v>
      </c>
      <c r="AX274" s="1" t="s">
        <v>74</v>
      </c>
      <c r="AY274" s="1" t="s">
        <v>74</v>
      </c>
      <c r="AZ274" s="1" t="s">
        <v>74</v>
      </c>
      <c r="BA274" s="1" t="s">
        <v>74</v>
      </c>
      <c r="BB274" s="1">
        <v>14473</v>
      </c>
      <c r="BC274" s="1">
        <v>14478</v>
      </c>
      <c r="BD274" s="1" t="s">
        <v>74</v>
      </c>
      <c r="BE274" s="1" t="s">
        <v>5575</v>
      </c>
      <c r="BF274" s="1" t="str">
        <f>HYPERLINK("http://dx.doi.org/10.1073/pnas.1515373112","http://dx.doi.org/10.1073/pnas.1515373112")</f>
        <v>http://dx.doi.org/10.1073/pnas.1515373112</v>
      </c>
      <c r="BG274" s="1" t="s">
        <v>74</v>
      </c>
      <c r="BH274" s="1" t="s">
        <v>74</v>
      </c>
      <c r="BI274" s="1">
        <v>6</v>
      </c>
      <c r="BJ274" s="1" t="s">
        <v>561</v>
      </c>
      <c r="BK274" s="1" t="s">
        <v>129</v>
      </c>
      <c r="BL274" s="1" t="s">
        <v>562</v>
      </c>
      <c r="BM274" s="1" t="s">
        <v>5576</v>
      </c>
      <c r="BN274" s="1">
        <v>26553980</v>
      </c>
      <c r="BO274" s="1" t="s">
        <v>5577</v>
      </c>
      <c r="BP274" s="1" t="s">
        <v>74</v>
      </c>
      <c r="BQ274" s="1" t="s">
        <v>74</v>
      </c>
      <c r="BR274" s="1" t="s">
        <v>4296</v>
      </c>
      <c r="BS274" s="1" t="s">
        <v>5578</v>
      </c>
      <c r="BT274" s="1" t="str">
        <f>HYPERLINK("https%3A%2F%2Fwww.webofscience.com%2Fwos%2Fwoscc%2Ffull-record%2FWOS:000365173100041","View Full Record in Web of Science")</f>
        <v>View Full Record in Web of Science</v>
      </c>
      <c r="BU274" s="1" t="s">
        <v>5876</v>
      </c>
      <c r="BV274" s="1" t="s">
        <v>10653</v>
      </c>
    </row>
    <row r="275" spans="1:75" ht="391.5" x14ac:dyDescent="0.35">
      <c r="A275" s="1" t="s">
        <v>72</v>
      </c>
      <c r="B275" s="1" t="s">
        <v>2279</v>
      </c>
      <c r="C275" s="1" t="s">
        <v>74</v>
      </c>
      <c r="D275" s="1" t="s">
        <v>74</v>
      </c>
      <c r="E275" s="1" t="s">
        <v>74</v>
      </c>
      <c r="F275" s="1" t="s">
        <v>2280</v>
      </c>
      <c r="G275" s="1" t="s">
        <v>74</v>
      </c>
      <c r="H275" s="1" t="s">
        <v>74</v>
      </c>
      <c r="I275" s="1" t="s">
        <v>2281</v>
      </c>
      <c r="J275" s="1" t="s">
        <v>2177</v>
      </c>
      <c r="K275" s="1" t="s">
        <v>74</v>
      </c>
      <c r="L275" s="1" t="s">
        <v>74</v>
      </c>
      <c r="M275" s="1" t="s">
        <v>78</v>
      </c>
      <c r="N275" s="1" t="s">
        <v>79</v>
      </c>
      <c r="O275" s="1" t="s">
        <v>74</v>
      </c>
      <c r="P275" s="1" t="s">
        <v>74</v>
      </c>
      <c r="Q275" s="1" t="s">
        <v>74</v>
      </c>
      <c r="R275" s="1" t="s">
        <v>74</v>
      </c>
      <c r="S275" s="1" t="s">
        <v>74</v>
      </c>
      <c r="T275" s="1" t="s">
        <v>2282</v>
      </c>
      <c r="U275" s="1" t="s">
        <v>2283</v>
      </c>
      <c r="V275" s="1" t="s">
        <v>2284</v>
      </c>
      <c r="W275" s="1" t="s">
        <v>2285</v>
      </c>
      <c r="X275" s="1" t="s">
        <v>2286</v>
      </c>
      <c r="Y275" s="1" t="s">
        <v>2287</v>
      </c>
      <c r="Z275" s="1" t="s">
        <v>2288</v>
      </c>
      <c r="AA275" s="1" t="s">
        <v>2289</v>
      </c>
      <c r="AB275" s="1" t="s">
        <v>2290</v>
      </c>
      <c r="AC275" s="1" t="s">
        <v>74</v>
      </c>
      <c r="AD275" s="1" t="s">
        <v>74</v>
      </c>
      <c r="AE275" s="1" t="s">
        <v>74</v>
      </c>
      <c r="AF275" s="1" t="s">
        <v>74</v>
      </c>
      <c r="AG275" s="1">
        <v>57</v>
      </c>
      <c r="AH275" s="1">
        <v>57</v>
      </c>
      <c r="AI275" s="1">
        <v>59</v>
      </c>
      <c r="AJ275" s="1">
        <v>6</v>
      </c>
      <c r="AK275" s="1">
        <v>131</v>
      </c>
      <c r="AL275" s="1" t="s">
        <v>2187</v>
      </c>
      <c r="AM275" s="1" t="s">
        <v>2188</v>
      </c>
      <c r="AN275" s="1" t="s">
        <v>2189</v>
      </c>
      <c r="AO275" s="1" t="s">
        <v>2190</v>
      </c>
      <c r="AP275" s="1" t="s">
        <v>74</v>
      </c>
      <c r="AQ275" s="1" t="s">
        <v>74</v>
      </c>
      <c r="AR275" s="1" t="s">
        <v>2191</v>
      </c>
      <c r="AS275" s="1" t="s">
        <v>2192</v>
      </c>
      <c r="AT275" s="1" t="s">
        <v>2291</v>
      </c>
      <c r="AU275" s="1">
        <v>2015</v>
      </c>
      <c r="AV275" s="1">
        <v>6</v>
      </c>
      <c r="AW275" s="1" t="s">
        <v>74</v>
      </c>
      <c r="AX275" s="1" t="s">
        <v>74</v>
      </c>
      <c r="AY275" s="1" t="s">
        <v>74</v>
      </c>
      <c r="AZ275" s="1" t="s">
        <v>74</v>
      </c>
      <c r="BA275" s="1" t="s">
        <v>74</v>
      </c>
      <c r="BB275" s="1" t="s">
        <v>74</v>
      </c>
      <c r="BC275" s="1" t="s">
        <v>74</v>
      </c>
      <c r="BD275" s="1">
        <v>1045</v>
      </c>
      <c r="BE275" s="1" t="s">
        <v>2292</v>
      </c>
      <c r="BF275" s="1" t="str">
        <f>HYPERLINK("http://dx.doi.org/10.3389/fpsyg.2015.01045","http://dx.doi.org/10.3389/fpsyg.2015.01045")</f>
        <v>http://dx.doi.org/10.3389/fpsyg.2015.01045</v>
      </c>
      <c r="BG275" s="1" t="s">
        <v>74</v>
      </c>
      <c r="BH275" s="1" t="s">
        <v>74</v>
      </c>
      <c r="BI275" s="1">
        <v>7</v>
      </c>
      <c r="BJ275" s="1" t="s">
        <v>311</v>
      </c>
      <c r="BK275" s="1" t="s">
        <v>101</v>
      </c>
      <c r="BL275" s="1" t="s">
        <v>102</v>
      </c>
      <c r="BM275" s="1" t="s">
        <v>2293</v>
      </c>
      <c r="BN275" s="1">
        <v>26257692</v>
      </c>
      <c r="BO275" s="1" t="s">
        <v>2294</v>
      </c>
      <c r="BP275" s="1" t="s">
        <v>74</v>
      </c>
      <c r="BQ275" s="1" t="s">
        <v>74</v>
      </c>
      <c r="BR275" s="1" t="s">
        <v>4296</v>
      </c>
      <c r="BS275" s="1" t="s">
        <v>2295</v>
      </c>
      <c r="BT275" s="1" t="str">
        <f>HYPERLINK("https%3A%2F%2Fwww.webofscience.com%2Fwos%2Fwoscc%2Ffull-record%2FWOS:000358878800001","View Full Record in Web of Science")</f>
        <v>View Full Record in Web of Science</v>
      </c>
      <c r="BU275" s="1" t="s">
        <v>5876</v>
      </c>
      <c r="BV275" s="1" t="s">
        <v>10653</v>
      </c>
    </row>
    <row r="276" spans="1:75" ht="319" x14ac:dyDescent="0.35">
      <c r="A276" s="1" t="s">
        <v>72</v>
      </c>
      <c r="B276" s="1" t="s">
        <v>5579</v>
      </c>
      <c r="C276" s="1" t="s">
        <v>74</v>
      </c>
      <c r="D276" s="1" t="s">
        <v>74</v>
      </c>
      <c r="E276" s="1" t="s">
        <v>74</v>
      </c>
      <c r="F276" s="1" t="s">
        <v>5580</v>
      </c>
      <c r="G276" s="1" t="s">
        <v>74</v>
      </c>
      <c r="H276" s="1" t="s">
        <v>74</v>
      </c>
      <c r="I276" s="1" t="s">
        <v>5581</v>
      </c>
      <c r="J276" s="1" t="s">
        <v>5582</v>
      </c>
      <c r="K276" s="1" t="s">
        <v>74</v>
      </c>
      <c r="L276" s="1" t="s">
        <v>74</v>
      </c>
      <c r="M276" s="1" t="s">
        <v>78</v>
      </c>
      <c r="N276" s="1" t="s">
        <v>79</v>
      </c>
      <c r="O276" s="1" t="s">
        <v>74</v>
      </c>
      <c r="P276" s="1" t="s">
        <v>74</v>
      </c>
      <c r="Q276" s="1" t="s">
        <v>74</v>
      </c>
      <c r="R276" s="1" t="s">
        <v>74</v>
      </c>
      <c r="S276" s="1" t="s">
        <v>74</v>
      </c>
      <c r="T276" s="1" t="s">
        <v>5583</v>
      </c>
      <c r="U276" s="1" t="s">
        <v>5584</v>
      </c>
      <c r="V276" s="1" t="s">
        <v>5585</v>
      </c>
      <c r="W276" s="1" t="s">
        <v>5586</v>
      </c>
      <c r="X276" s="1" t="s">
        <v>5587</v>
      </c>
      <c r="Y276" s="1" t="s">
        <v>5588</v>
      </c>
      <c r="Z276" s="1" t="s">
        <v>5589</v>
      </c>
      <c r="AA276" s="1" t="s">
        <v>5590</v>
      </c>
      <c r="AB276" s="1" t="s">
        <v>5591</v>
      </c>
      <c r="AC276" s="1" t="s">
        <v>74</v>
      </c>
      <c r="AD276" s="1" t="s">
        <v>74</v>
      </c>
      <c r="AE276" s="1" t="s">
        <v>74</v>
      </c>
      <c r="AF276" s="1" t="s">
        <v>74</v>
      </c>
      <c r="AG276" s="1">
        <v>101</v>
      </c>
      <c r="AH276" s="1">
        <v>63</v>
      </c>
      <c r="AI276" s="1">
        <v>64</v>
      </c>
      <c r="AJ276" s="1">
        <v>2</v>
      </c>
      <c r="AK276" s="1">
        <v>32</v>
      </c>
      <c r="AL276" s="1" t="s">
        <v>2066</v>
      </c>
      <c r="AM276" s="1" t="s">
        <v>2067</v>
      </c>
      <c r="AN276" s="1" t="s">
        <v>2612</v>
      </c>
      <c r="AO276" s="1" t="s">
        <v>5592</v>
      </c>
      <c r="AP276" s="1" t="s">
        <v>5593</v>
      </c>
      <c r="AQ276" s="1" t="s">
        <v>74</v>
      </c>
      <c r="AR276" s="1" t="s">
        <v>5594</v>
      </c>
      <c r="AS276" s="1" t="s">
        <v>5595</v>
      </c>
      <c r="AT276" s="1" t="s">
        <v>151</v>
      </c>
      <c r="AU276" s="1">
        <v>2015</v>
      </c>
      <c r="AV276" s="1">
        <v>7</v>
      </c>
      <c r="AW276" s="1">
        <v>2</v>
      </c>
      <c r="AX276" s="1" t="s">
        <v>74</v>
      </c>
      <c r="AY276" s="1" t="s">
        <v>74</v>
      </c>
      <c r="AZ276" s="1" t="s">
        <v>74</v>
      </c>
      <c r="BA276" s="1" t="s">
        <v>74</v>
      </c>
      <c r="BB276" s="1">
        <v>265</v>
      </c>
      <c r="BC276" s="1">
        <v>290</v>
      </c>
      <c r="BD276" s="1" t="s">
        <v>74</v>
      </c>
      <c r="BE276" s="1" t="s">
        <v>5596</v>
      </c>
      <c r="BF276" s="1" t="str">
        <f>HYPERLINK("http://dx.doi.org/10.1017/langcog.2014.30","http://dx.doi.org/10.1017/langcog.2014.30")</f>
        <v>http://dx.doi.org/10.1017/langcog.2014.30</v>
      </c>
      <c r="BG276" s="1" t="s">
        <v>74</v>
      </c>
      <c r="BH276" s="1" t="s">
        <v>74</v>
      </c>
      <c r="BI276" s="1">
        <v>26</v>
      </c>
      <c r="BJ276" s="1" t="s">
        <v>5597</v>
      </c>
      <c r="BK276" s="1" t="s">
        <v>1532</v>
      </c>
      <c r="BL276" s="1" t="s">
        <v>3463</v>
      </c>
      <c r="BM276" s="1" t="s">
        <v>5598</v>
      </c>
      <c r="BN276" s="1" t="s">
        <v>74</v>
      </c>
      <c r="BO276" s="1" t="s">
        <v>74</v>
      </c>
      <c r="BP276" s="1" t="s">
        <v>74</v>
      </c>
      <c r="BQ276" s="1" t="s">
        <v>74</v>
      </c>
      <c r="BR276" s="1" t="s">
        <v>4296</v>
      </c>
      <c r="BS276" s="1" t="s">
        <v>5599</v>
      </c>
      <c r="BT276" s="1" t="str">
        <f>HYPERLINK("https%3A%2F%2Fwww.webofscience.com%2Fwos%2Fwoscc%2Ffull-record%2FWOS:000358413600005","View Full Record in Web of Science")</f>
        <v>View Full Record in Web of Science</v>
      </c>
      <c r="BU276" s="1" t="s">
        <v>5876</v>
      </c>
      <c r="BV276" s="1" t="s">
        <v>10653</v>
      </c>
    </row>
    <row r="277" spans="1:75" ht="362.5" x14ac:dyDescent="0.35">
      <c r="A277" s="1" t="s">
        <v>72</v>
      </c>
      <c r="B277" s="1" t="s">
        <v>5600</v>
      </c>
      <c r="C277" s="1" t="s">
        <v>74</v>
      </c>
      <c r="D277" s="1" t="s">
        <v>74</v>
      </c>
      <c r="E277" s="1" t="s">
        <v>74</v>
      </c>
      <c r="F277" s="1" t="s">
        <v>5601</v>
      </c>
      <c r="G277" s="1" t="s">
        <v>74</v>
      </c>
      <c r="H277" s="1" t="s">
        <v>74</v>
      </c>
      <c r="I277" s="1" t="s">
        <v>5602</v>
      </c>
      <c r="J277" s="1" t="s">
        <v>5603</v>
      </c>
      <c r="K277" s="1" t="s">
        <v>74</v>
      </c>
      <c r="L277" s="1" t="s">
        <v>74</v>
      </c>
      <c r="M277" s="1" t="s">
        <v>78</v>
      </c>
      <c r="N277" s="1" t="s">
        <v>79</v>
      </c>
      <c r="O277" s="1" t="s">
        <v>74</v>
      </c>
      <c r="P277" s="1" t="s">
        <v>74</v>
      </c>
      <c r="Q277" s="1" t="s">
        <v>74</v>
      </c>
      <c r="R277" s="1" t="s">
        <v>74</v>
      </c>
      <c r="S277" s="1" t="s">
        <v>74</v>
      </c>
      <c r="T277" s="1" t="s">
        <v>74</v>
      </c>
      <c r="U277" s="1" t="s">
        <v>5604</v>
      </c>
      <c r="V277" s="1" t="s">
        <v>5605</v>
      </c>
      <c r="W277" s="1" t="s">
        <v>5606</v>
      </c>
      <c r="X277" s="1" t="s">
        <v>5607</v>
      </c>
      <c r="Y277" s="1" t="s">
        <v>5608</v>
      </c>
      <c r="Z277" s="1" t="s">
        <v>5609</v>
      </c>
      <c r="AA277" s="1" t="s">
        <v>74</v>
      </c>
      <c r="AB277" s="1" t="s">
        <v>5610</v>
      </c>
      <c r="AC277" s="1" t="s">
        <v>5611</v>
      </c>
      <c r="AD277" s="1" t="s">
        <v>5612</v>
      </c>
      <c r="AE277" s="1" t="s">
        <v>5613</v>
      </c>
      <c r="AF277" s="1" t="s">
        <v>74</v>
      </c>
      <c r="AG277" s="1">
        <v>47</v>
      </c>
      <c r="AH277" s="1">
        <v>31</v>
      </c>
      <c r="AI277" s="1">
        <v>31</v>
      </c>
      <c r="AJ277" s="1">
        <v>1</v>
      </c>
      <c r="AK277" s="1">
        <v>25</v>
      </c>
      <c r="AL277" s="1" t="s">
        <v>5614</v>
      </c>
      <c r="AM277" s="1" t="s">
        <v>92</v>
      </c>
      <c r="AN277" s="1" t="s">
        <v>5615</v>
      </c>
      <c r="AO277" s="1" t="s">
        <v>5616</v>
      </c>
      <c r="AP277" s="1" t="s">
        <v>5617</v>
      </c>
      <c r="AQ277" s="1" t="s">
        <v>74</v>
      </c>
      <c r="AR277" s="1" t="s">
        <v>5618</v>
      </c>
      <c r="AS277" s="1" t="s">
        <v>5619</v>
      </c>
      <c r="AT277" s="1" t="s">
        <v>151</v>
      </c>
      <c r="AU277" s="1">
        <v>2015</v>
      </c>
      <c r="AV277" s="1">
        <v>105</v>
      </c>
      <c r="AW277" s="1">
        <v>6</v>
      </c>
      <c r="AX277" s="1" t="s">
        <v>74</v>
      </c>
      <c r="AY277" s="1" t="s">
        <v>74</v>
      </c>
      <c r="AZ277" s="1" t="s">
        <v>74</v>
      </c>
      <c r="BA277" s="1" t="s">
        <v>74</v>
      </c>
      <c r="BB277" s="1">
        <v>1206</v>
      </c>
      <c r="BC277" s="1">
        <v>1212</v>
      </c>
      <c r="BD277" s="1" t="s">
        <v>74</v>
      </c>
      <c r="BE277" s="1" t="s">
        <v>5620</v>
      </c>
      <c r="BF277" s="1" t="str">
        <f>HYPERLINK("http://dx.doi.org/10.2105/AJPH.2014.302464","http://dx.doi.org/10.2105/AJPH.2014.302464")</f>
        <v>http://dx.doi.org/10.2105/AJPH.2014.302464</v>
      </c>
      <c r="BG277" s="1" t="s">
        <v>74</v>
      </c>
      <c r="BH277" s="1" t="s">
        <v>74</v>
      </c>
      <c r="BI277" s="1">
        <v>7</v>
      </c>
      <c r="BJ277" s="1" t="s">
        <v>5621</v>
      </c>
      <c r="BK277" s="1" t="s">
        <v>520</v>
      </c>
      <c r="BL277" s="1" t="s">
        <v>5621</v>
      </c>
      <c r="BM277" s="1" t="s">
        <v>5622</v>
      </c>
      <c r="BN277" s="1">
        <v>25880942</v>
      </c>
      <c r="BO277" s="1" t="s">
        <v>74</v>
      </c>
      <c r="BP277" s="1" t="s">
        <v>74</v>
      </c>
      <c r="BQ277" s="1" t="s">
        <v>74</v>
      </c>
      <c r="BR277" s="1" t="s">
        <v>4296</v>
      </c>
      <c r="BS277" s="1" t="s">
        <v>5623</v>
      </c>
      <c r="BT277" s="1" t="str">
        <f>HYPERLINK("https%3A%2F%2Fwww.webofscience.com%2Fwos%2Fwoscc%2Ffull-record%2FWOS:000360466800038","View Full Record in Web of Science")</f>
        <v>View Full Record in Web of Science</v>
      </c>
      <c r="BU277" s="1" t="s">
        <v>5876</v>
      </c>
      <c r="BV277" s="1" t="s">
        <v>10653</v>
      </c>
    </row>
    <row r="278" spans="1:75" ht="58" x14ac:dyDescent="0.35">
      <c r="A278" s="1" t="s">
        <v>72</v>
      </c>
      <c r="B278" s="1" t="s">
        <v>5624</v>
      </c>
      <c r="C278" s="1" t="s">
        <v>74</v>
      </c>
      <c r="D278" s="1" t="s">
        <v>74</v>
      </c>
      <c r="E278" s="1" t="s">
        <v>74</v>
      </c>
      <c r="F278" s="1" t="s">
        <v>5625</v>
      </c>
      <c r="G278" s="1" t="s">
        <v>74</v>
      </c>
      <c r="H278" s="1" t="s">
        <v>74</v>
      </c>
      <c r="I278" s="1" t="s">
        <v>5626</v>
      </c>
      <c r="J278" s="1" t="s">
        <v>5627</v>
      </c>
      <c r="K278" s="1" t="s">
        <v>74</v>
      </c>
      <c r="L278" s="1" t="s">
        <v>74</v>
      </c>
      <c r="M278" s="1" t="s">
        <v>5628</v>
      </c>
      <c r="N278" s="1" t="s">
        <v>79</v>
      </c>
      <c r="O278" s="1" t="s">
        <v>74</v>
      </c>
      <c r="P278" s="1" t="s">
        <v>74</v>
      </c>
      <c r="Q278" s="1" t="s">
        <v>74</v>
      </c>
      <c r="R278" s="1" t="s">
        <v>74</v>
      </c>
      <c r="S278" s="1" t="s">
        <v>74</v>
      </c>
      <c r="T278" s="1" t="s">
        <v>74</v>
      </c>
      <c r="U278" s="1" t="s">
        <v>5629</v>
      </c>
      <c r="V278" s="1" t="s">
        <v>74</v>
      </c>
      <c r="W278" s="1" t="s">
        <v>5630</v>
      </c>
      <c r="X278" s="1" t="s">
        <v>5631</v>
      </c>
      <c r="Y278" s="1" t="s">
        <v>5632</v>
      </c>
      <c r="Z278" s="1" t="s">
        <v>5633</v>
      </c>
      <c r="AA278" s="1" t="s">
        <v>74</v>
      </c>
      <c r="AB278" s="1" t="s">
        <v>74</v>
      </c>
      <c r="AC278" s="1" t="s">
        <v>74</v>
      </c>
      <c r="AD278" s="1" t="s">
        <v>74</v>
      </c>
      <c r="AE278" s="1" t="s">
        <v>74</v>
      </c>
      <c r="AF278" s="1" t="s">
        <v>74</v>
      </c>
      <c r="AG278" s="1">
        <v>86</v>
      </c>
      <c r="AH278" s="1">
        <v>7</v>
      </c>
      <c r="AI278" s="1">
        <v>7</v>
      </c>
      <c r="AJ278" s="1">
        <v>0</v>
      </c>
      <c r="AK278" s="1">
        <v>8</v>
      </c>
      <c r="AL278" s="1" t="s">
        <v>5634</v>
      </c>
      <c r="AM278" s="1" t="s">
        <v>1034</v>
      </c>
      <c r="AN278" s="1" t="s">
        <v>5635</v>
      </c>
      <c r="AO278" s="1" t="s">
        <v>5636</v>
      </c>
      <c r="AP278" s="1" t="s">
        <v>5637</v>
      </c>
      <c r="AQ278" s="1" t="s">
        <v>74</v>
      </c>
      <c r="AR278" s="1" t="s">
        <v>5638</v>
      </c>
      <c r="AS278" s="1" t="s">
        <v>5639</v>
      </c>
      <c r="AT278" s="1" t="s">
        <v>363</v>
      </c>
      <c r="AU278" s="1">
        <v>2015</v>
      </c>
      <c r="AV278" s="1">
        <v>43</v>
      </c>
      <c r="AW278" s="1">
        <v>1</v>
      </c>
      <c r="AX278" s="1" t="s">
        <v>74</v>
      </c>
      <c r="AY278" s="1" t="s">
        <v>74</v>
      </c>
      <c r="AZ278" s="1" t="s">
        <v>74</v>
      </c>
      <c r="BA278" s="1" t="s">
        <v>74</v>
      </c>
      <c r="BB278" s="1">
        <v>1</v>
      </c>
      <c r="BC278" s="1">
        <v>26</v>
      </c>
      <c r="BD278" s="1" t="s">
        <v>74</v>
      </c>
      <c r="BE278" s="1" t="s">
        <v>5640</v>
      </c>
      <c r="BF278" s="1" t="str">
        <f>HYPERLINK("http://dx.doi.org/10.1515/zgl-2015-0001","http://dx.doi.org/10.1515/zgl-2015-0001")</f>
        <v>http://dx.doi.org/10.1515/zgl-2015-0001</v>
      </c>
      <c r="BG278" s="1" t="s">
        <v>74</v>
      </c>
      <c r="BH278" s="1" t="s">
        <v>74</v>
      </c>
      <c r="BI278" s="1">
        <v>26</v>
      </c>
      <c r="BJ278" s="1" t="s">
        <v>3098</v>
      </c>
      <c r="BK278" s="1" t="s">
        <v>860</v>
      </c>
      <c r="BL278" s="1" t="s">
        <v>2540</v>
      </c>
      <c r="BM278" s="1" t="s">
        <v>5641</v>
      </c>
      <c r="BN278" s="1" t="s">
        <v>74</v>
      </c>
      <c r="BO278" s="1" t="s">
        <v>828</v>
      </c>
      <c r="BP278" s="1" t="s">
        <v>74</v>
      </c>
      <c r="BQ278" s="1" t="s">
        <v>74</v>
      </c>
      <c r="BR278" s="1" t="s">
        <v>4296</v>
      </c>
      <c r="BS278" s="1" t="s">
        <v>5642</v>
      </c>
      <c r="BT278" s="1" t="str">
        <f>HYPERLINK("https%3A%2F%2Fwww.webofscience.com%2Fwos%2Fwoscc%2Ffull-record%2FWOS:000352084000001","View Full Record in Web of Science")</f>
        <v>View Full Record in Web of Science</v>
      </c>
      <c r="BU278" s="1" t="s">
        <v>5876</v>
      </c>
      <c r="BV278" s="1" t="s">
        <v>10653</v>
      </c>
    </row>
    <row r="279" spans="1:75" ht="362.5" x14ac:dyDescent="0.35">
      <c r="A279" s="1" t="s">
        <v>578</v>
      </c>
      <c r="B279" s="1" t="s">
        <v>5643</v>
      </c>
      <c r="C279" s="1" t="s">
        <v>74</v>
      </c>
      <c r="D279" s="1" t="s">
        <v>74</v>
      </c>
      <c r="E279" s="1" t="s">
        <v>3243</v>
      </c>
      <c r="F279" s="1" t="s">
        <v>5644</v>
      </c>
      <c r="G279" s="1" t="s">
        <v>74</v>
      </c>
      <c r="H279" s="1" t="s">
        <v>74</v>
      </c>
      <c r="I279" s="1" t="s">
        <v>5645</v>
      </c>
      <c r="J279" s="1" t="s">
        <v>5646</v>
      </c>
      <c r="K279" s="1" t="s">
        <v>5647</v>
      </c>
      <c r="L279" s="1" t="s">
        <v>74</v>
      </c>
      <c r="M279" s="1" t="s">
        <v>78</v>
      </c>
      <c r="N279" s="1" t="s">
        <v>584</v>
      </c>
      <c r="O279" s="1" t="s">
        <v>5648</v>
      </c>
      <c r="P279" s="1" t="s">
        <v>5649</v>
      </c>
      <c r="Q279" s="1" t="s">
        <v>3280</v>
      </c>
      <c r="R279" s="1" t="s">
        <v>5650</v>
      </c>
      <c r="S279" s="1" t="s">
        <v>74</v>
      </c>
      <c r="T279" s="1" t="s">
        <v>5651</v>
      </c>
      <c r="U279" s="1" t="s">
        <v>74</v>
      </c>
      <c r="V279" s="1" t="s">
        <v>5652</v>
      </c>
      <c r="W279" s="1" t="s">
        <v>5653</v>
      </c>
      <c r="X279" s="1" t="s">
        <v>5654</v>
      </c>
      <c r="Y279" s="1" t="s">
        <v>5655</v>
      </c>
      <c r="Z279" s="1" t="s">
        <v>5656</v>
      </c>
      <c r="AA279" s="1" t="s">
        <v>5657</v>
      </c>
      <c r="AB279" s="1" t="s">
        <v>5658</v>
      </c>
      <c r="AC279" s="1" t="s">
        <v>74</v>
      </c>
      <c r="AD279" s="1" t="s">
        <v>74</v>
      </c>
      <c r="AE279" s="1" t="s">
        <v>74</v>
      </c>
      <c r="AF279" s="1" t="s">
        <v>74</v>
      </c>
      <c r="AG279" s="1">
        <v>25</v>
      </c>
      <c r="AH279" s="1">
        <v>67</v>
      </c>
      <c r="AI279" s="1">
        <v>73</v>
      </c>
      <c r="AJ279" s="1">
        <v>4</v>
      </c>
      <c r="AK279" s="1">
        <v>12</v>
      </c>
      <c r="AL279" s="1" t="s">
        <v>3243</v>
      </c>
      <c r="AM279" s="1" t="s">
        <v>325</v>
      </c>
      <c r="AN279" s="1" t="s">
        <v>4053</v>
      </c>
      <c r="AO279" s="1" t="s">
        <v>74</v>
      </c>
      <c r="AP279" s="1" t="s">
        <v>74</v>
      </c>
      <c r="AQ279" s="1" t="s">
        <v>5659</v>
      </c>
      <c r="AR279" s="1" t="s">
        <v>5660</v>
      </c>
      <c r="AS279" s="1" t="s">
        <v>74</v>
      </c>
      <c r="AT279" s="1" t="s">
        <v>74</v>
      </c>
      <c r="AU279" s="1">
        <v>2015</v>
      </c>
      <c r="AV279" s="1" t="s">
        <v>74</v>
      </c>
      <c r="AW279" s="1" t="s">
        <v>74</v>
      </c>
      <c r="AX279" s="1" t="s">
        <v>74</v>
      </c>
      <c r="AY279" s="1" t="s">
        <v>74</v>
      </c>
      <c r="AZ279" s="1" t="s">
        <v>74</v>
      </c>
      <c r="BA279" s="1" t="s">
        <v>74</v>
      </c>
      <c r="BB279" s="1">
        <v>111</v>
      </c>
      <c r="BC279" s="1">
        <v>118</v>
      </c>
      <c r="BD279" s="1" t="s">
        <v>74</v>
      </c>
      <c r="BE279" s="1" t="s">
        <v>5661</v>
      </c>
      <c r="BF279" s="1" t="str">
        <f>HYPERLINK("http://dx.doi.org/10.1109/FCCM.2015.50","http://dx.doi.org/10.1109/FCCM.2015.50")</f>
        <v>http://dx.doi.org/10.1109/FCCM.2015.50</v>
      </c>
      <c r="BG279" s="1" t="s">
        <v>74</v>
      </c>
      <c r="BH279" s="1" t="s">
        <v>74</v>
      </c>
      <c r="BI279" s="1">
        <v>8</v>
      </c>
      <c r="BJ279" s="1" t="s">
        <v>2071</v>
      </c>
      <c r="BK279" s="1" t="s">
        <v>604</v>
      </c>
      <c r="BL279" s="1" t="s">
        <v>733</v>
      </c>
      <c r="BM279" s="1" t="s">
        <v>5662</v>
      </c>
      <c r="BN279" s="1" t="s">
        <v>74</v>
      </c>
      <c r="BO279" s="1" t="s">
        <v>74</v>
      </c>
      <c r="BP279" s="1" t="s">
        <v>74</v>
      </c>
      <c r="BQ279" s="1" t="s">
        <v>74</v>
      </c>
      <c r="BR279" s="1" t="s">
        <v>4296</v>
      </c>
      <c r="BS279" s="1" t="s">
        <v>5663</v>
      </c>
      <c r="BT279" s="1" t="str">
        <f>HYPERLINK("https%3A%2F%2Fwww.webofscience.com%2Fwos%2Fwoscc%2Ffull-record%2FWOS:000380517700030","View Full Record in Web of Science")</f>
        <v>View Full Record in Web of Science</v>
      </c>
      <c r="BU279" s="1" t="s">
        <v>5876</v>
      </c>
      <c r="BV279" s="1" t="s">
        <v>10653</v>
      </c>
    </row>
    <row r="280" spans="1:75" ht="275.5" x14ac:dyDescent="0.35">
      <c r="A280" s="1" t="s">
        <v>578</v>
      </c>
      <c r="B280" s="1" t="s">
        <v>5664</v>
      </c>
      <c r="C280" s="1" t="s">
        <v>74</v>
      </c>
      <c r="D280" s="1" t="s">
        <v>74</v>
      </c>
      <c r="E280" s="1" t="s">
        <v>5665</v>
      </c>
      <c r="F280" s="1" t="s">
        <v>5666</v>
      </c>
      <c r="G280" s="1" t="s">
        <v>74</v>
      </c>
      <c r="H280" s="1" t="s">
        <v>74</v>
      </c>
      <c r="I280" s="1" t="s">
        <v>5667</v>
      </c>
      <c r="J280" s="1" t="s">
        <v>5668</v>
      </c>
      <c r="K280" s="1" t="s">
        <v>74</v>
      </c>
      <c r="L280" s="1" t="s">
        <v>74</v>
      </c>
      <c r="M280" s="1" t="s">
        <v>78</v>
      </c>
      <c r="N280" s="1" t="s">
        <v>584</v>
      </c>
      <c r="O280" s="1" t="s">
        <v>5669</v>
      </c>
      <c r="P280" s="1" t="s">
        <v>5670</v>
      </c>
      <c r="Q280" s="1" t="s">
        <v>5671</v>
      </c>
      <c r="R280" s="1" t="s">
        <v>5672</v>
      </c>
      <c r="S280" s="1" t="s">
        <v>74</v>
      </c>
      <c r="T280" s="1" t="s">
        <v>5673</v>
      </c>
      <c r="U280" s="1" t="s">
        <v>74</v>
      </c>
      <c r="V280" s="1" t="s">
        <v>5674</v>
      </c>
      <c r="W280" s="1" t="s">
        <v>5675</v>
      </c>
      <c r="X280" s="1" t="s">
        <v>5676</v>
      </c>
      <c r="Y280" s="1" t="s">
        <v>5677</v>
      </c>
      <c r="Z280" s="1" t="s">
        <v>74</v>
      </c>
      <c r="AA280" s="1" t="s">
        <v>74</v>
      </c>
      <c r="AB280" s="1" t="s">
        <v>74</v>
      </c>
      <c r="AC280" s="1" t="s">
        <v>74</v>
      </c>
      <c r="AD280" s="1" t="s">
        <v>74</v>
      </c>
      <c r="AE280" s="1" t="s">
        <v>74</v>
      </c>
      <c r="AF280" s="1" t="s">
        <v>74</v>
      </c>
      <c r="AG280" s="1">
        <v>21</v>
      </c>
      <c r="AH280" s="1">
        <v>7</v>
      </c>
      <c r="AI280" s="1">
        <v>8</v>
      </c>
      <c r="AJ280" s="1">
        <v>1</v>
      </c>
      <c r="AK280" s="1">
        <v>2</v>
      </c>
      <c r="AL280" s="1" t="s">
        <v>5678</v>
      </c>
      <c r="AM280" s="1" t="s">
        <v>5679</v>
      </c>
      <c r="AN280" s="1" t="s">
        <v>5680</v>
      </c>
      <c r="AO280" s="1" t="s">
        <v>74</v>
      </c>
      <c r="AP280" s="1" t="s">
        <v>74</v>
      </c>
      <c r="AQ280" s="1" t="s">
        <v>5681</v>
      </c>
      <c r="AR280" s="1" t="s">
        <v>74</v>
      </c>
      <c r="AS280" s="1" t="s">
        <v>74</v>
      </c>
      <c r="AT280" s="1" t="s">
        <v>74</v>
      </c>
      <c r="AU280" s="1">
        <v>2015</v>
      </c>
      <c r="AV280" s="1" t="s">
        <v>74</v>
      </c>
      <c r="AW280" s="1" t="s">
        <v>74</v>
      </c>
      <c r="AX280" s="1" t="s">
        <v>74</v>
      </c>
      <c r="AY280" s="1" t="s">
        <v>74</v>
      </c>
      <c r="AZ280" s="1" t="s">
        <v>74</v>
      </c>
      <c r="BA280" s="1" t="s">
        <v>74</v>
      </c>
      <c r="BB280" s="1">
        <v>2366</v>
      </c>
      <c r="BC280" s="1">
        <v>2370</v>
      </c>
      <c r="BD280" s="1" t="s">
        <v>74</v>
      </c>
      <c r="BE280" s="1" t="s">
        <v>74</v>
      </c>
      <c r="BF280" s="1" t="s">
        <v>74</v>
      </c>
      <c r="BG280" s="1" t="s">
        <v>74</v>
      </c>
      <c r="BH280" s="1" t="s">
        <v>74</v>
      </c>
      <c r="BI280" s="1">
        <v>5</v>
      </c>
      <c r="BJ280" s="1" t="s">
        <v>5682</v>
      </c>
      <c r="BK280" s="1" t="s">
        <v>604</v>
      </c>
      <c r="BL280" s="1" t="s">
        <v>5683</v>
      </c>
      <c r="BM280" s="1" t="s">
        <v>5684</v>
      </c>
      <c r="BN280" s="1" t="s">
        <v>74</v>
      </c>
      <c r="BO280" s="1" t="s">
        <v>74</v>
      </c>
      <c r="BP280" s="1" t="s">
        <v>74</v>
      </c>
      <c r="BQ280" s="1" t="s">
        <v>74</v>
      </c>
      <c r="BR280" s="1" t="s">
        <v>4296</v>
      </c>
      <c r="BS280" s="1" t="s">
        <v>5685</v>
      </c>
      <c r="BT280" s="1" t="str">
        <f>HYPERLINK("https%3A%2F%2Fwww.webofscience.com%2Fwos%2Fwoscc%2Ffull-record%2FWOS:000380581601030","View Full Record in Web of Science")</f>
        <v>View Full Record in Web of Science</v>
      </c>
      <c r="BU280" s="1" t="s">
        <v>5876</v>
      </c>
      <c r="BV280" s="1" t="s">
        <v>10653</v>
      </c>
    </row>
    <row r="281" spans="1:75" x14ac:dyDescent="0.35">
      <c r="A281" t="s">
        <v>72</v>
      </c>
      <c r="B281" t="s">
        <v>6146</v>
      </c>
      <c r="C281" t="s">
        <v>74</v>
      </c>
      <c r="D281" t="s">
        <v>74</v>
      </c>
      <c r="E281" t="s">
        <v>74</v>
      </c>
      <c r="F281" t="s">
        <v>6147</v>
      </c>
      <c r="G281" t="s">
        <v>74</v>
      </c>
      <c r="H281" t="s">
        <v>74</v>
      </c>
      <c r="I281" t="s">
        <v>6148</v>
      </c>
      <c r="J281" t="s">
        <v>6149</v>
      </c>
      <c r="K281" t="s">
        <v>74</v>
      </c>
      <c r="L281" t="s">
        <v>74</v>
      </c>
      <c r="M281" t="s">
        <v>78</v>
      </c>
      <c r="N281" t="s">
        <v>79</v>
      </c>
      <c r="O281" t="s">
        <v>74</v>
      </c>
      <c r="P281" t="s">
        <v>74</v>
      </c>
      <c r="Q281" t="s">
        <v>74</v>
      </c>
      <c r="R281" t="s">
        <v>74</v>
      </c>
      <c r="S281" t="s">
        <v>74</v>
      </c>
      <c r="T281" t="s">
        <v>6150</v>
      </c>
      <c r="U281" t="s">
        <v>6151</v>
      </c>
      <c r="V281" t="s">
        <v>6152</v>
      </c>
      <c r="W281" t="s">
        <v>6153</v>
      </c>
      <c r="X281" t="s">
        <v>6154</v>
      </c>
      <c r="Y281" t="s">
        <v>6155</v>
      </c>
      <c r="Z281" t="s">
        <v>6156</v>
      </c>
      <c r="AA281" t="s">
        <v>74</v>
      </c>
      <c r="AB281" t="s">
        <v>74</v>
      </c>
      <c r="AC281" t="s">
        <v>74</v>
      </c>
      <c r="AD281" t="s">
        <v>74</v>
      </c>
      <c r="AE281" t="s">
        <v>74</v>
      </c>
      <c r="AF281" t="s">
        <v>74</v>
      </c>
      <c r="AG281">
        <v>27</v>
      </c>
      <c r="AH281">
        <v>53</v>
      </c>
      <c r="AI281">
        <v>56</v>
      </c>
      <c r="AJ281">
        <v>2</v>
      </c>
      <c r="AK281">
        <v>87</v>
      </c>
      <c r="AL281" t="s">
        <v>820</v>
      </c>
      <c r="AM281" t="s">
        <v>2119</v>
      </c>
      <c r="AN281" t="s">
        <v>2120</v>
      </c>
      <c r="AO281" t="s">
        <v>6157</v>
      </c>
      <c r="AP281" t="s">
        <v>6158</v>
      </c>
      <c r="AQ281" t="s">
        <v>74</v>
      </c>
      <c r="AR281" t="s">
        <v>6159</v>
      </c>
      <c r="AS281" t="s">
        <v>6160</v>
      </c>
      <c r="AT281" t="s">
        <v>363</v>
      </c>
      <c r="AU281">
        <v>2015</v>
      </c>
      <c r="AV281">
        <v>26</v>
      </c>
      <c r="AW281">
        <v>1</v>
      </c>
      <c r="AX281" t="s">
        <v>74</v>
      </c>
      <c r="AY281" t="s">
        <v>74</v>
      </c>
      <c r="AZ281" t="s">
        <v>74</v>
      </c>
      <c r="BA281" t="s">
        <v>74</v>
      </c>
      <c r="BB281">
        <v>67</v>
      </c>
      <c r="BC281">
        <v>80</v>
      </c>
      <c r="BD281" t="s">
        <v>74</v>
      </c>
      <c r="BE281" t="s">
        <v>6161</v>
      </c>
      <c r="BF281" t="str">
        <f>HYPERLINK("http://dx.doi.org/10.1007/s11002-013-9268-8","http://dx.doi.org/10.1007/s11002-013-9268-8")</f>
        <v>http://dx.doi.org/10.1007/s11002-013-9268-8</v>
      </c>
      <c r="BG281" t="s">
        <v>74</v>
      </c>
      <c r="BH281" t="s">
        <v>74</v>
      </c>
      <c r="BI281">
        <v>14</v>
      </c>
      <c r="BJ281" t="s">
        <v>153</v>
      </c>
      <c r="BK281" t="s">
        <v>101</v>
      </c>
      <c r="BL281" t="s">
        <v>154</v>
      </c>
      <c r="BM281" t="s">
        <v>6162</v>
      </c>
      <c r="BN281" t="s">
        <v>74</v>
      </c>
      <c r="BO281" t="s">
        <v>74</v>
      </c>
      <c r="BP281" t="s">
        <v>74</v>
      </c>
      <c r="BQ281" t="s">
        <v>74</v>
      </c>
      <c r="BR281" t="s">
        <v>6098</v>
      </c>
      <c r="BS281" t="s">
        <v>6163</v>
      </c>
      <c r="BT281" t="str">
        <f>HYPERLINK("https%3A%2F%2Fwww.webofscience.com%2Fwos%2Fwoscc%2Ffull-record%2FWOS:000349406300006","View Full Record in Web of Science")</f>
        <v>View Full Record in Web of Science</v>
      </c>
      <c r="BU281" t="s">
        <v>6100</v>
      </c>
      <c r="BV281" s="1" t="s">
        <v>6080</v>
      </c>
      <c r="BW281" s="1" t="s">
        <v>6080</v>
      </c>
    </row>
    <row r="282" spans="1:75" x14ac:dyDescent="0.35">
      <c r="A282" t="s">
        <v>72</v>
      </c>
      <c r="B282" t="s">
        <v>7005</v>
      </c>
      <c r="C282" t="s">
        <v>74</v>
      </c>
      <c r="D282" t="s">
        <v>74</v>
      </c>
      <c r="E282" t="s">
        <v>74</v>
      </c>
      <c r="F282" t="s">
        <v>7006</v>
      </c>
      <c r="G282" t="s">
        <v>74</v>
      </c>
      <c r="H282" t="s">
        <v>74</v>
      </c>
      <c r="I282" t="s">
        <v>7007</v>
      </c>
      <c r="J282" t="s">
        <v>7008</v>
      </c>
      <c r="K282" t="s">
        <v>74</v>
      </c>
      <c r="L282" t="s">
        <v>74</v>
      </c>
      <c r="M282" t="s">
        <v>78</v>
      </c>
      <c r="N282" t="s">
        <v>79</v>
      </c>
      <c r="O282" t="s">
        <v>74</v>
      </c>
      <c r="P282" t="s">
        <v>74</v>
      </c>
      <c r="Q282" t="s">
        <v>74</v>
      </c>
      <c r="R282" t="s">
        <v>74</v>
      </c>
      <c r="S282" t="s">
        <v>74</v>
      </c>
      <c r="T282" t="s">
        <v>7009</v>
      </c>
      <c r="U282" t="s">
        <v>7010</v>
      </c>
      <c r="V282" t="s">
        <v>7011</v>
      </c>
      <c r="W282" t="s">
        <v>7012</v>
      </c>
      <c r="X282" t="s">
        <v>7013</v>
      </c>
      <c r="Y282" t="s">
        <v>7014</v>
      </c>
      <c r="Z282" t="s">
        <v>7015</v>
      </c>
      <c r="AA282" t="s">
        <v>74</v>
      </c>
      <c r="AB282" t="s">
        <v>74</v>
      </c>
      <c r="AC282" t="s">
        <v>74</v>
      </c>
      <c r="AD282" t="s">
        <v>74</v>
      </c>
      <c r="AE282" t="s">
        <v>74</v>
      </c>
      <c r="AF282" t="s">
        <v>74</v>
      </c>
      <c r="AG282">
        <v>60</v>
      </c>
      <c r="AH282">
        <v>3</v>
      </c>
      <c r="AI282">
        <v>3</v>
      </c>
      <c r="AJ282">
        <v>0</v>
      </c>
      <c r="AK282">
        <v>4</v>
      </c>
      <c r="AL282" t="s">
        <v>1982</v>
      </c>
      <c r="AM282" t="s">
        <v>1983</v>
      </c>
      <c r="AN282" t="s">
        <v>2573</v>
      </c>
      <c r="AO282" t="s">
        <v>7016</v>
      </c>
      <c r="AP282" t="s">
        <v>7017</v>
      </c>
      <c r="AQ282" t="s">
        <v>74</v>
      </c>
      <c r="AR282" t="s">
        <v>7018</v>
      </c>
      <c r="AS282" t="s">
        <v>7019</v>
      </c>
      <c r="AT282" t="s">
        <v>74</v>
      </c>
      <c r="AU282">
        <v>2015</v>
      </c>
      <c r="AV282">
        <v>33</v>
      </c>
      <c r="AW282">
        <v>6</v>
      </c>
      <c r="AX282" t="s">
        <v>74</v>
      </c>
      <c r="AY282" t="s">
        <v>74</v>
      </c>
      <c r="AZ282" t="s">
        <v>74</v>
      </c>
      <c r="BA282" t="s">
        <v>74</v>
      </c>
      <c r="BB282">
        <v>857</v>
      </c>
      <c r="BC282">
        <v>878</v>
      </c>
      <c r="BD282" t="s">
        <v>74</v>
      </c>
      <c r="BE282" t="s">
        <v>7020</v>
      </c>
      <c r="BF282" t="str">
        <f>HYPERLINK("http://dx.doi.org/10.1108/IJBM-12-2014-0173","http://dx.doi.org/10.1108/IJBM-12-2014-0173")</f>
        <v>http://dx.doi.org/10.1108/IJBM-12-2014-0173</v>
      </c>
      <c r="BG282" t="s">
        <v>74</v>
      </c>
      <c r="BH282" t="s">
        <v>74</v>
      </c>
      <c r="BI282">
        <v>22</v>
      </c>
      <c r="BJ282" t="s">
        <v>153</v>
      </c>
      <c r="BK282" t="s">
        <v>101</v>
      </c>
      <c r="BL282" t="s">
        <v>154</v>
      </c>
      <c r="BM282" t="s">
        <v>7021</v>
      </c>
      <c r="BN282" t="s">
        <v>74</v>
      </c>
      <c r="BO282" t="s">
        <v>74</v>
      </c>
      <c r="BP282" t="s">
        <v>74</v>
      </c>
      <c r="BQ282" t="s">
        <v>74</v>
      </c>
      <c r="BR282" t="s">
        <v>6098</v>
      </c>
      <c r="BS282" t="s">
        <v>7022</v>
      </c>
      <c r="BT282" t="str">
        <f>HYPERLINK("https%3A%2F%2Fwww.webofscience.com%2Fwos%2Fwoscc%2Ffull-record%2FWOS:000216517800011","View Full Record in Web of Science")</f>
        <v>View Full Record in Web of Science</v>
      </c>
      <c r="BU282" t="s">
        <v>6100</v>
      </c>
      <c r="BV282" s="1" t="s">
        <v>6080</v>
      </c>
      <c r="BW282" s="1" t="s">
        <v>6080</v>
      </c>
    </row>
    <row r="283" spans="1:75" x14ac:dyDescent="0.35">
      <c r="A283" t="s">
        <v>72</v>
      </c>
      <c r="B283" t="s">
        <v>8362</v>
      </c>
      <c r="C283" t="s">
        <v>74</v>
      </c>
      <c r="D283" t="s">
        <v>74</v>
      </c>
      <c r="E283" t="s">
        <v>74</v>
      </c>
      <c r="F283" t="s">
        <v>8363</v>
      </c>
      <c r="G283" t="s">
        <v>74</v>
      </c>
      <c r="H283" t="s">
        <v>74</v>
      </c>
      <c r="I283" t="s">
        <v>8364</v>
      </c>
      <c r="J283" t="s">
        <v>8365</v>
      </c>
      <c r="K283" t="s">
        <v>74</v>
      </c>
      <c r="L283" t="s">
        <v>74</v>
      </c>
      <c r="M283" t="s">
        <v>78</v>
      </c>
      <c r="N283" t="s">
        <v>241</v>
      </c>
      <c r="O283" t="s">
        <v>8366</v>
      </c>
      <c r="P283" t="s">
        <v>8367</v>
      </c>
      <c r="Q283" t="s">
        <v>8368</v>
      </c>
      <c r="R283" t="s">
        <v>8369</v>
      </c>
      <c r="S283" t="s">
        <v>8370</v>
      </c>
      <c r="T283" t="s">
        <v>8371</v>
      </c>
      <c r="U283" t="s">
        <v>8372</v>
      </c>
      <c r="V283" t="s">
        <v>8373</v>
      </c>
      <c r="W283" t="s">
        <v>8374</v>
      </c>
      <c r="X283" t="s">
        <v>8375</v>
      </c>
      <c r="Y283" t="s">
        <v>8376</v>
      </c>
      <c r="Z283" t="s">
        <v>8377</v>
      </c>
      <c r="AA283" t="s">
        <v>74</v>
      </c>
      <c r="AB283" t="s">
        <v>74</v>
      </c>
      <c r="AC283" t="s">
        <v>74</v>
      </c>
      <c r="AD283" t="s">
        <v>74</v>
      </c>
      <c r="AE283" t="s">
        <v>74</v>
      </c>
      <c r="AF283" t="s">
        <v>74</v>
      </c>
      <c r="AG283">
        <v>27</v>
      </c>
      <c r="AH283">
        <v>23</v>
      </c>
      <c r="AI283">
        <v>27</v>
      </c>
      <c r="AJ283">
        <v>5</v>
      </c>
      <c r="AK283">
        <v>124</v>
      </c>
      <c r="AL283" t="s">
        <v>1180</v>
      </c>
      <c r="AM283" t="s">
        <v>1181</v>
      </c>
      <c r="AN283" t="s">
        <v>8378</v>
      </c>
      <c r="AO283" t="s">
        <v>8379</v>
      </c>
      <c r="AP283" t="s">
        <v>8380</v>
      </c>
      <c r="AQ283" t="s">
        <v>74</v>
      </c>
      <c r="AR283" t="s">
        <v>8381</v>
      </c>
      <c r="AS283" t="s">
        <v>8382</v>
      </c>
      <c r="AT283" t="s">
        <v>1203</v>
      </c>
      <c r="AU283">
        <v>2015</v>
      </c>
      <c r="AV283">
        <v>51</v>
      </c>
      <c r="AW283">
        <v>5</v>
      </c>
      <c r="AX283" t="s">
        <v>74</v>
      </c>
      <c r="AY283" t="s">
        <v>74</v>
      </c>
      <c r="AZ283" t="s">
        <v>74</v>
      </c>
      <c r="BA283" t="s">
        <v>74</v>
      </c>
      <c r="BB283">
        <v>963</v>
      </c>
      <c r="BC283">
        <v>974</v>
      </c>
      <c r="BD283" t="s">
        <v>74</v>
      </c>
      <c r="BE283" t="s">
        <v>8383</v>
      </c>
      <c r="BF283" t="str">
        <f>HYPERLINK("http://dx.doi.org/10.1080/1540496X.2015.1061387","http://dx.doi.org/10.1080/1540496X.2015.1061387")</f>
        <v>http://dx.doi.org/10.1080/1540496X.2015.1061387</v>
      </c>
      <c r="BG283" t="s">
        <v>74</v>
      </c>
      <c r="BH283" t="s">
        <v>74</v>
      </c>
      <c r="BI283">
        <v>12</v>
      </c>
      <c r="BJ283" t="s">
        <v>8384</v>
      </c>
      <c r="BK283" t="s">
        <v>261</v>
      </c>
      <c r="BL283" t="s">
        <v>8385</v>
      </c>
      <c r="BM283" t="s">
        <v>8386</v>
      </c>
      <c r="BN283" t="s">
        <v>74</v>
      </c>
      <c r="BO283" t="s">
        <v>74</v>
      </c>
      <c r="BP283" t="s">
        <v>74</v>
      </c>
      <c r="BQ283" t="s">
        <v>74</v>
      </c>
      <c r="BR283" t="s">
        <v>6098</v>
      </c>
      <c r="BS283" t="s">
        <v>8387</v>
      </c>
      <c r="BT283" t="str">
        <f>HYPERLINK("https%3A%2F%2Fwww.webofscience.com%2Fwos%2Fwoscc%2Ffull-record%2FWOS:000360591800010","View Full Record in Web of Science")</f>
        <v>View Full Record in Web of Science</v>
      </c>
      <c r="BU283" t="s">
        <v>6100</v>
      </c>
      <c r="BV283" s="1" t="s">
        <v>10653</v>
      </c>
    </row>
    <row r="284" spans="1:75" x14ac:dyDescent="0.35">
      <c r="A284" t="s">
        <v>72</v>
      </c>
      <c r="B284" t="s">
        <v>9134</v>
      </c>
      <c r="C284" t="s">
        <v>74</v>
      </c>
      <c r="D284" t="s">
        <v>74</v>
      </c>
      <c r="E284" t="s">
        <v>74</v>
      </c>
      <c r="F284" t="s">
        <v>5887</v>
      </c>
      <c r="G284" t="s">
        <v>74</v>
      </c>
      <c r="H284" t="s">
        <v>74</v>
      </c>
      <c r="I284" t="s">
        <v>5918</v>
      </c>
      <c r="J284" t="s">
        <v>9135</v>
      </c>
      <c r="K284" t="s">
        <v>74</v>
      </c>
      <c r="L284" t="s">
        <v>74</v>
      </c>
      <c r="M284" t="s">
        <v>78</v>
      </c>
      <c r="N284" t="s">
        <v>79</v>
      </c>
      <c r="O284" t="s">
        <v>74</v>
      </c>
      <c r="P284" t="s">
        <v>74</v>
      </c>
      <c r="Q284" t="s">
        <v>74</v>
      </c>
      <c r="R284" t="s">
        <v>74</v>
      </c>
      <c r="S284" t="s">
        <v>74</v>
      </c>
      <c r="T284" t="s">
        <v>9136</v>
      </c>
      <c r="U284" t="s">
        <v>9137</v>
      </c>
      <c r="V284" t="s">
        <v>9138</v>
      </c>
      <c r="W284" t="s">
        <v>9139</v>
      </c>
      <c r="X284" t="s">
        <v>9140</v>
      </c>
      <c r="Y284" t="s">
        <v>9141</v>
      </c>
      <c r="Z284" t="s">
        <v>9142</v>
      </c>
      <c r="AA284" t="s">
        <v>9143</v>
      </c>
      <c r="AB284" t="s">
        <v>9144</v>
      </c>
      <c r="AC284" t="s">
        <v>74</v>
      </c>
      <c r="AD284" t="s">
        <v>74</v>
      </c>
      <c r="AE284" t="s">
        <v>74</v>
      </c>
      <c r="AF284" t="s">
        <v>74</v>
      </c>
      <c r="AG284">
        <v>65</v>
      </c>
      <c r="AH284">
        <v>26</v>
      </c>
      <c r="AI284">
        <v>26</v>
      </c>
      <c r="AJ284">
        <v>9</v>
      </c>
      <c r="AK284">
        <v>99</v>
      </c>
      <c r="AL284" t="s">
        <v>324</v>
      </c>
      <c r="AM284" t="s">
        <v>325</v>
      </c>
      <c r="AN284" t="s">
        <v>326</v>
      </c>
      <c r="AO284" t="s">
        <v>9145</v>
      </c>
      <c r="AP284" t="s">
        <v>9146</v>
      </c>
      <c r="AQ284" t="s">
        <v>74</v>
      </c>
      <c r="AR284" t="s">
        <v>9147</v>
      </c>
      <c r="AS284" t="s">
        <v>9148</v>
      </c>
      <c r="AT284" t="s">
        <v>363</v>
      </c>
      <c r="AU284">
        <v>2015</v>
      </c>
      <c r="AV284">
        <v>91</v>
      </c>
      <c r="AW284">
        <v>1</v>
      </c>
      <c r="AX284" t="s">
        <v>74</v>
      </c>
      <c r="AY284" t="s">
        <v>74</v>
      </c>
      <c r="AZ284" t="s">
        <v>74</v>
      </c>
      <c r="BA284" t="s">
        <v>74</v>
      </c>
      <c r="BB284">
        <v>154</v>
      </c>
      <c r="BC284">
        <v>170</v>
      </c>
      <c r="BD284" t="s">
        <v>74</v>
      </c>
      <c r="BE284" t="s">
        <v>9149</v>
      </c>
      <c r="BF284" t="str">
        <f>HYPERLINK("http://dx.doi.org/10.1016/j.jretai.2014.12.002","http://dx.doi.org/10.1016/j.jretai.2014.12.002")</f>
        <v>http://dx.doi.org/10.1016/j.jretai.2014.12.002</v>
      </c>
      <c r="BG284" t="s">
        <v>74</v>
      </c>
      <c r="BH284" t="s">
        <v>74</v>
      </c>
      <c r="BI284">
        <v>17</v>
      </c>
      <c r="BJ284" t="s">
        <v>153</v>
      </c>
      <c r="BK284" t="s">
        <v>101</v>
      </c>
      <c r="BL284" t="s">
        <v>154</v>
      </c>
      <c r="BM284" t="s">
        <v>9150</v>
      </c>
      <c r="BN284" t="s">
        <v>74</v>
      </c>
      <c r="BO284" t="s">
        <v>74</v>
      </c>
      <c r="BP284" t="s">
        <v>74</v>
      </c>
      <c r="BQ284" t="s">
        <v>74</v>
      </c>
      <c r="BR284" t="s">
        <v>6098</v>
      </c>
      <c r="BS284" t="s">
        <v>9151</v>
      </c>
      <c r="BT284" t="str">
        <f>HYPERLINK("https%3A%2F%2Fwww.webofscience.com%2Fwos%2Fwoscc%2Ffull-record%2FWOS:000350085000010","View Full Record in Web of Science")</f>
        <v>View Full Record in Web of Science</v>
      </c>
      <c r="BU284" t="s">
        <v>6100</v>
      </c>
      <c r="BV284" s="1" t="s">
        <v>10653</v>
      </c>
      <c r="BW284" s="1" t="s">
        <v>10653</v>
      </c>
    </row>
    <row r="285" spans="1:75" x14ac:dyDescent="0.35">
      <c r="A285" t="s">
        <v>72</v>
      </c>
      <c r="B285" t="s">
        <v>10223</v>
      </c>
      <c r="C285" t="s">
        <v>74</v>
      </c>
      <c r="D285" t="s">
        <v>74</v>
      </c>
      <c r="E285" t="s">
        <v>74</v>
      </c>
      <c r="F285" t="s">
        <v>10224</v>
      </c>
      <c r="G285" t="s">
        <v>74</v>
      </c>
      <c r="H285" t="s">
        <v>74</v>
      </c>
      <c r="I285" t="s">
        <v>10225</v>
      </c>
      <c r="J285" t="s">
        <v>8566</v>
      </c>
      <c r="K285" t="s">
        <v>74</v>
      </c>
      <c r="L285" t="s">
        <v>74</v>
      </c>
      <c r="M285" t="s">
        <v>78</v>
      </c>
      <c r="N285" t="s">
        <v>79</v>
      </c>
      <c r="O285" t="s">
        <v>74</v>
      </c>
      <c r="P285" t="s">
        <v>74</v>
      </c>
      <c r="Q285" t="s">
        <v>74</v>
      </c>
      <c r="R285" t="s">
        <v>74</v>
      </c>
      <c r="S285" t="s">
        <v>74</v>
      </c>
      <c r="T285" t="s">
        <v>10226</v>
      </c>
      <c r="U285" t="s">
        <v>10227</v>
      </c>
      <c r="V285" t="s">
        <v>10228</v>
      </c>
      <c r="W285" t="s">
        <v>10229</v>
      </c>
      <c r="X285" t="s">
        <v>10230</v>
      </c>
      <c r="Y285" t="s">
        <v>10231</v>
      </c>
      <c r="Z285" t="s">
        <v>10232</v>
      </c>
      <c r="AA285" t="s">
        <v>74</v>
      </c>
      <c r="AB285" t="s">
        <v>74</v>
      </c>
      <c r="AC285" t="s">
        <v>10233</v>
      </c>
      <c r="AD285" t="s">
        <v>10234</v>
      </c>
      <c r="AE285" t="s">
        <v>10235</v>
      </c>
      <c r="AF285" t="s">
        <v>74</v>
      </c>
      <c r="AG285">
        <v>37</v>
      </c>
      <c r="AH285">
        <v>55</v>
      </c>
      <c r="AI285">
        <v>66</v>
      </c>
      <c r="AJ285">
        <v>5</v>
      </c>
      <c r="AK285">
        <v>106</v>
      </c>
      <c r="AL285" t="s">
        <v>854</v>
      </c>
      <c r="AM285" t="s">
        <v>410</v>
      </c>
      <c r="AN285" t="s">
        <v>855</v>
      </c>
      <c r="AO285" t="s">
        <v>8574</v>
      </c>
      <c r="AP285" t="s">
        <v>8575</v>
      </c>
      <c r="AQ285" t="s">
        <v>74</v>
      </c>
      <c r="AR285" t="s">
        <v>8576</v>
      </c>
      <c r="AS285" t="s">
        <v>8577</v>
      </c>
      <c r="AT285" t="s">
        <v>780</v>
      </c>
      <c r="AU285">
        <v>2015</v>
      </c>
      <c r="AV285">
        <v>14</v>
      </c>
      <c r="AW285">
        <v>1</v>
      </c>
      <c r="AX285" t="s">
        <v>74</v>
      </c>
      <c r="AY285" t="s">
        <v>74</v>
      </c>
      <c r="AZ285" t="s">
        <v>74</v>
      </c>
      <c r="BA285" t="s">
        <v>74</v>
      </c>
      <c r="BB285">
        <v>58</v>
      </c>
      <c r="BC285">
        <v>74</v>
      </c>
      <c r="BD285" t="s">
        <v>74</v>
      </c>
      <c r="BE285" t="s">
        <v>10236</v>
      </c>
      <c r="BF285" t="str">
        <f>HYPERLINK("http://dx.doi.org/10.1016/j.elerap.2014.11.004","http://dx.doi.org/10.1016/j.elerap.2014.11.004")</f>
        <v>http://dx.doi.org/10.1016/j.elerap.2014.11.004</v>
      </c>
      <c r="BG285" t="s">
        <v>74</v>
      </c>
      <c r="BH285" t="s">
        <v>74</v>
      </c>
      <c r="BI285">
        <v>17</v>
      </c>
      <c r="BJ285" t="s">
        <v>8579</v>
      </c>
      <c r="BK285" t="s">
        <v>520</v>
      </c>
      <c r="BL285" t="s">
        <v>3857</v>
      </c>
      <c r="BM285" t="s">
        <v>10237</v>
      </c>
      <c r="BN285" t="s">
        <v>74</v>
      </c>
      <c r="BO285" t="s">
        <v>74</v>
      </c>
      <c r="BP285" t="s">
        <v>74</v>
      </c>
      <c r="BQ285" t="s">
        <v>74</v>
      </c>
      <c r="BR285" t="s">
        <v>6098</v>
      </c>
      <c r="BS285" t="s">
        <v>10238</v>
      </c>
      <c r="BT285" t="str">
        <f>HYPERLINK("https%3A%2F%2Fwww.webofscience.com%2Fwos%2Fwoscc%2Ffull-record%2FWOS:000349612100006","View Full Record in Web of Science")</f>
        <v>View Full Record in Web of Science</v>
      </c>
      <c r="BU285" t="s">
        <v>6100</v>
      </c>
      <c r="BV285" s="1" t="s">
        <v>10653</v>
      </c>
    </row>
    <row r="286" spans="1:75" ht="333.5" x14ac:dyDescent="0.35">
      <c r="A286" s="1" t="s">
        <v>72</v>
      </c>
      <c r="B286" s="1" t="s">
        <v>181</v>
      </c>
      <c r="C286" s="1" t="s">
        <v>74</v>
      </c>
      <c r="D286" s="1" t="s">
        <v>74</v>
      </c>
      <c r="E286" s="1" t="s">
        <v>74</v>
      </c>
      <c r="F286" s="1" t="s">
        <v>182</v>
      </c>
      <c r="G286" s="1" t="s">
        <v>74</v>
      </c>
      <c r="H286" s="1" t="s">
        <v>74</v>
      </c>
      <c r="I286" s="1" t="s">
        <v>183</v>
      </c>
      <c r="J286" s="1" t="s">
        <v>161</v>
      </c>
      <c r="K286" s="1" t="s">
        <v>74</v>
      </c>
      <c r="L286" s="1" t="s">
        <v>74</v>
      </c>
      <c r="M286" s="1" t="s">
        <v>78</v>
      </c>
      <c r="N286" s="1" t="s">
        <v>79</v>
      </c>
      <c r="O286" s="1" t="s">
        <v>74</v>
      </c>
      <c r="P286" s="1" t="s">
        <v>74</v>
      </c>
      <c r="Q286" s="1" t="s">
        <v>74</v>
      </c>
      <c r="R286" s="1" t="s">
        <v>74</v>
      </c>
      <c r="S286" s="1" t="s">
        <v>74</v>
      </c>
      <c r="T286" s="1" t="s">
        <v>184</v>
      </c>
      <c r="U286" s="1" t="s">
        <v>185</v>
      </c>
      <c r="V286" s="1" t="s">
        <v>186</v>
      </c>
      <c r="W286" s="1" t="s">
        <v>187</v>
      </c>
      <c r="X286" s="1" t="s">
        <v>188</v>
      </c>
      <c r="Y286" s="1" t="s">
        <v>189</v>
      </c>
      <c r="Z286" s="1" t="s">
        <v>190</v>
      </c>
      <c r="AA286" s="1" t="s">
        <v>74</v>
      </c>
      <c r="AB286" s="1" t="s">
        <v>191</v>
      </c>
      <c r="AC286" s="1" t="s">
        <v>74</v>
      </c>
      <c r="AD286" s="1" t="s">
        <v>74</v>
      </c>
      <c r="AE286" s="1" t="s">
        <v>74</v>
      </c>
      <c r="AF286" s="1" t="s">
        <v>74</v>
      </c>
      <c r="AG286" s="1">
        <v>111</v>
      </c>
      <c r="AH286" s="1">
        <v>173</v>
      </c>
      <c r="AI286" s="1">
        <v>176</v>
      </c>
      <c r="AJ286" s="1">
        <v>12</v>
      </c>
      <c r="AK286" s="1">
        <v>162</v>
      </c>
      <c r="AL286" s="1" t="s">
        <v>170</v>
      </c>
      <c r="AM286" s="1" t="s">
        <v>171</v>
      </c>
      <c r="AN286" s="1" t="s">
        <v>172</v>
      </c>
      <c r="AO286" s="1" t="s">
        <v>173</v>
      </c>
      <c r="AP286" s="1" t="s">
        <v>174</v>
      </c>
      <c r="AQ286" s="1" t="s">
        <v>74</v>
      </c>
      <c r="AR286" s="1" t="s">
        <v>175</v>
      </c>
      <c r="AS286" s="1" t="s">
        <v>176</v>
      </c>
      <c r="AT286" s="1" t="s">
        <v>177</v>
      </c>
      <c r="AU286" s="1">
        <v>2016</v>
      </c>
      <c r="AV286" s="1">
        <v>42</v>
      </c>
      <c r="AW286" s="1">
        <v>5</v>
      </c>
      <c r="AX286" s="1" t="s">
        <v>74</v>
      </c>
      <c r="AY286" s="1" t="s">
        <v>74</v>
      </c>
      <c r="AZ286" s="1" t="s">
        <v>74</v>
      </c>
      <c r="BA286" s="1" t="s">
        <v>74</v>
      </c>
      <c r="BB286" s="1">
        <v>727</v>
      </c>
      <c r="BC286" s="1">
        <v>748</v>
      </c>
      <c r="BD286" s="1" t="s">
        <v>74</v>
      </c>
      <c r="BE286" s="1" t="s">
        <v>192</v>
      </c>
      <c r="BF286" s="1" t="str">
        <f>HYPERLINK("http://dx.doi.org/10.1093/jcr/ucv053","http://dx.doi.org/10.1093/jcr/ucv053")</f>
        <v>http://dx.doi.org/10.1093/jcr/ucv053</v>
      </c>
      <c r="BG286" s="1" t="s">
        <v>74</v>
      </c>
      <c r="BH286" s="1" t="s">
        <v>74</v>
      </c>
      <c r="BI286" s="1">
        <v>22</v>
      </c>
      <c r="BJ286" s="1" t="s">
        <v>153</v>
      </c>
      <c r="BK286" s="1" t="s">
        <v>101</v>
      </c>
      <c r="BL286" s="1" t="s">
        <v>154</v>
      </c>
      <c r="BM286" s="1" t="s">
        <v>193</v>
      </c>
      <c r="BN286" s="1" t="s">
        <v>74</v>
      </c>
      <c r="BO286" s="1" t="s">
        <v>74</v>
      </c>
      <c r="BP286" s="1" t="s">
        <v>74</v>
      </c>
      <c r="BQ286" s="1" t="s">
        <v>74</v>
      </c>
      <c r="BR286" s="1" t="s">
        <v>104</v>
      </c>
      <c r="BS286" s="1" t="s">
        <v>194</v>
      </c>
      <c r="BT286" s="1" t="str">
        <f>HYPERLINK("https%3A%2F%2Fwww.webofscience.com%2Fwos%2Fwoscc%2Ffull-record%2FWOS:000390562000005","View Full Record in Web of Science")</f>
        <v>View Full Record in Web of Science</v>
      </c>
      <c r="BU286" s="1" t="s">
        <v>2040</v>
      </c>
      <c r="BV286" s="1" t="s">
        <v>6080</v>
      </c>
      <c r="BW286" s="1" t="s">
        <v>6080</v>
      </c>
    </row>
    <row r="287" spans="1:75" ht="275.5" x14ac:dyDescent="0.35">
      <c r="A287" s="1" t="s">
        <v>72</v>
      </c>
      <c r="B287" s="1" t="s">
        <v>237</v>
      </c>
      <c r="C287" s="1" t="s">
        <v>74</v>
      </c>
      <c r="D287" s="1" t="s">
        <v>74</v>
      </c>
      <c r="E287" s="1" t="s">
        <v>74</v>
      </c>
      <c r="F287" s="1" t="s">
        <v>238</v>
      </c>
      <c r="G287" s="1" t="s">
        <v>74</v>
      </c>
      <c r="H287" s="1" t="s">
        <v>74</v>
      </c>
      <c r="I287" s="1" t="s">
        <v>239</v>
      </c>
      <c r="J287" s="1" t="s">
        <v>240</v>
      </c>
      <c r="K287" s="1" t="s">
        <v>74</v>
      </c>
      <c r="L287" s="1" t="s">
        <v>74</v>
      </c>
      <c r="M287" s="1" t="s">
        <v>78</v>
      </c>
      <c r="N287" s="1" t="s">
        <v>241</v>
      </c>
      <c r="O287" s="1" t="s">
        <v>242</v>
      </c>
      <c r="P287" s="1" t="s">
        <v>243</v>
      </c>
      <c r="Q287" s="1" t="s">
        <v>244</v>
      </c>
      <c r="R287" s="1" t="s">
        <v>245</v>
      </c>
      <c r="S287" s="1" t="s">
        <v>246</v>
      </c>
      <c r="T287" s="1" t="s">
        <v>247</v>
      </c>
      <c r="U287" s="1" t="s">
        <v>248</v>
      </c>
      <c r="V287" s="1" t="s">
        <v>249</v>
      </c>
      <c r="W287" s="1" t="s">
        <v>250</v>
      </c>
      <c r="X287" s="1" t="s">
        <v>251</v>
      </c>
      <c r="Y287" s="1" t="s">
        <v>252</v>
      </c>
      <c r="Z287" s="1" t="s">
        <v>253</v>
      </c>
      <c r="AA287" s="1" t="s">
        <v>74</v>
      </c>
      <c r="AB287" s="1" t="s">
        <v>74</v>
      </c>
      <c r="AC287" s="1" t="s">
        <v>74</v>
      </c>
      <c r="AD287" s="1" t="s">
        <v>74</v>
      </c>
      <c r="AE287" s="1" t="s">
        <v>74</v>
      </c>
      <c r="AF287" s="1" t="s">
        <v>74</v>
      </c>
      <c r="AG287" s="1">
        <v>178</v>
      </c>
      <c r="AH287" s="1">
        <v>193</v>
      </c>
      <c r="AI287" s="1">
        <v>195</v>
      </c>
      <c r="AJ287" s="1">
        <v>34</v>
      </c>
      <c r="AK287" s="1">
        <v>451</v>
      </c>
      <c r="AL287" s="1" t="s">
        <v>144</v>
      </c>
      <c r="AM287" s="1" t="s">
        <v>145</v>
      </c>
      <c r="AN287" s="1" t="s">
        <v>146</v>
      </c>
      <c r="AO287" s="1" t="s">
        <v>254</v>
      </c>
      <c r="AP287" s="1" t="s">
        <v>255</v>
      </c>
      <c r="AQ287" s="1" t="s">
        <v>74</v>
      </c>
      <c r="AR287" s="1" t="s">
        <v>256</v>
      </c>
      <c r="AS287" s="1" t="s">
        <v>257</v>
      </c>
      <c r="AT287" s="1" t="s">
        <v>258</v>
      </c>
      <c r="AU287" s="1">
        <v>2016</v>
      </c>
      <c r="AV287" s="1">
        <v>80</v>
      </c>
      <c r="AW287" s="1">
        <v>6</v>
      </c>
      <c r="AX287" s="1" t="s">
        <v>74</v>
      </c>
      <c r="AY287" s="1" t="s">
        <v>74</v>
      </c>
      <c r="AZ287" s="1" t="s">
        <v>259</v>
      </c>
      <c r="BA287" s="1" t="s">
        <v>74</v>
      </c>
      <c r="BB287" s="1">
        <v>122</v>
      </c>
      <c r="BC287" s="1">
        <v>145</v>
      </c>
      <c r="BD287" s="1" t="s">
        <v>74</v>
      </c>
      <c r="BE287" s="1" t="s">
        <v>260</v>
      </c>
      <c r="BF287" s="1" t="str">
        <f>HYPERLINK("http://dx.doi.org/10.1509/jm.15.0419","http://dx.doi.org/10.1509/jm.15.0419")</f>
        <v>http://dx.doi.org/10.1509/jm.15.0419</v>
      </c>
      <c r="BG287" s="1" t="s">
        <v>74</v>
      </c>
      <c r="BH287" s="1" t="s">
        <v>74</v>
      </c>
      <c r="BI287" s="1">
        <v>24</v>
      </c>
      <c r="BJ287" s="1" t="s">
        <v>153</v>
      </c>
      <c r="BK287" s="1" t="s">
        <v>261</v>
      </c>
      <c r="BL287" s="1" t="s">
        <v>154</v>
      </c>
      <c r="BM287" s="1" t="s">
        <v>262</v>
      </c>
      <c r="BN287" s="1" t="s">
        <v>74</v>
      </c>
      <c r="BO287" s="1" t="s">
        <v>74</v>
      </c>
      <c r="BP287" s="1" t="s">
        <v>74</v>
      </c>
      <c r="BQ287" s="1" t="s">
        <v>74</v>
      </c>
      <c r="BR287" s="1" t="s">
        <v>104</v>
      </c>
      <c r="BS287" s="1" t="s">
        <v>263</v>
      </c>
      <c r="BT287" s="1" t="str">
        <f>HYPERLINK("https%3A%2F%2Fwww.webofscience.com%2Fwos%2Fwoscc%2Ffull-record%2FWOS:000387251700006","View Full Record in Web of Science")</f>
        <v>View Full Record in Web of Science</v>
      </c>
      <c r="BU287" s="1" t="s">
        <v>2040</v>
      </c>
      <c r="BV287" s="1" t="s">
        <v>6080</v>
      </c>
      <c r="BW287" s="1" t="s">
        <v>6080</v>
      </c>
    </row>
    <row r="288" spans="1:75" ht="362.5" x14ac:dyDescent="0.35">
      <c r="A288" s="1" t="s">
        <v>72</v>
      </c>
      <c r="B288" s="1" t="s">
        <v>420</v>
      </c>
      <c r="C288" s="1" t="s">
        <v>74</v>
      </c>
      <c r="D288" s="1" t="s">
        <v>74</v>
      </c>
      <c r="E288" s="1" t="s">
        <v>74</v>
      </c>
      <c r="F288" s="1" t="s">
        <v>421</v>
      </c>
      <c r="G288" s="1" t="s">
        <v>74</v>
      </c>
      <c r="H288" s="1" t="s">
        <v>74</v>
      </c>
      <c r="I288" s="1" t="s">
        <v>422</v>
      </c>
      <c r="J288" s="1" t="s">
        <v>136</v>
      </c>
      <c r="K288" s="1" t="s">
        <v>74</v>
      </c>
      <c r="L288" s="1" t="s">
        <v>74</v>
      </c>
      <c r="M288" s="1" t="s">
        <v>78</v>
      </c>
      <c r="N288" s="1" t="s">
        <v>79</v>
      </c>
      <c r="O288" s="1" t="s">
        <v>74</v>
      </c>
      <c r="P288" s="1" t="s">
        <v>74</v>
      </c>
      <c r="Q288" s="1" t="s">
        <v>74</v>
      </c>
      <c r="R288" s="1" t="s">
        <v>74</v>
      </c>
      <c r="S288" s="1" t="s">
        <v>74</v>
      </c>
      <c r="T288" s="1" t="s">
        <v>423</v>
      </c>
      <c r="U288" s="1" t="s">
        <v>424</v>
      </c>
      <c r="V288" s="1" t="s">
        <v>425</v>
      </c>
      <c r="W288" s="1" t="s">
        <v>426</v>
      </c>
      <c r="X288" s="1" t="s">
        <v>427</v>
      </c>
      <c r="Y288" s="1" t="s">
        <v>428</v>
      </c>
      <c r="Z288" s="1" t="s">
        <v>429</v>
      </c>
      <c r="AA288" s="1" t="s">
        <v>74</v>
      </c>
      <c r="AB288" s="1" t="s">
        <v>74</v>
      </c>
      <c r="AC288" s="1" t="s">
        <v>74</v>
      </c>
      <c r="AD288" s="1" t="s">
        <v>74</v>
      </c>
      <c r="AE288" s="1" t="s">
        <v>74</v>
      </c>
      <c r="AF288" s="1" t="s">
        <v>74</v>
      </c>
      <c r="AG288" s="1">
        <v>81</v>
      </c>
      <c r="AH288" s="1">
        <v>129</v>
      </c>
      <c r="AI288" s="1">
        <v>132</v>
      </c>
      <c r="AJ288" s="1">
        <v>11</v>
      </c>
      <c r="AK288" s="1">
        <v>163</v>
      </c>
      <c r="AL288" s="1" t="s">
        <v>232</v>
      </c>
      <c r="AM288" s="1" t="s">
        <v>233</v>
      </c>
      <c r="AN288" s="1" t="s">
        <v>234</v>
      </c>
      <c r="AO288" s="1" t="s">
        <v>147</v>
      </c>
      <c r="AP288" s="1" t="s">
        <v>148</v>
      </c>
      <c r="AQ288" s="1" t="s">
        <v>74</v>
      </c>
      <c r="AR288" s="1" t="s">
        <v>149</v>
      </c>
      <c r="AS288" s="1" t="s">
        <v>150</v>
      </c>
      <c r="AT288" s="1" t="s">
        <v>294</v>
      </c>
      <c r="AU288" s="1">
        <v>2016</v>
      </c>
      <c r="AV288" s="1">
        <v>53</v>
      </c>
      <c r="AW288" s="1">
        <v>2</v>
      </c>
      <c r="AX288" s="1" t="s">
        <v>74</v>
      </c>
      <c r="AY288" s="1" t="s">
        <v>74</v>
      </c>
      <c r="AZ288" s="1" t="s">
        <v>74</v>
      </c>
      <c r="BA288" s="1" t="s">
        <v>74</v>
      </c>
      <c r="BB288" s="1">
        <v>143</v>
      </c>
      <c r="BC288" s="1">
        <v>160</v>
      </c>
      <c r="BD288" s="1" t="s">
        <v>74</v>
      </c>
      <c r="BE288" s="1" t="s">
        <v>430</v>
      </c>
      <c r="BF288" s="1" t="str">
        <f>HYPERLINK("http://dx.doi.org/10.1509/jmr.13.0009","http://dx.doi.org/10.1509/jmr.13.0009")</f>
        <v>http://dx.doi.org/10.1509/jmr.13.0009</v>
      </c>
      <c r="BG288" s="1" t="s">
        <v>74</v>
      </c>
      <c r="BH288" s="1" t="s">
        <v>74</v>
      </c>
      <c r="BI288" s="1">
        <v>18</v>
      </c>
      <c r="BJ288" s="1" t="s">
        <v>153</v>
      </c>
      <c r="BK288" s="1" t="s">
        <v>101</v>
      </c>
      <c r="BL288" s="1" t="s">
        <v>154</v>
      </c>
      <c r="BM288" s="1" t="s">
        <v>431</v>
      </c>
      <c r="BN288" s="1" t="s">
        <v>74</v>
      </c>
      <c r="BO288" s="1" t="s">
        <v>74</v>
      </c>
      <c r="BP288" s="1" t="s">
        <v>74</v>
      </c>
      <c r="BQ288" s="1" t="s">
        <v>74</v>
      </c>
      <c r="BR288" s="1" t="s">
        <v>104</v>
      </c>
      <c r="BS288" s="1" t="s">
        <v>432</v>
      </c>
      <c r="BT288" s="1" t="str">
        <f>HYPERLINK("https%3A%2F%2Fwww.webofscience.com%2Fwos%2Fwoscc%2Ffull-record%2FWOS:000374869200001","View Full Record in Web of Science")</f>
        <v>View Full Record in Web of Science</v>
      </c>
      <c r="BU288" s="1" t="s">
        <v>2040</v>
      </c>
      <c r="BV288" s="1" t="s">
        <v>6080</v>
      </c>
      <c r="BW288" s="1" t="s">
        <v>6080</v>
      </c>
    </row>
    <row r="289" spans="1:75" ht="246.5" x14ac:dyDescent="0.35">
      <c r="A289" s="1" t="s">
        <v>72</v>
      </c>
      <c r="B289" s="1" t="s">
        <v>433</v>
      </c>
      <c r="C289" s="1" t="s">
        <v>74</v>
      </c>
      <c r="D289" s="1" t="s">
        <v>74</v>
      </c>
      <c r="E289" s="1" t="s">
        <v>74</v>
      </c>
      <c r="F289" s="1" t="s">
        <v>434</v>
      </c>
      <c r="G289" s="1" t="s">
        <v>74</v>
      </c>
      <c r="H289" s="1" t="s">
        <v>74</v>
      </c>
      <c r="I289" s="1" t="s">
        <v>435</v>
      </c>
      <c r="J289" s="1" t="s">
        <v>436</v>
      </c>
      <c r="K289" s="1" t="s">
        <v>74</v>
      </c>
      <c r="L289" s="1" t="s">
        <v>74</v>
      </c>
      <c r="M289" s="1" t="s">
        <v>78</v>
      </c>
      <c r="N289" s="1" t="s">
        <v>79</v>
      </c>
      <c r="O289" s="1" t="s">
        <v>74</v>
      </c>
      <c r="P289" s="1" t="s">
        <v>74</v>
      </c>
      <c r="Q289" s="1" t="s">
        <v>74</v>
      </c>
      <c r="R289" s="1" t="s">
        <v>74</v>
      </c>
      <c r="S289" s="1" t="s">
        <v>74</v>
      </c>
      <c r="T289" s="1" t="s">
        <v>437</v>
      </c>
      <c r="U289" s="1" t="s">
        <v>438</v>
      </c>
      <c r="V289" s="1" t="s">
        <v>439</v>
      </c>
      <c r="W289" s="1" t="s">
        <v>440</v>
      </c>
      <c r="X289" s="1" t="s">
        <v>441</v>
      </c>
      <c r="Y289" s="1" t="s">
        <v>442</v>
      </c>
      <c r="Z289" s="1" t="s">
        <v>443</v>
      </c>
      <c r="AA289" s="1" t="s">
        <v>444</v>
      </c>
      <c r="AB289" s="1" t="s">
        <v>445</v>
      </c>
      <c r="AC289" s="1" t="s">
        <v>74</v>
      </c>
      <c r="AD289" s="1" t="s">
        <v>74</v>
      </c>
      <c r="AE289" s="1" t="s">
        <v>74</v>
      </c>
      <c r="AF289" s="1" t="s">
        <v>74</v>
      </c>
      <c r="AG289" s="1">
        <v>34</v>
      </c>
      <c r="AH289" s="1">
        <v>140</v>
      </c>
      <c r="AI289" s="1">
        <v>141</v>
      </c>
      <c r="AJ289" s="1">
        <v>26</v>
      </c>
      <c r="AK289" s="1">
        <v>204</v>
      </c>
      <c r="AL289" s="1" t="s">
        <v>446</v>
      </c>
      <c r="AM289" s="1" t="s">
        <v>447</v>
      </c>
      <c r="AN289" s="1" t="s">
        <v>448</v>
      </c>
      <c r="AO289" s="1" t="s">
        <v>449</v>
      </c>
      <c r="AP289" s="1" t="s">
        <v>450</v>
      </c>
      <c r="AQ289" s="1" t="s">
        <v>74</v>
      </c>
      <c r="AR289" s="1" t="s">
        <v>451</v>
      </c>
      <c r="AS289" s="1" t="s">
        <v>452</v>
      </c>
      <c r="AT289" s="1" t="s">
        <v>453</v>
      </c>
      <c r="AU289" s="1">
        <v>2016</v>
      </c>
      <c r="AV289" s="1">
        <v>35</v>
      </c>
      <c r="AW289" s="1">
        <v>6</v>
      </c>
      <c r="AX289" s="1" t="s">
        <v>74</v>
      </c>
      <c r="AY289" s="1" t="s">
        <v>74</v>
      </c>
      <c r="AZ289" s="1" t="s">
        <v>74</v>
      </c>
      <c r="BA289" s="1" t="s">
        <v>74</v>
      </c>
      <c r="BB289" s="1">
        <v>953</v>
      </c>
      <c r="BC289" s="1">
        <v>975</v>
      </c>
      <c r="BD289" s="1" t="s">
        <v>74</v>
      </c>
      <c r="BE289" s="1" t="s">
        <v>454</v>
      </c>
      <c r="BF289" s="1" t="str">
        <f>HYPERLINK("http://dx.doi.org/10.1287/mksc.2016.0993","http://dx.doi.org/10.1287/mksc.2016.0993")</f>
        <v>http://dx.doi.org/10.1287/mksc.2016.0993</v>
      </c>
      <c r="BG289" s="1" t="s">
        <v>74</v>
      </c>
      <c r="BH289" s="1" t="s">
        <v>74</v>
      </c>
      <c r="BI289" s="1">
        <v>23</v>
      </c>
      <c r="BJ289" s="1" t="s">
        <v>153</v>
      </c>
      <c r="BK289" s="1" t="s">
        <v>101</v>
      </c>
      <c r="BL289" s="1" t="s">
        <v>154</v>
      </c>
      <c r="BM289" s="1" t="s">
        <v>455</v>
      </c>
      <c r="BN289" s="1" t="s">
        <v>74</v>
      </c>
      <c r="BO289" s="1" t="s">
        <v>74</v>
      </c>
      <c r="BP289" s="1" t="s">
        <v>74</v>
      </c>
      <c r="BQ289" s="1" t="s">
        <v>74</v>
      </c>
      <c r="BR289" s="1" t="s">
        <v>104</v>
      </c>
      <c r="BS289" s="1" t="s">
        <v>456</v>
      </c>
      <c r="BT289" s="1" t="str">
        <f>HYPERLINK("https%3A%2F%2Fwww.webofscience.com%2Fwos%2Fwoscc%2Ffull-record%2FWOS:000388701900007","View Full Record in Web of Science")</f>
        <v>View Full Record in Web of Science</v>
      </c>
      <c r="BU289" s="1" t="s">
        <v>2040</v>
      </c>
      <c r="BV289" s="1" t="s">
        <v>6080</v>
      </c>
      <c r="BW289" s="1" t="s">
        <v>6080</v>
      </c>
    </row>
    <row r="290" spans="1:75" ht="72.5" x14ac:dyDescent="0.35">
      <c r="A290" s="1" t="s">
        <v>72</v>
      </c>
      <c r="B290" s="1" t="s">
        <v>863</v>
      </c>
      <c r="C290" s="1" t="s">
        <v>74</v>
      </c>
      <c r="D290" s="1" t="s">
        <v>74</v>
      </c>
      <c r="E290" s="1" t="s">
        <v>74</v>
      </c>
      <c r="F290" s="1" t="s">
        <v>864</v>
      </c>
      <c r="G290" s="1" t="s">
        <v>74</v>
      </c>
      <c r="H290" s="1" t="s">
        <v>74</v>
      </c>
      <c r="I290" s="1" t="s">
        <v>865</v>
      </c>
      <c r="J290" s="1" t="s">
        <v>866</v>
      </c>
      <c r="K290" s="1" t="s">
        <v>74</v>
      </c>
      <c r="L290" s="1" t="s">
        <v>74</v>
      </c>
      <c r="M290" s="1" t="s">
        <v>78</v>
      </c>
      <c r="N290" s="1" t="s">
        <v>79</v>
      </c>
      <c r="O290" s="1" t="s">
        <v>74</v>
      </c>
      <c r="P290" s="1" t="s">
        <v>74</v>
      </c>
      <c r="Q290" s="1" t="s">
        <v>74</v>
      </c>
      <c r="R290" s="1" t="s">
        <v>74</v>
      </c>
      <c r="S290" s="1" t="s">
        <v>74</v>
      </c>
      <c r="T290" s="1" t="s">
        <v>74</v>
      </c>
      <c r="U290" s="1" t="s">
        <v>74</v>
      </c>
      <c r="V290" s="1" t="s">
        <v>74</v>
      </c>
      <c r="W290" s="1" t="s">
        <v>867</v>
      </c>
      <c r="X290" s="1" t="s">
        <v>868</v>
      </c>
      <c r="Y290" s="1" t="s">
        <v>869</v>
      </c>
      <c r="Z290" s="1" t="s">
        <v>74</v>
      </c>
      <c r="AA290" s="1" t="s">
        <v>74</v>
      </c>
      <c r="AB290" s="1" t="s">
        <v>74</v>
      </c>
      <c r="AC290" s="1" t="s">
        <v>74</v>
      </c>
      <c r="AD290" s="1" t="s">
        <v>74</v>
      </c>
      <c r="AE290" s="1" t="s">
        <v>74</v>
      </c>
      <c r="AF290" s="1" t="s">
        <v>74</v>
      </c>
      <c r="AG290" s="1">
        <v>0</v>
      </c>
      <c r="AH290" s="1">
        <v>74</v>
      </c>
      <c r="AI290" s="1">
        <v>76</v>
      </c>
      <c r="AJ290" s="1">
        <v>1</v>
      </c>
      <c r="AK290" s="1">
        <v>57</v>
      </c>
      <c r="AL290" s="1" t="s">
        <v>870</v>
      </c>
      <c r="AM290" s="1" t="s">
        <v>871</v>
      </c>
      <c r="AN290" s="1" t="s">
        <v>872</v>
      </c>
      <c r="AO290" s="1" t="s">
        <v>873</v>
      </c>
      <c r="AP290" s="1" t="s">
        <v>74</v>
      </c>
      <c r="AQ290" s="1" t="s">
        <v>74</v>
      </c>
      <c r="AR290" s="1" t="s">
        <v>874</v>
      </c>
      <c r="AS290" s="1" t="s">
        <v>875</v>
      </c>
      <c r="AT290" s="1" t="s">
        <v>363</v>
      </c>
      <c r="AU290" s="1">
        <v>2016</v>
      </c>
      <c r="AV290" s="1">
        <v>94</v>
      </c>
      <c r="AW290" s="1">
        <v>3</v>
      </c>
      <c r="AX290" s="1" t="s">
        <v>74</v>
      </c>
      <c r="AY290" s="1" t="s">
        <v>74</v>
      </c>
      <c r="AZ290" s="1" t="s">
        <v>74</v>
      </c>
      <c r="BA290" s="1" t="s">
        <v>74</v>
      </c>
      <c r="BB290" s="1">
        <v>40</v>
      </c>
      <c r="BC290" s="1" t="s">
        <v>876</v>
      </c>
      <c r="BD290" s="1" t="s">
        <v>74</v>
      </c>
      <c r="BE290" s="1" t="s">
        <v>74</v>
      </c>
      <c r="BF290" s="1" t="s">
        <v>74</v>
      </c>
      <c r="BG290" s="1" t="s">
        <v>74</v>
      </c>
      <c r="BH290" s="1" t="s">
        <v>74</v>
      </c>
      <c r="BI290" s="1">
        <v>10</v>
      </c>
      <c r="BJ290" s="1" t="s">
        <v>877</v>
      </c>
      <c r="BK290" s="1" t="s">
        <v>101</v>
      </c>
      <c r="BL290" s="1" t="s">
        <v>154</v>
      </c>
      <c r="BM290" s="1" t="s">
        <v>878</v>
      </c>
      <c r="BN290" s="1" t="s">
        <v>74</v>
      </c>
      <c r="BO290" s="1" t="s">
        <v>74</v>
      </c>
      <c r="BP290" s="1" t="s">
        <v>74</v>
      </c>
      <c r="BQ290" s="1" t="s">
        <v>74</v>
      </c>
      <c r="BR290" s="1" t="s">
        <v>104</v>
      </c>
      <c r="BS290" s="1" t="s">
        <v>879</v>
      </c>
      <c r="BT290" s="1" t="str">
        <f>HYPERLINK("https%3A%2F%2Fwww.webofscience.com%2Fwos%2Fwoscc%2Ffull-record%2FWOS:000370468500018","View Full Record in Web of Science")</f>
        <v>View Full Record in Web of Science</v>
      </c>
      <c r="BU290" s="1" t="s">
        <v>2040</v>
      </c>
      <c r="BV290" s="1" t="s">
        <v>6080</v>
      </c>
      <c r="BW290" s="1" t="s">
        <v>6080</v>
      </c>
    </row>
    <row r="291" spans="1:75" ht="275.5" x14ac:dyDescent="0.35">
      <c r="A291" s="1" t="s">
        <v>72</v>
      </c>
      <c r="B291" s="1" t="s">
        <v>978</v>
      </c>
      <c r="C291" s="1" t="s">
        <v>74</v>
      </c>
      <c r="D291" s="1" t="s">
        <v>74</v>
      </c>
      <c r="E291" s="1" t="s">
        <v>74</v>
      </c>
      <c r="F291" s="1" t="s">
        <v>979</v>
      </c>
      <c r="G291" s="1" t="s">
        <v>74</v>
      </c>
      <c r="H291" s="1" t="s">
        <v>74</v>
      </c>
      <c r="I291" s="1" t="s">
        <v>980</v>
      </c>
      <c r="J291" s="1" t="s">
        <v>981</v>
      </c>
      <c r="K291" s="1" t="s">
        <v>74</v>
      </c>
      <c r="L291" s="1" t="s">
        <v>74</v>
      </c>
      <c r="M291" s="1" t="s">
        <v>78</v>
      </c>
      <c r="N291" s="1" t="s">
        <v>79</v>
      </c>
      <c r="O291" s="1" t="s">
        <v>74</v>
      </c>
      <c r="P291" s="1" t="s">
        <v>74</v>
      </c>
      <c r="Q291" s="1" t="s">
        <v>74</v>
      </c>
      <c r="R291" s="1" t="s">
        <v>74</v>
      </c>
      <c r="S291" s="1" t="s">
        <v>74</v>
      </c>
      <c r="T291" s="1" t="s">
        <v>982</v>
      </c>
      <c r="U291" s="1" t="s">
        <v>983</v>
      </c>
      <c r="V291" s="1" t="s">
        <v>984</v>
      </c>
      <c r="W291" s="1" t="s">
        <v>985</v>
      </c>
      <c r="X291" s="1" t="s">
        <v>986</v>
      </c>
      <c r="Y291" s="1" t="s">
        <v>987</v>
      </c>
      <c r="Z291" s="1" t="s">
        <v>988</v>
      </c>
      <c r="AA291" s="1" t="s">
        <v>989</v>
      </c>
      <c r="AB291" s="1" t="s">
        <v>990</v>
      </c>
      <c r="AC291" s="1" t="s">
        <v>991</v>
      </c>
      <c r="AD291" s="1" t="s">
        <v>992</v>
      </c>
      <c r="AE291" s="1" t="s">
        <v>993</v>
      </c>
      <c r="AF291" s="1" t="s">
        <v>74</v>
      </c>
      <c r="AG291" s="1">
        <v>122</v>
      </c>
      <c r="AH291" s="1">
        <v>100</v>
      </c>
      <c r="AI291" s="1">
        <v>102</v>
      </c>
      <c r="AJ291" s="1">
        <v>3</v>
      </c>
      <c r="AK291" s="1">
        <v>68</v>
      </c>
      <c r="AL291" s="1" t="s">
        <v>91</v>
      </c>
      <c r="AM291" s="1" t="s">
        <v>92</v>
      </c>
      <c r="AN291" s="1" t="s">
        <v>93</v>
      </c>
      <c r="AO291" s="1" t="s">
        <v>994</v>
      </c>
      <c r="AP291" s="1" t="s">
        <v>995</v>
      </c>
      <c r="AQ291" s="1" t="s">
        <v>74</v>
      </c>
      <c r="AR291" s="1" t="s">
        <v>996</v>
      </c>
      <c r="AS291" s="1" t="s">
        <v>997</v>
      </c>
      <c r="AT291" s="1" t="s">
        <v>348</v>
      </c>
      <c r="AU291" s="1">
        <v>2016</v>
      </c>
      <c r="AV291" s="1">
        <v>21</v>
      </c>
      <c r="AW291" s="1">
        <v>4</v>
      </c>
      <c r="AX291" s="1" t="s">
        <v>74</v>
      </c>
      <c r="AY291" s="1" t="s">
        <v>74</v>
      </c>
      <c r="AZ291" s="1" t="s">
        <v>259</v>
      </c>
      <c r="BA291" s="1" t="s">
        <v>74</v>
      </c>
      <c r="BB291" s="1">
        <v>507</v>
      </c>
      <c r="BC291" s="1">
        <v>525</v>
      </c>
      <c r="BD291" s="1" t="s">
        <v>74</v>
      </c>
      <c r="BE291" s="1" t="s">
        <v>998</v>
      </c>
      <c r="BF291" s="1" t="str">
        <f>HYPERLINK("http://dx.doi.org/10.1037/met0000091","http://dx.doi.org/10.1037/met0000091")</f>
        <v>http://dx.doi.org/10.1037/met0000091</v>
      </c>
      <c r="BG291" s="1" t="s">
        <v>74</v>
      </c>
      <c r="BH291" s="1" t="s">
        <v>74</v>
      </c>
      <c r="BI291" s="1">
        <v>19</v>
      </c>
      <c r="BJ291" s="1" t="s">
        <v>311</v>
      </c>
      <c r="BK291" s="1" t="s">
        <v>101</v>
      </c>
      <c r="BL291" s="1" t="s">
        <v>102</v>
      </c>
      <c r="BM291" s="1" t="s">
        <v>999</v>
      </c>
      <c r="BN291" s="1">
        <v>27505683</v>
      </c>
      <c r="BO291" s="1" t="s">
        <v>74</v>
      </c>
      <c r="BP291" s="1" t="s">
        <v>74</v>
      </c>
      <c r="BQ291" s="1" t="s">
        <v>74</v>
      </c>
      <c r="BR291" s="1" t="s">
        <v>104</v>
      </c>
      <c r="BS291" s="1" t="s">
        <v>1000</v>
      </c>
      <c r="BT291" s="1" t="str">
        <f>HYPERLINK("https%3A%2F%2Fwww.webofscience.com%2Fwos%2Fwoscc%2Ffull-record%2FWOS:000393202300005","View Full Record in Web of Science")</f>
        <v>View Full Record in Web of Science</v>
      </c>
      <c r="BU291" s="1" t="s">
        <v>2040</v>
      </c>
      <c r="BV291" s="1" t="s">
        <v>10653</v>
      </c>
    </row>
    <row r="292" spans="1:75" ht="130.5" x14ac:dyDescent="0.35">
      <c r="A292" s="1" t="s">
        <v>72</v>
      </c>
      <c r="B292" s="1" t="s">
        <v>1108</v>
      </c>
      <c r="C292" s="1" t="s">
        <v>74</v>
      </c>
      <c r="D292" s="1" t="s">
        <v>74</v>
      </c>
      <c r="E292" s="1" t="s">
        <v>74</v>
      </c>
      <c r="F292" s="1" t="s">
        <v>1109</v>
      </c>
      <c r="G292" s="1" t="s">
        <v>74</v>
      </c>
      <c r="H292" s="1" t="s">
        <v>74</v>
      </c>
      <c r="I292" s="1" t="s">
        <v>1110</v>
      </c>
      <c r="J292" s="1" t="s">
        <v>1111</v>
      </c>
      <c r="K292" s="1" t="s">
        <v>74</v>
      </c>
      <c r="L292" s="1" t="s">
        <v>74</v>
      </c>
      <c r="M292" s="1" t="s">
        <v>78</v>
      </c>
      <c r="N292" s="1" t="s">
        <v>79</v>
      </c>
      <c r="O292" s="1" t="s">
        <v>74</v>
      </c>
      <c r="P292" s="1" t="s">
        <v>74</v>
      </c>
      <c r="Q292" s="1" t="s">
        <v>74</v>
      </c>
      <c r="R292" s="1" t="s">
        <v>74</v>
      </c>
      <c r="S292" s="1" t="s">
        <v>74</v>
      </c>
      <c r="T292" s="1" t="s">
        <v>1112</v>
      </c>
      <c r="U292" s="1" t="s">
        <v>1113</v>
      </c>
      <c r="V292" s="1" t="s">
        <v>1114</v>
      </c>
      <c r="W292" s="1" t="s">
        <v>1115</v>
      </c>
      <c r="X292" s="1" t="s">
        <v>1116</v>
      </c>
      <c r="Y292" s="1" t="s">
        <v>1117</v>
      </c>
      <c r="Z292" s="1" t="s">
        <v>74</v>
      </c>
      <c r="AA292" s="1" t="s">
        <v>1118</v>
      </c>
      <c r="AB292" s="1" t="s">
        <v>1119</v>
      </c>
      <c r="AC292" s="1" t="s">
        <v>74</v>
      </c>
      <c r="AD292" s="1" t="s">
        <v>74</v>
      </c>
      <c r="AE292" s="1" t="s">
        <v>74</v>
      </c>
      <c r="AF292" s="1" t="s">
        <v>74</v>
      </c>
      <c r="AG292" s="1">
        <v>101</v>
      </c>
      <c r="AH292" s="1">
        <v>548</v>
      </c>
      <c r="AI292" s="1">
        <v>561</v>
      </c>
      <c r="AJ292" s="1">
        <v>86</v>
      </c>
      <c r="AK292" s="1">
        <v>499</v>
      </c>
      <c r="AL292" s="1" t="s">
        <v>206</v>
      </c>
      <c r="AM292" s="1" t="s">
        <v>207</v>
      </c>
      <c r="AN292" s="1" t="s">
        <v>208</v>
      </c>
      <c r="AO292" s="1" t="s">
        <v>1120</v>
      </c>
      <c r="AP292" s="1" t="s">
        <v>1121</v>
      </c>
      <c r="AQ292" s="1" t="s">
        <v>74</v>
      </c>
      <c r="AR292" s="1" t="s">
        <v>1122</v>
      </c>
      <c r="AS292" s="1" t="s">
        <v>1123</v>
      </c>
      <c r="AT292" s="1" t="s">
        <v>517</v>
      </c>
      <c r="AU292" s="1">
        <v>2016</v>
      </c>
      <c r="AV292" s="1">
        <v>54</v>
      </c>
      <c r="AW292" s="1">
        <v>4</v>
      </c>
      <c r="AX292" s="1" t="s">
        <v>74</v>
      </c>
      <c r="AY292" s="1" t="s">
        <v>74</v>
      </c>
      <c r="AZ292" s="1" t="s">
        <v>74</v>
      </c>
      <c r="BA292" s="1" t="s">
        <v>74</v>
      </c>
      <c r="BB292" s="1">
        <v>1187</v>
      </c>
      <c r="BC292" s="1">
        <v>1230</v>
      </c>
      <c r="BD292" s="1" t="s">
        <v>74</v>
      </c>
      <c r="BE292" s="1" t="s">
        <v>1124</v>
      </c>
      <c r="BF292" s="1" t="str">
        <f>HYPERLINK("http://dx.doi.org/10.1111/1475-679X.12123","http://dx.doi.org/10.1111/1475-679X.12123")</f>
        <v>http://dx.doi.org/10.1111/1475-679X.12123</v>
      </c>
      <c r="BG292" s="1" t="s">
        <v>74</v>
      </c>
      <c r="BH292" s="1" t="s">
        <v>74</v>
      </c>
      <c r="BI292" s="1">
        <v>44</v>
      </c>
      <c r="BJ292" s="1" t="s">
        <v>1125</v>
      </c>
      <c r="BK292" s="1" t="s">
        <v>101</v>
      </c>
      <c r="BL292" s="1" t="s">
        <v>154</v>
      </c>
      <c r="BM292" s="1" t="s">
        <v>1126</v>
      </c>
      <c r="BN292" s="1" t="s">
        <v>74</v>
      </c>
      <c r="BO292" s="1" t="s">
        <v>74</v>
      </c>
      <c r="BP292" s="1" t="s">
        <v>218</v>
      </c>
      <c r="BQ292" s="1" t="s">
        <v>219</v>
      </c>
      <c r="BR292" s="1" t="s">
        <v>104</v>
      </c>
      <c r="BS292" s="1" t="s">
        <v>1127</v>
      </c>
      <c r="BT292" s="1" t="str">
        <f>HYPERLINK("https%3A%2F%2Fwww.webofscience.com%2Fwos%2Fwoscc%2Ffull-record%2FWOS:000380964000007","View Full Record in Web of Science")</f>
        <v>View Full Record in Web of Science</v>
      </c>
      <c r="BU292" s="1" t="s">
        <v>2040</v>
      </c>
      <c r="BV292" s="1" t="s">
        <v>10653</v>
      </c>
    </row>
    <row r="293" spans="1:75" ht="348" x14ac:dyDescent="0.35">
      <c r="A293" s="1" t="s">
        <v>72</v>
      </c>
      <c r="B293" s="1" t="s">
        <v>1167</v>
      </c>
      <c r="C293" s="1" t="s">
        <v>74</v>
      </c>
      <c r="D293" s="1" t="s">
        <v>74</v>
      </c>
      <c r="E293" s="1" t="s">
        <v>74</v>
      </c>
      <c r="F293" s="1" t="s">
        <v>1168</v>
      </c>
      <c r="G293" s="1" t="s">
        <v>74</v>
      </c>
      <c r="H293" s="1" t="s">
        <v>74</v>
      </c>
      <c r="I293" s="1" t="s">
        <v>1169</v>
      </c>
      <c r="J293" s="1" t="s">
        <v>1170</v>
      </c>
      <c r="K293" s="1" t="s">
        <v>74</v>
      </c>
      <c r="L293" s="1" t="s">
        <v>74</v>
      </c>
      <c r="M293" s="1" t="s">
        <v>78</v>
      </c>
      <c r="N293" s="1" t="s">
        <v>79</v>
      </c>
      <c r="O293" s="1" t="s">
        <v>74</v>
      </c>
      <c r="P293" s="1" t="s">
        <v>74</v>
      </c>
      <c r="Q293" s="1" t="s">
        <v>74</v>
      </c>
      <c r="R293" s="1" t="s">
        <v>74</v>
      </c>
      <c r="S293" s="1" t="s">
        <v>74</v>
      </c>
      <c r="T293" s="1" t="s">
        <v>1171</v>
      </c>
      <c r="U293" s="1" t="s">
        <v>1172</v>
      </c>
      <c r="V293" s="1" t="s">
        <v>1173</v>
      </c>
      <c r="W293" s="1" t="s">
        <v>1174</v>
      </c>
      <c r="X293" s="1" t="s">
        <v>1175</v>
      </c>
      <c r="Y293" s="1" t="s">
        <v>1176</v>
      </c>
      <c r="Z293" s="1" t="s">
        <v>1177</v>
      </c>
      <c r="AA293" s="1" t="s">
        <v>1178</v>
      </c>
      <c r="AB293" s="1" t="s">
        <v>1179</v>
      </c>
      <c r="AC293" s="1" t="s">
        <v>74</v>
      </c>
      <c r="AD293" s="1" t="s">
        <v>74</v>
      </c>
      <c r="AE293" s="1" t="s">
        <v>74</v>
      </c>
      <c r="AF293" s="1" t="s">
        <v>74</v>
      </c>
      <c r="AG293" s="1">
        <v>81</v>
      </c>
      <c r="AH293" s="1">
        <v>24</v>
      </c>
      <c r="AI293" s="1">
        <v>24</v>
      </c>
      <c r="AJ293" s="1">
        <v>7</v>
      </c>
      <c r="AK293" s="1">
        <v>49</v>
      </c>
      <c r="AL293" s="1" t="s">
        <v>1180</v>
      </c>
      <c r="AM293" s="1" t="s">
        <v>1181</v>
      </c>
      <c r="AN293" s="1" t="s">
        <v>1182</v>
      </c>
      <c r="AO293" s="1" t="s">
        <v>1183</v>
      </c>
      <c r="AP293" s="1" t="s">
        <v>1184</v>
      </c>
      <c r="AQ293" s="1" t="s">
        <v>74</v>
      </c>
      <c r="AR293" s="1" t="s">
        <v>1185</v>
      </c>
      <c r="AS293" s="1" t="s">
        <v>1186</v>
      </c>
      <c r="AT293" s="1" t="s">
        <v>74</v>
      </c>
      <c r="AU293" s="1">
        <v>2016</v>
      </c>
      <c r="AV293" s="1">
        <v>33</v>
      </c>
      <c r="AW293" s="1">
        <v>2</v>
      </c>
      <c r="AX293" s="1" t="s">
        <v>74</v>
      </c>
      <c r="AY293" s="1" t="s">
        <v>74</v>
      </c>
      <c r="AZ293" s="1" t="s">
        <v>259</v>
      </c>
      <c r="BA293" s="1" t="s">
        <v>74</v>
      </c>
      <c r="BB293" s="1">
        <v>511</v>
      </c>
      <c r="BC293" s="1">
        <v>541</v>
      </c>
      <c r="BD293" s="1" t="s">
        <v>74</v>
      </c>
      <c r="BE293" s="1" t="s">
        <v>1187</v>
      </c>
      <c r="BF293" s="1" t="str">
        <f>HYPERLINK("http://dx.doi.org/10.1080/07421222.2016.1205927","http://dx.doi.org/10.1080/07421222.2016.1205927")</f>
        <v>http://dx.doi.org/10.1080/07421222.2016.1205927</v>
      </c>
      <c r="BG293" s="1" t="s">
        <v>74</v>
      </c>
      <c r="BH293" s="1" t="s">
        <v>74</v>
      </c>
      <c r="BI293" s="1">
        <v>31</v>
      </c>
      <c r="BJ293" s="1" t="s">
        <v>1162</v>
      </c>
      <c r="BK293" s="1" t="s">
        <v>520</v>
      </c>
      <c r="BL293" s="1" t="s">
        <v>1163</v>
      </c>
      <c r="BM293" s="1" t="s">
        <v>1188</v>
      </c>
      <c r="BN293" s="1" t="s">
        <v>74</v>
      </c>
      <c r="BO293" s="1" t="s">
        <v>1189</v>
      </c>
      <c r="BP293" s="1" t="s">
        <v>74</v>
      </c>
      <c r="BQ293" s="1" t="s">
        <v>74</v>
      </c>
      <c r="BR293" s="1" t="s">
        <v>104</v>
      </c>
      <c r="BS293" s="1" t="s">
        <v>1190</v>
      </c>
      <c r="BT293" s="1" t="str">
        <f>HYPERLINK("https%3A%2F%2Fwww.webofscience.com%2Fwos%2Fwoscc%2Ffull-record%2FWOS:000387222400008","View Full Record in Web of Science")</f>
        <v>View Full Record in Web of Science</v>
      </c>
      <c r="BU293" s="1" t="s">
        <v>2040</v>
      </c>
      <c r="BV293" s="1" t="s">
        <v>10653</v>
      </c>
    </row>
    <row r="294" spans="1:75" ht="275.5" x14ac:dyDescent="0.35">
      <c r="A294" s="1" t="s">
        <v>72</v>
      </c>
      <c r="B294" s="1" t="s">
        <v>1589</v>
      </c>
      <c r="C294" s="1" t="s">
        <v>74</v>
      </c>
      <c r="D294" s="1" t="s">
        <v>74</v>
      </c>
      <c r="E294" s="1" t="s">
        <v>74</v>
      </c>
      <c r="F294" s="1" t="s">
        <v>1590</v>
      </c>
      <c r="G294" s="1" t="s">
        <v>74</v>
      </c>
      <c r="H294" s="1" t="s">
        <v>74</v>
      </c>
      <c r="I294" s="1" t="s">
        <v>1591</v>
      </c>
      <c r="J294" s="1" t="s">
        <v>1592</v>
      </c>
      <c r="K294" s="1" t="s">
        <v>74</v>
      </c>
      <c r="L294" s="1" t="s">
        <v>74</v>
      </c>
      <c r="M294" s="1" t="s">
        <v>78</v>
      </c>
      <c r="N294" s="1" t="s">
        <v>79</v>
      </c>
      <c r="O294" s="1" t="s">
        <v>74</v>
      </c>
      <c r="P294" s="1" t="s">
        <v>74</v>
      </c>
      <c r="Q294" s="1" t="s">
        <v>74</v>
      </c>
      <c r="R294" s="1" t="s">
        <v>74</v>
      </c>
      <c r="S294" s="1" t="s">
        <v>74</v>
      </c>
      <c r="T294" s="1" t="s">
        <v>1593</v>
      </c>
      <c r="U294" s="1" t="s">
        <v>74</v>
      </c>
      <c r="V294" s="1" t="s">
        <v>1594</v>
      </c>
      <c r="W294" s="1" t="s">
        <v>1595</v>
      </c>
      <c r="X294" s="1" t="s">
        <v>1596</v>
      </c>
      <c r="Y294" s="1" t="s">
        <v>1597</v>
      </c>
      <c r="Z294" s="1" t="s">
        <v>1598</v>
      </c>
      <c r="AA294" s="1" t="s">
        <v>1599</v>
      </c>
      <c r="AB294" s="1" t="s">
        <v>1600</v>
      </c>
      <c r="AC294" s="1" t="s">
        <v>1601</v>
      </c>
      <c r="AD294" s="1" t="s">
        <v>1602</v>
      </c>
      <c r="AE294" s="1" t="s">
        <v>1603</v>
      </c>
      <c r="AF294" s="1" t="s">
        <v>74</v>
      </c>
      <c r="AG294" s="1">
        <v>36</v>
      </c>
      <c r="AH294" s="1">
        <v>111</v>
      </c>
      <c r="AI294" s="1">
        <v>114</v>
      </c>
      <c r="AJ294" s="1">
        <v>3</v>
      </c>
      <c r="AK294" s="1">
        <v>32</v>
      </c>
      <c r="AL294" s="1" t="s">
        <v>820</v>
      </c>
      <c r="AM294" s="1" t="s">
        <v>325</v>
      </c>
      <c r="AN294" s="1" t="s">
        <v>1604</v>
      </c>
      <c r="AO294" s="1" t="s">
        <v>74</v>
      </c>
      <c r="AP294" s="1" t="s">
        <v>1605</v>
      </c>
      <c r="AQ294" s="1" t="s">
        <v>74</v>
      </c>
      <c r="AR294" s="1" t="s">
        <v>1606</v>
      </c>
      <c r="AS294" s="1" t="s">
        <v>1607</v>
      </c>
      <c r="AT294" s="1" t="s">
        <v>1608</v>
      </c>
      <c r="AU294" s="1">
        <v>2016</v>
      </c>
      <c r="AV294" s="1">
        <v>5</v>
      </c>
      <c r="AW294" s="1" t="s">
        <v>74</v>
      </c>
      <c r="AX294" s="1" t="s">
        <v>74</v>
      </c>
      <c r="AY294" s="1" t="s">
        <v>74</v>
      </c>
      <c r="AZ294" s="1" t="s">
        <v>74</v>
      </c>
      <c r="BA294" s="1" t="s">
        <v>74</v>
      </c>
      <c r="BB294" s="1" t="s">
        <v>74</v>
      </c>
      <c r="BC294" s="1" t="s">
        <v>74</v>
      </c>
      <c r="BD294" s="1">
        <v>31</v>
      </c>
      <c r="BE294" s="1" t="s">
        <v>1609</v>
      </c>
      <c r="BF294" s="1" t="str">
        <f>HYPERLINK("http://dx.doi.org/10.1140/epjds/s13688-016-0093-1","http://dx.doi.org/10.1140/epjds/s13688-016-0093-1")</f>
        <v>http://dx.doi.org/10.1140/epjds/s13688-016-0093-1</v>
      </c>
      <c r="BG294" s="1" t="s">
        <v>74</v>
      </c>
      <c r="BH294" s="1" t="s">
        <v>74</v>
      </c>
      <c r="BI294" s="1">
        <v>12</v>
      </c>
      <c r="BJ294" s="1" t="s">
        <v>1610</v>
      </c>
      <c r="BK294" s="1" t="s">
        <v>520</v>
      </c>
      <c r="BL294" s="1" t="s">
        <v>1611</v>
      </c>
      <c r="BM294" s="1" t="s">
        <v>1612</v>
      </c>
      <c r="BN294" s="1" t="s">
        <v>74</v>
      </c>
      <c r="BO294" s="1" t="s">
        <v>1613</v>
      </c>
      <c r="BP294" s="1" t="s">
        <v>74</v>
      </c>
      <c r="BQ294" s="1" t="s">
        <v>74</v>
      </c>
      <c r="BR294" s="1" t="s">
        <v>104</v>
      </c>
      <c r="BS294" s="1" t="s">
        <v>1614</v>
      </c>
      <c r="BT294" s="1" t="str">
        <f>HYPERLINK("https%3A%2F%2Fwww.webofscience.com%2Fwos%2Fwoscc%2Ffull-record%2FWOS:000386974500001","View Full Record in Web of Science")</f>
        <v>View Full Record in Web of Science</v>
      </c>
      <c r="BU294" s="1" t="s">
        <v>2040</v>
      </c>
      <c r="BV294" s="1" t="s">
        <v>10653</v>
      </c>
    </row>
    <row r="295" spans="1:75" ht="275.5" x14ac:dyDescent="0.35">
      <c r="A295" s="1" t="s">
        <v>72</v>
      </c>
      <c r="B295" s="1" t="s">
        <v>978</v>
      </c>
      <c r="C295" s="1" t="s">
        <v>74</v>
      </c>
      <c r="D295" s="1" t="s">
        <v>74</v>
      </c>
      <c r="E295" s="1" t="s">
        <v>74</v>
      </c>
      <c r="F295" s="1" t="s">
        <v>979</v>
      </c>
      <c r="G295" s="1" t="s">
        <v>74</v>
      </c>
      <c r="H295" s="1" t="s">
        <v>74</v>
      </c>
      <c r="I295" s="1" t="s">
        <v>980</v>
      </c>
      <c r="J295" s="1" t="s">
        <v>981</v>
      </c>
      <c r="K295" s="1" t="s">
        <v>74</v>
      </c>
      <c r="L295" s="1" t="s">
        <v>74</v>
      </c>
      <c r="M295" s="1" t="s">
        <v>78</v>
      </c>
      <c r="N295" s="1" t="s">
        <v>79</v>
      </c>
      <c r="O295" s="1" t="s">
        <v>74</v>
      </c>
      <c r="P295" s="1" t="s">
        <v>74</v>
      </c>
      <c r="Q295" s="1" t="s">
        <v>74</v>
      </c>
      <c r="R295" s="1" t="s">
        <v>74</v>
      </c>
      <c r="S295" s="1" t="s">
        <v>74</v>
      </c>
      <c r="T295" s="1" t="s">
        <v>982</v>
      </c>
      <c r="U295" s="1" t="s">
        <v>983</v>
      </c>
      <c r="V295" s="1" t="s">
        <v>984</v>
      </c>
      <c r="W295" s="1" t="s">
        <v>985</v>
      </c>
      <c r="X295" s="1" t="s">
        <v>986</v>
      </c>
      <c r="Y295" s="1" t="s">
        <v>987</v>
      </c>
      <c r="Z295" s="1" t="s">
        <v>988</v>
      </c>
      <c r="AA295" s="1" t="s">
        <v>989</v>
      </c>
      <c r="AB295" s="1" t="s">
        <v>990</v>
      </c>
      <c r="AC295" s="1" t="s">
        <v>991</v>
      </c>
      <c r="AD295" s="1" t="s">
        <v>992</v>
      </c>
      <c r="AE295" s="1" t="s">
        <v>993</v>
      </c>
      <c r="AF295" s="1" t="s">
        <v>74</v>
      </c>
      <c r="AG295" s="1">
        <v>122</v>
      </c>
      <c r="AH295" s="1">
        <v>100</v>
      </c>
      <c r="AI295" s="1">
        <v>102</v>
      </c>
      <c r="AJ295" s="1">
        <v>3</v>
      </c>
      <c r="AK295" s="1">
        <v>68</v>
      </c>
      <c r="AL295" s="1" t="s">
        <v>91</v>
      </c>
      <c r="AM295" s="1" t="s">
        <v>92</v>
      </c>
      <c r="AN295" s="1" t="s">
        <v>93</v>
      </c>
      <c r="AO295" s="1" t="s">
        <v>994</v>
      </c>
      <c r="AP295" s="1" t="s">
        <v>995</v>
      </c>
      <c r="AQ295" s="1" t="s">
        <v>74</v>
      </c>
      <c r="AR295" s="1" t="s">
        <v>996</v>
      </c>
      <c r="AS295" s="1" t="s">
        <v>997</v>
      </c>
      <c r="AT295" s="1" t="s">
        <v>348</v>
      </c>
      <c r="AU295" s="1">
        <v>2016</v>
      </c>
      <c r="AV295" s="1">
        <v>21</v>
      </c>
      <c r="AW295" s="1">
        <v>4</v>
      </c>
      <c r="AX295" s="1" t="s">
        <v>74</v>
      </c>
      <c r="AY295" s="1" t="s">
        <v>74</v>
      </c>
      <c r="AZ295" s="1" t="s">
        <v>259</v>
      </c>
      <c r="BA295" s="1" t="s">
        <v>74</v>
      </c>
      <c r="BB295" s="1">
        <v>507</v>
      </c>
      <c r="BC295" s="1">
        <v>525</v>
      </c>
      <c r="BD295" s="1" t="s">
        <v>74</v>
      </c>
      <c r="BE295" s="1" t="s">
        <v>998</v>
      </c>
      <c r="BF295" s="1" t="str">
        <f>HYPERLINK("http://dx.doi.org/10.1037/met0000091","http://dx.doi.org/10.1037/met0000091")</f>
        <v>http://dx.doi.org/10.1037/met0000091</v>
      </c>
      <c r="BG295" s="1" t="s">
        <v>74</v>
      </c>
      <c r="BH295" s="1" t="s">
        <v>74</v>
      </c>
      <c r="BI295" s="1">
        <v>19</v>
      </c>
      <c r="BJ295" s="1" t="s">
        <v>311</v>
      </c>
      <c r="BK295" s="1" t="s">
        <v>101</v>
      </c>
      <c r="BL295" s="1" t="s">
        <v>102</v>
      </c>
      <c r="BM295" s="1" t="s">
        <v>999</v>
      </c>
      <c r="BN295" s="1">
        <v>27505683</v>
      </c>
      <c r="BO295" s="1" t="s">
        <v>74</v>
      </c>
      <c r="BP295" s="1" t="s">
        <v>74</v>
      </c>
      <c r="BQ295" s="1" t="s">
        <v>74</v>
      </c>
      <c r="BR295" s="1" t="s">
        <v>104</v>
      </c>
      <c r="BS295" s="1" t="s">
        <v>1000</v>
      </c>
      <c r="BT295" s="1" t="str">
        <f>HYPERLINK("https%3A%2F%2Fwww.webofscience.com%2Fwos%2Fwoscc%2Ffull-record%2FWOS:000393202300005","View Full Record in Web of Science")</f>
        <v>View Full Record in Web of Science</v>
      </c>
      <c r="BU295" s="1" t="s">
        <v>3776</v>
      </c>
      <c r="BV295" s="1" t="s">
        <v>10653</v>
      </c>
    </row>
    <row r="296" spans="1:75" ht="246.5" x14ac:dyDescent="0.35">
      <c r="A296" s="1" t="s">
        <v>72</v>
      </c>
      <c r="B296" s="1" t="s">
        <v>433</v>
      </c>
      <c r="C296" s="1" t="s">
        <v>74</v>
      </c>
      <c r="D296" s="1" t="s">
        <v>74</v>
      </c>
      <c r="E296" s="1" t="s">
        <v>74</v>
      </c>
      <c r="F296" s="1" t="s">
        <v>434</v>
      </c>
      <c r="G296" s="1" t="s">
        <v>74</v>
      </c>
      <c r="H296" s="1" t="s">
        <v>74</v>
      </c>
      <c r="I296" s="1" t="s">
        <v>435</v>
      </c>
      <c r="J296" s="1" t="s">
        <v>436</v>
      </c>
      <c r="K296" s="1" t="s">
        <v>74</v>
      </c>
      <c r="L296" s="1" t="s">
        <v>74</v>
      </c>
      <c r="M296" s="1" t="s">
        <v>78</v>
      </c>
      <c r="N296" s="1" t="s">
        <v>79</v>
      </c>
      <c r="O296" s="1" t="s">
        <v>74</v>
      </c>
      <c r="P296" s="1" t="s">
        <v>74</v>
      </c>
      <c r="Q296" s="1" t="s">
        <v>74</v>
      </c>
      <c r="R296" s="1" t="s">
        <v>74</v>
      </c>
      <c r="S296" s="1" t="s">
        <v>74</v>
      </c>
      <c r="T296" s="1" t="s">
        <v>437</v>
      </c>
      <c r="U296" s="1" t="s">
        <v>438</v>
      </c>
      <c r="V296" s="1" t="s">
        <v>439</v>
      </c>
      <c r="W296" s="1" t="s">
        <v>440</v>
      </c>
      <c r="X296" s="1" t="s">
        <v>441</v>
      </c>
      <c r="Y296" s="1" t="s">
        <v>442</v>
      </c>
      <c r="Z296" s="1" t="s">
        <v>443</v>
      </c>
      <c r="AA296" s="1" t="s">
        <v>444</v>
      </c>
      <c r="AB296" s="1" t="s">
        <v>445</v>
      </c>
      <c r="AC296" s="1" t="s">
        <v>74</v>
      </c>
      <c r="AD296" s="1" t="s">
        <v>74</v>
      </c>
      <c r="AE296" s="1" t="s">
        <v>74</v>
      </c>
      <c r="AF296" s="1" t="s">
        <v>74</v>
      </c>
      <c r="AG296" s="1">
        <v>34</v>
      </c>
      <c r="AH296" s="1">
        <v>140</v>
      </c>
      <c r="AI296" s="1">
        <v>141</v>
      </c>
      <c r="AJ296" s="1">
        <v>26</v>
      </c>
      <c r="AK296" s="1">
        <v>204</v>
      </c>
      <c r="AL296" s="1" t="s">
        <v>446</v>
      </c>
      <c r="AM296" s="1" t="s">
        <v>447</v>
      </c>
      <c r="AN296" s="1" t="s">
        <v>448</v>
      </c>
      <c r="AO296" s="1" t="s">
        <v>449</v>
      </c>
      <c r="AP296" s="1" t="s">
        <v>450</v>
      </c>
      <c r="AQ296" s="1" t="s">
        <v>74</v>
      </c>
      <c r="AR296" s="1" t="s">
        <v>451</v>
      </c>
      <c r="AS296" s="1" t="s">
        <v>452</v>
      </c>
      <c r="AT296" s="1" t="s">
        <v>453</v>
      </c>
      <c r="AU296" s="1">
        <v>2016</v>
      </c>
      <c r="AV296" s="1">
        <v>35</v>
      </c>
      <c r="AW296" s="1">
        <v>6</v>
      </c>
      <c r="AX296" s="1" t="s">
        <v>74</v>
      </c>
      <c r="AY296" s="1" t="s">
        <v>74</v>
      </c>
      <c r="AZ296" s="1" t="s">
        <v>74</v>
      </c>
      <c r="BA296" s="1" t="s">
        <v>74</v>
      </c>
      <c r="BB296" s="1">
        <v>953</v>
      </c>
      <c r="BC296" s="1">
        <v>975</v>
      </c>
      <c r="BD296" s="1" t="s">
        <v>74</v>
      </c>
      <c r="BE296" s="1" t="s">
        <v>454</v>
      </c>
      <c r="BF296" s="1" t="str">
        <f>HYPERLINK("http://dx.doi.org/10.1287/mksc.2016.0993","http://dx.doi.org/10.1287/mksc.2016.0993")</f>
        <v>http://dx.doi.org/10.1287/mksc.2016.0993</v>
      </c>
      <c r="BG296" s="1" t="s">
        <v>74</v>
      </c>
      <c r="BH296" s="1" t="s">
        <v>74</v>
      </c>
      <c r="BI296" s="1">
        <v>23</v>
      </c>
      <c r="BJ296" s="1" t="s">
        <v>153</v>
      </c>
      <c r="BK296" s="1" t="s">
        <v>101</v>
      </c>
      <c r="BL296" s="1" t="s">
        <v>154</v>
      </c>
      <c r="BM296" s="1" t="s">
        <v>455</v>
      </c>
      <c r="BN296" s="1" t="s">
        <v>74</v>
      </c>
      <c r="BO296" s="1" t="s">
        <v>74</v>
      </c>
      <c r="BP296" s="1" t="s">
        <v>74</v>
      </c>
      <c r="BQ296" s="1" t="s">
        <v>74</v>
      </c>
      <c r="BR296" s="1" t="s">
        <v>104</v>
      </c>
      <c r="BS296" s="1" t="s">
        <v>456</v>
      </c>
      <c r="BT296" s="1" t="str">
        <f>HYPERLINK("https%3A%2F%2Fwww.webofscience.com%2Fwos%2Fwoscc%2Ffull-record%2FWOS:000388701900007","View Full Record in Web of Science")</f>
        <v>View Full Record in Web of Science</v>
      </c>
      <c r="BU296" s="1" t="s">
        <v>3776</v>
      </c>
      <c r="BV296" s="1" t="s">
        <v>6080</v>
      </c>
      <c r="BW296" s="1" t="s">
        <v>6080</v>
      </c>
    </row>
    <row r="297" spans="1:75" ht="333.5" x14ac:dyDescent="0.35">
      <c r="A297" s="1" t="s">
        <v>72</v>
      </c>
      <c r="B297" s="1" t="s">
        <v>2137</v>
      </c>
      <c r="C297" s="1" t="s">
        <v>74</v>
      </c>
      <c r="D297" s="1" t="s">
        <v>74</v>
      </c>
      <c r="E297" s="1" t="s">
        <v>74</v>
      </c>
      <c r="F297" s="1" t="s">
        <v>2138</v>
      </c>
      <c r="G297" s="1" t="s">
        <v>74</v>
      </c>
      <c r="H297" s="1" t="s">
        <v>74</v>
      </c>
      <c r="I297" s="1" t="s">
        <v>2139</v>
      </c>
      <c r="J297" s="1" t="s">
        <v>1769</v>
      </c>
      <c r="K297" s="1" t="s">
        <v>74</v>
      </c>
      <c r="L297" s="1" t="s">
        <v>74</v>
      </c>
      <c r="M297" s="1" t="s">
        <v>78</v>
      </c>
      <c r="N297" s="1" t="s">
        <v>79</v>
      </c>
      <c r="O297" s="1" t="s">
        <v>74</v>
      </c>
      <c r="P297" s="1" t="s">
        <v>74</v>
      </c>
      <c r="Q297" s="1" t="s">
        <v>74</v>
      </c>
      <c r="R297" s="1" t="s">
        <v>74</v>
      </c>
      <c r="S297" s="1" t="s">
        <v>74</v>
      </c>
      <c r="T297" s="1" t="s">
        <v>2140</v>
      </c>
      <c r="U297" s="1" t="s">
        <v>2141</v>
      </c>
      <c r="V297" s="1" t="s">
        <v>2142</v>
      </c>
      <c r="W297" s="1" t="s">
        <v>2143</v>
      </c>
      <c r="X297" s="1" t="s">
        <v>321</v>
      </c>
      <c r="Y297" s="1" t="s">
        <v>2144</v>
      </c>
      <c r="Z297" s="1" t="s">
        <v>2145</v>
      </c>
      <c r="AA297" s="1" t="s">
        <v>2146</v>
      </c>
      <c r="AB297" s="1" t="s">
        <v>2147</v>
      </c>
      <c r="AC297" s="1" t="s">
        <v>2148</v>
      </c>
      <c r="AD297" s="1" t="s">
        <v>2149</v>
      </c>
      <c r="AE297" s="1" t="s">
        <v>2150</v>
      </c>
      <c r="AF297" s="1" t="s">
        <v>74</v>
      </c>
      <c r="AG297" s="1">
        <v>29</v>
      </c>
      <c r="AH297" s="1">
        <v>46</v>
      </c>
      <c r="AI297" s="1">
        <v>46</v>
      </c>
      <c r="AJ297" s="1">
        <v>0</v>
      </c>
      <c r="AK297" s="1">
        <v>8</v>
      </c>
      <c r="AL297" s="1" t="s">
        <v>144</v>
      </c>
      <c r="AM297" s="1" t="s">
        <v>145</v>
      </c>
      <c r="AN297" s="1" t="s">
        <v>146</v>
      </c>
      <c r="AO297" s="1" t="s">
        <v>1775</v>
      </c>
      <c r="AP297" s="1" t="s">
        <v>1776</v>
      </c>
      <c r="AQ297" s="1" t="s">
        <v>74</v>
      </c>
      <c r="AR297" s="1" t="s">
        <v>1777</v>
      </c>
      <c r="AS297" s="1" t="s">
        <v>1778</v>
      </c>
      <c r="AT297" s="1" t="s">
        <v>517</v>
      </c>
      <c r="AU297" s="1">
        <v>2016</v>
      </c>
      <c r="AV297" s="1">
        <v>35</v>
      </c>
      <c r="AW297" s="1">
        <v>4</v>
      </c>
      <c r="AX297" s="1" t="s">
        <v>74</v>
      </c>
      <c r="AY297" s="1" t="s">
        <v>74</v>
      </c>
      <c r="AZ297" s="1" t="s">
        <v>74</v>
      </c>
      <c r="BA297" s="1" t="s">
        <v>74</v>
      </c>
      <c r="BB297" s="1">
        <v>435</v>
      </c>
      <c r="BC297" s="1">
        <v>445</v>
      </c>
      <c r="BD297" s="1" t="s">
        <v>74</v>
      </c>
      <c r="BE297" s="1" t="s">
        <v>2151</v>
      </c>
      <c r="BF297" s="1" t="str">
        <f>HYPERLINK("http://dx.doi.org/10.1177/0261927X15614605","http://dx.doi.org/10.1177/0261927X15614605")</f>
        <v>http://dx.doi.org/10.1177/0261927X15614605</v>
      </c>
      <c r="BG297" s="1" t="s">
        <v>74</v>
      </c>
      <c r="BH297" s="1" t="s">
        <v>74</v>
      </c>
      <c r="BI297" s="1">
        <v>11</v>
      </c>
      <c r="BJ297" s="1" t="s">
        <v>1780</v>
      </c>
      <c r="BK297" s="1" t="s">
        <v>101</v>
      </c>
      <c r="BL297" s="1" t="s">
        <v>1781</v>
      </c>
      <c r="BM297" s="1" t="s">
        <v>2152</v>
      </c>
      <c r="BN297" s="1" t="s">
        <v>74</v>
      </c>
      <c r="BO297" s="1" t="s">
        <v>74</v>
      </c>
      <c r="BP297" s="1" t="s">
        <v>74</v>
      </c>
      <c r="BQ297" s="1" t="s">
        <v>74</v>
      </c>
      <c r="BR297" s="1" t="s">
        <v>104</v>
      </c>
      <c r="BS297" s="1" t="s">
        <v>2153</v>
      </c>
      <c r="BT297" s="1" t="str">
        <f>HYPERLINK("https%3A%2F%2Fwww.webofscience.com%2Fwos%2Fwoscc%2Ffull-record%2FWOS:000382590300005","View Full Record in Web of Science")</f>
        <v>View Full Record in Web of Science</v>
      </c>
      <c r="BU297" s="1" t="s">
        <v>3776</v>
      </c>
      <c r="BV297" s="1" t="s">
        <v>10653</v>
      </c>
    </row>
    <row r="298" spans="1:75" ht="333.5" x14ac:dyDescent="0.35">
      <c r="A298" s="1" t="s">
        <v>72</v>
      </c>
      <c r="B298" s="1" t="s">
        <v>2154</v>
      </c>
      <c r="C298" s="1" t="s">
        <v>74</v>
      </c>
      <c r="D298" s="1" t="s">
        <v>74</v>
      </c>
      <c r="E298" s="1" t="s">
        <v>74</v>
      </c>
      <c r="F298" s="1" t="s">
        <v>2155</v>
      </c>
      <c r="G298" s="1" t="s">
        <v>74</v>
      </c>
      <c r="H298" s="1" t="s">
        <v>74</v>
      </c>
      <c r="I298" s="1" t="s">
        <v>2156</v>
      </c>
      <c r="J298" s="1" t="s">
        <v>2157</v>
      </c>
      <c r="K298" s="1" t="s">
        <v>74</v>
      </c>
      <c r="L298" s="1" t="s">
        <v>74</v>
      </c>
      <c r="M298" s="1" t="s">
        <v>78</v>
      </c>
      <c r="N298" s="1" t="s">
        <v>79</v>
      </c>
      <c r="O298" s="1" t="s">
        <v>74</v>
      </c>
      <c r="P298" s="1" t="s">
        <v>74</v>
      </c>
      <c r="Q298" s="1" t="s">
        <v>74</v>
      </c>
      <c r="R298" s="1" t="s">
        <v>74</v>
      </c>
      <c r="S298" s="1" t="s">
        <v>74</v>
      </c>
      <c r="T298" s="1" t="s">
        <v>2158</v>
      </c>
      <c r="U298" s="1" t="s">
        <v>2159</v>
      </c>
      <c r="V298" s="1" t="s">
        <v>2160</v>
      </c>
      <c r="W298" s="1" t="s">
        <v>2161</v>
      </c>
      <c r="X298" s="1" t="s">
        <v>2162</v>
      </c>
      <c r="Y298" s="1" t="s">
        <v>2163</v>
      </c>
      <c r="Z298" s="1" t="s">
        <v>2164</v>
      </c>
      <c r="AA298" s="1" t="s">
        <v>2165</v>
      </c>
      <c r="AB298" s="1" t="s">
        <v>2166</v>
      </c>
      <c r="AC298" s="1" t="s">
        <v>74</v>
      </c>
      <c r="AD298" s="1" t="s">
        <v>74</v>
      </c>
      <c r="AE298" s="1" t="s">
        <v>74</v>
      </c>
      <c r="AF298" s="1" t="s">
        <v>74</v>
      </c>
      <c r="AG298" s="1">
        <v>40</v>
      </c>
      <c r="AH298" s="1">
        <v>63</v>
      </c>
      <c r="AI298" s="1">
        <v>65</v>
      </c>
      <c r="AJ298" s="1">
        <v>7</v>
      </c>
      <c r="AK298" s="1">
        <v>59</v>
      </c>
      <c r="AL298" s="1" t="s">
        <v>446</v>
      </c>
      <c r="AM298" s="1" t="s">
        <v>447</v>
      </c>
      <c r="AN298" s="1" t="s">
        <v>448</v>
      </c>
      <c r="AO298" s="1" t="s">
        <v>2167</v>
      </c>
      <c r="AP298" s="1" t="s">
        <v>2168</v>
      </c>
      <c r="AQ298" s="1" t="s">
        <v>74</v>
      </c>
      <c r="AR298" s="1" t="s">
        <v>2169</v>
      </c>
      <c r="AS298" s="1" t="s">
        <v>2170</v>
      </c>
      <c r="AT298" s="1" t="s">
        <v>151</v>
      </c>
      <c r="AU298" s="1">
        <v>2016</v>
      </c>
      <c r="AV298" s="1">
        <v>8</v>
      </c>
      <c r="AW298" s="1">
        <v>2</v>
      </c>
      <c r="AX298" s="1" t="s">
        <v>74</v>
      </c>
      <c r="AY298" s="1" t="s">
        <v>74</v>
      </c>
      <c r="AZ298" s="1" t="s">
        <v>259</v>
      </c>
      <c r="BA298" s="1" t="s">
        <v>74</v>
      </c>
      <c r="BB298" s="1">
        <v>124</v>
      </c>
      <c r="BC298" s="1">
        <v>138</v>
      </c>
      <c r="BD298" s="1" t="s">
        <v>74</v>
      </c>
      <c r="BE298" s="1" t="s">
        <v>2171</v>
      </c>
      <c r="BF298" s="1" t="str">
        <f>HYPERLINK("http://dx.doi.org/10.1287/serv.2016.0126","http://dx.doi.org/10.1287/serv.2016.0126")</f>
        <v>http://dx.doi.org/10.1287/serv.2016.0126</v>
      </c>
      <c r="BG298" s="1" t="s">
        <v>74</v>
      </c>
      <c r="BH298" s="1" t="s">
        <v>74</v>
      </c>
      <c r="BI298" s="1">
        <v>15</v>
      </c>
      <c r="BJ298" s="1" t="s">
        <v>877</v>
      </c>
      <c r="BK298" s="1" t="s">
        <v>101</v>
      </c>
      <c r="BL298" s="1" t="s">
        <v>154</v>
      </c>
      <c r="BM298" s="1" t="s">
        <v>2172</v>
      </c>
      <c r="BN298" s="1" t="s">
        <v>74</v>
      </c>
      <c r="BO298" s="1" t="s">
        <v>74</v>
      </c>
      <c r="BP298" s="1" t="s">
        <v>74</v>
      </c>
      <c r="BQ298" s="1" t="s">
        <v>74</v>
      </c>
      <c r="BR298" s="1" t="s">
        <v>104</v>
      </c>
      <c r="BS298" s="1" t="s">
        <v>2173</v>
      </c>
      <c r="BT298" s="1" t="str">
        <f>HYPERLINK("https%3A%2F%2Fwww.webofscience.com%2Fwos%2Fwoscc%2Ffull-record%2FWOS:000390565900004","View Full Record in Web of Science")</f>
        <v>View Full Record in Web of Science</v>
      </c>
      <c r="BU298" s="1" t="s">
        <v>3776</v>
      </c>
      <c r="BV298" s="1" t="s">
        <v>10653</v>
      </c>
    </row>
    <row r="299" spans="1:75" ht="333.5" x14ac:dyDescent="0.35">
      <c r="A299" s="1" t="s">
        <v>72</v>
      </c>
      <c r="B299" s="1" t="s">
        <v>181</v>
      </c>
      <c r="C299" s="1" t="s">
        <v>74</v>
      </c>
      <c r="D299" s="1" t="s">
        <v>74</v>
      </c>
      <c r="E299" s="1" t="s">
        <v>74</v>
      </c>
      <c r="F299" s="1" t="s">
        <v>182</v>
      </c>
      <c r="G299" s="1" t="s">
        <v>74</v>
      </c>
      <c r="H299" s="1" t="s">
        <v>74</v>
      </c>
      <c r="I299" s="1" t="s">
        <v>183</v>
      </c>
      <c r="J299" s="1" t="s">
        <v>161</v>
      </c>
      <c r="K299" s="1" t="s">
        <v>74</v>
      </c>
      <c r="L299" s="1" t="s">
        <v>74</v>
      </c>
      <c r="M299" s="1" t="s">
        <v>78</v>
      </c>
      <c r="N299" s="1" t="s">
        <v>79</v>
      </c>
      <c r="O299" s="1" t="s">
        <v>74</v>
      </c>
      <c r="P299" s="1" t="s">
        <v>74</v>
      </c>
      <c r="Q299" s="1" t="s">
        <v>74</v>
      </c>
      <c r="R299" s="1" t="s">
        <v>74</v>
      </c>
      <c r="S299" s="1" t="s">
        <v>74</v>
      </c>
      <c r="T299" s="1" t="s">
        <v>184</v>
      </c>
      <c r="U299" s="1" t="s">
        <v>185</v>
      </c>
      <c r="V299" s="1" t="s">
        <v>186</v>
      </c>
      <c r="W299" s="1" t="s">
        <v>187</v>
      </c>
      <c r="X299" s="1" t="s">
        <v>188</v>
      </c>
      <c r="Y299" s="1" t="s">
        <v>189</v>
      </c>
      <c r="Z299" s="1" t="s">
        <v>190</v>
      </c>
      <c r="AA299" s="1" t="s">
        <v>74</v>
      </c>
      <c r="AB299" s="1" t="s">
        <v>191</v>
      </c>
      <c r="AC299" s="1" t="s">
        <v>74</v>
      </c>
      <c r="AD299" s="1" t="s">
        <v>74</v>
      </c>
      <c r="AE299" s="1" t="s">
        <v>74</v>
      </c>
      <c r="AF299" s="1" t="s">
        <v>74</v>
      </c>
      <c r="AG299" s="1">
        <v>111</v>
      </c>
      <c r="AH299" s="1">
        <v>173</v>
      </c>
      <c r="AI299" s="1">
        <v>176</v>
      </c>
      <c r="AJ299" s="1">
        <v>12</v>
      </c>
      <c r="AK299" s="1">
        <v>162</v>
      </c>
      <c r="AL299" s="1" t="s">
        <v>170</v>
      </c>
      <c r="AM299" s="1" t="s">
        <v>171</v>
      </c>
      <c r="AN299" s="1" t="s">
        <v>172</v>
      </c>
      <c r="AO299" s="1" t="s">
        <v>173</v>
      </c>
      <c r="AP299" s="1" t="s">
        <v>174</v>
      </c>
      <c r="AQ299" s="1" t="s">
        <v>74</v>
      </c>
      <c r="AR299" s="1" t="s">
        <v>175</v>
      </c>
      <c r="AS299" s="1" t="s">
        <v>176</v>
      </c>
      <c r="AT299" s="1" t="s">
        <v>177</v>
      </c>
      <c r="AU299" s="1">
        <v>2016</v>
      </c>
      <c r="AV299" s="1">
        <v>42</v>
      </c>
      <c r="AW299" s="1">
        <v>5</v>
      </c>
      <c r="AX299" s="1" t="s">
        <v>74</v>
      </c>
      <c r="AY299" s="1" t="s">
        <v>74</v>
      </c>
      <c r="AZ299" s="1" t="s">
        <v>74</v>
      </c>
      <c r="BA299" s="1" t="s">
        <v>74</v>
      </c>
      <c r="BB299" s="1">
        <v>727</v>
      </c>
      <c r="BC299" s="1">
        <v>748</v>
      </c>
      <c r="BD299" s="1" t="s">
        <v>74</v>
      </c>
      <c r="BE299" s="1" t="s">
        <v>192</v>
      </c>
      <c r="BF299" s="1" t="str">
        <f>HYPERLINK("http://dx.doi.org/10.1093/jcr/ucv053","http://dx.doi.org/10.1093/jcr/ucv053")</f>
        <v>http://dx.doi.org/10.1093/jcr/ucv053</v>
      </c>
      <c r="BG299" s="1" t="s">
        <v>74</v>
      </c>
      <c r="BH299" s="1" t="s">
        <v>74</v>
      </c>
      <c r="BI299" s="1">
        <v>22</v>
      </c>
      <c r="BJ299" s="1" t="s">
        <v>153</v>
      </c>
      <c r="BK299" s="1" t="s">
        <v>101</v>
      </c>
      <c r="BL299" s="1" t="s">
        <v>154</v>
      </c>
      <c r="BM299" s="1" t="s">
        <v>193</v>
      </c>
      <c r="BN299" s="1" t="s">
        <v>74</v>
      </c>
      <c r="BO299" s="1" t="s">
        <v>74</v>
      </c>
      <c r="BP299" s="1" t="s">
        <v>74</v>
      </c>
      <c r="BQ299" s="1" t="s">
        <v>74</v>
      </c>
      <c r="BR299" s="1" t="s">
        <v>104</v>
      </c>
      <c r="BS299" s="1" t="s">
        <v>194</v>
      </c>
      <c r="BT299" s="1" t="str">
        <f>HYPERLINK("https%3A%2F%2Fwww.webofscience.com%2Fwos%2Fwoscc%2Ffull-record%2FWOS:000390562000005","View Full Record in Web of Science")</f>
        <v>View Full Record in Web of Science</v>
      </c>
      <c r="BU299" s="1" t="s">
        <v>3776</v>
      </c>
      <c r="BV299" s="1" t="s">
        <v>6080</v>
      </c>
      <c r="BW299" s="1" t="s">
        <v>6080</v>
      </c>
    </row>
    <row r="300" spans="1:75" ht="348" x14ac:dyDescent="0.35">
      <c r="A300" s="1" t="s">
        <v>72</v>
      </c>
      <c r="B300" s="1" t="s">
        <v>1167</v>
      </c>
      <c r="C300" s="1" t="s">
        <v>74</v>
      </c>
      <c r="D300" s="1" t="s">
        <v>74</v>
      </c>
      <c r="E300" s="1" t="s">
        <v>74</v>
      </c>
      <c r="F300" s="1" t="s">
        <v>1168</v>
      </c>
      <c r="G300" s="1" t="s">
        <v>74</v>
      </c>
      <c r="H300" s="1" t="s">
        <v>74</v>
      </c>
      <c r="I300" s="1" t="s">
        <v>1169</v>
      </c>
      <c r="J300" s="1" t="s">
        <v>1170</v>
      </c>
      <c r="K300" s="1" t="s">
        <v>74</v>
      </c>
      <c r="L300" s="1" t="s">
        <v>74</v>
      </c>
      <c r="M300" s="1" t="s">
        <v>78</v>
      </c>
      <c r="N300" s="1" t="s">
        <v>79</v>
      </c>
      <c r="O300" s="1" t="s">
        <v>74</v>
      </c>
      <c r="P300" s="1" t="s">
        <v>74</v>
      </c>
      <c r="Q300" s="1" t="s">
        <v>74</v>
      </c>
      <c r="R300" s="1" t="s">
        <v>74</v>
      </c>
      <c r="S300" s="1" t="s">
        <v>74</v>
      </c>
      <c r="T300" s="1" t="s">
        <v>1171</v>
      </c>
      <c r="U300" s="1" t="s">
        <v>1172</v>
      </c>
      <c r="V300" s="1" t="s">
        <v>1173</v>
      </c>
      <c r="W300" s="1" t="s">
        <v>1174</v>
      </c>
      <c r="X300" s="1" t="s">
        <v>1175</v>
      </c>
      <c r="Y300" s="1" t="s">
        <v>1176</v>
      </c>
      <c r="Z300" s="1" t="s">
        <v>1177</v>
      </c>
      <c r="AA300" s="1" t="s">
        <v>1178</v>
      </c>
      <c r="AB300" s="1" t="s">
        <v>1179</v>
      </c>
      <c r="AC300" s="1" t="s">
        <v>74</v>
      </c>
      <c r="AD300" s="1" t="s">
        <v>74</v>
      </c>
      <c r="AE300" s="1" t="s">
        <v>74</v>
      </c>
      <c r="AF300" s="1" t="s">
        <v>74</v>
      </c>
      <c r="AG300" s="1">
        <v>81</v>
      </c>
      <c r="AH300" s="1">
        <v>24</v>
      </c>
      <c r="AI300" s="1">
        <v>24</v>
      </c>
      <c r="AJ300" s="1">
        <v>7</v>
      </c>
      <c r="AK300" s="1">
        <v>49</v>
      </c>
      <c r="AL300" s="1" t="s">
        <v>1180</v>
      </c>
      <c r="AM300" s="1" t="s">
        <v>1181</v>
      </c>
      <c r="AN300" s="1" t="s">
        <v>1182</v>
      </c>
      <c r="AO300" s="1" t="s">
        <v>1183</v>
      </c>
      <c r="AP300" s="1" t="s">
        <v>1184</v>
      </c>
      <c r="AQ300" s="1" t="s">
        <v>74</v>
      </c>
      <c r="AR300" s="1" t="s">
        <v>1185</v>
      </c>
      <c r="AS300" s="1" t="s">
        <v>1186</v>
      </c>
      <c r="AT300" s="1" t="s">
        <v>74</v>
      </c>
      <c r="AU300" s="1">
        <v>2016</v>
      </c>
      <c r="AV300" s="1">
        <v>33</v>
      </c>
      <c r="AW300" s="1">
        <v>2</v>
      </c>
      <c r="AX300" s="1" t="s">
        <v>74</v>
      </c>
      <c r="AY300" s="1" t="s">
        <v>74</v>
      </c>
      <c r="AZ300" s="1" t="s">
        <v>259</v>
      </c>
      <c r="BA300" s="1" t="s">
        <v>74</v>
      </c>
      <c r="BB300" s="1">
        <v>511</v>
      </c>
      <c r="BC300" s="1">
        <v>541</v>
      </c>
      <c r="BD300" s="1" t="s">
        <v>74</v>
      </c>
      <c r="BE300" s="1" t="s">
        <v>1187</v>
      </c>
      <c r="BF300" s="1" t="str">
        <f>HYPERLINK("http://dx.doi.org/10.1080/07421222.2016.1205927","http://dx.doi.org/10.1080/07421222.2016.1205927")</f>
        <v>http://dx.doi.org/10.1080/07421222.2016.1205927</v>
      </c>
      <c r="BG300" s="1" t="s">
        <v>74</v>
      </c>
      <c r="BH300" s="1" t="s">
        <v>74</v>
      </c>
      <c r="BI300" s="1">
        <v>31</v>
      </c>
      <c r="BJ300" s="1" t="s">
        <v>1162</v>
      </c>
      <c r="BK300" s="1" t="s">
        <v>520</v>
      </c>
      <c r="BL300" s="1" t="s">
        <v>1163</v>
      </c>
      <c r="BM300" s="1" t="s">
        <v>1188</v>
      </c>
      <c r="BN300" s="1" t="s">
        <v>74</v>
      </c>
      <c r="BO300" s="1" t="s">
        <v>1189</v>
      </c>
      <c r="BP300" s="1" t="s">
        <v>74</v>
      </c>
      <c r="BQ300" s="1" t="s">
        <v>74</v>
      </c>
      <c r="BR300" s="1" t="s">
        <v>104</v>
      </c>
      <c r="BS300" s="1" t="s">
        <v>1190</v>
      </c>
      <c r="BT300" s="1" t="str">
        <f>HYPERLINK("https%3A%2F%2Fwww.webofscience.com%2Fwos%2Fwoscc%2Ffull-record%2FWOS:000387222400008","View Full Record in Web of Science")</f>
        <v>View Full Record in Web of Science</v>
      </c>
      <c r="BU300" s="1" t="s">
        <v>3776</v>
      </c>
      <c r="BV300" s="1" t="s">
        <v>10653</v>
      </c>
    </row>
    <row r="301" spans="1:75" ht="348" x14ac:dyDescent="0.35">
      <c r="A301" s="1" t="s">
        <v>72</v>
      </c>
      <c r="B301" s="1" t="s">
        <v>3777</v>
      </c>
      <c r="C301" s="1" t="s">
        <v>74</v>
      </c>
      <c r="D301" s="1" t="s">
        <v>74</v>
      </c>
      <c r="E301" s="1" t="s">
        <v>74</v>
      </c>
      <c r="F301" s="1" t="s">
        <v>3778</v>
      </c>
      <c r="G301" s="1" t="s">
        <v>74</v>
      </c>
      <c r="H301" s="1" t="s">
        <v>74</v>
      </c>
      <c r="I301" s="1" t="s">
        <v>3779</v>
      </c>
      <c r="J301" s="1" t="s">
        <v>136</v>
      </c>
      <c r="K301" s="1" t="s">
        <v>74</v>
      </c>
      <c r="L301" s="1" t="s">
        <v>74</v>
      </c>
      <c r="M301" s="1" t="s">
        <v>78</v>
      </c>
      <c r="N301" s="1" t="s">
        <v>110</v>
      </c>
      <c r="O301" s="1" t="s">
        <v>74</v>
      </c>
      <c r="P301" s="1" t="s">
        <v>74</v>
      </c>
      <c r="Q301" s="1" t="s">
        <v>74</v>
      </c>
      <c r="R301" s="1" t="s">
        <v>74</v>
      </c>
      <c r="S301" s="1" t="s">
        <v>74</v>
      </c>
      <c r="T301" s="1" t="s">
        <v>3780</v>
      </c>
      <c r="U301" s="1" t="s">
        <v>3781</v>
      </c>
      <c r="V301" s="1" t="s">
        <v>3782</v>
      </c>
      <c r="W301" s="1" t="s">
        <v>3783</v>
      </c>
      <c r="X301" s="1" t="s">
        <v>3784</v>
      </c>
      <c r="Y301" s="1" t="s">
        <v>3785</v>
      </c>
      <c r="Z301" s="1" t="s">
        <v>3786</v>
      </c>
      <c r="AA301" s="1" t="s">
        <v>3787</v>
      </c>
      <c r="AB301" s="1" t="s">
        <v>3788</v>
      </c>
      <c r="AC301" s="1" t="s">
        <v>3789</v>
      </c>
      <c r="AD301" s="1" t="s">
        <v>3790</v>
      </c>
      <c r="AE301" s="1" t="s">
        <v>3791</v>
      </c>
      <c r="AF301" s="1" t="s">
        <v>74</v>
      </c>
      <c r="AG301" s="1">
        <v>82</v>
      </c>
      <c r="AH301" s="1">
        <v>458</v>
      </c>
      <c r="AI301" s="1">
        <v>463</v>
      </c>
      <c r="AJ301" s="1">
        <v>59</v>
      </c>
      <c r="AK301" s="1">
        <v>820</v>
      </c>
      <c r="AL301" s="1" t="s">
        <v>144</v>
      </c>
      <c r="AM301" s="1" t="s">
        <v>145</v>
      </c>
      <c r="AN301" s="1" t="s">
        <v>146</v>
      </c>
      <c r="AO301" s="1" t="s">
        <v>147</v>
      </c>
      <c r="AP301" s="1" t="s">
        <v>148</v>
      </c>
      <c r="AQ301" s="1" t="s">
        <v>74</v>
      </c>
      <c r="AR301" s="1" t="s">
        <v>149</v>
      </c>
      <c r="AS301" s="1" t="s">
        <v>150</v>
      </c>
      <c r="AT301" s="1" t="s">
        <v>151</v>
      </c>
      <c r="AU301" s="1">
        <v>2016</v>
      </c>
      <c r="AV301" s="1">
        <v>53</v>
      </c>
      <c r="AW301" s="1">
        <v>3</v>
      </c>
      <c r="AX301" s="1" t="s">
        <v>74</v>
      </c>
      <c r="AY301" s="1" t="s">
        <v>74</v>
      </c>
      <c r="AZ301" s="1" t="s">
        <v>74</v>
      </c>
      <c r="BA301" s="1" t="s">
        <v>74</v>
      </c>
      <c r="BB301" s="1">
        <v>297</v>
      </c>
      <c r="BC301" s="1">
        <v>318</v>
      </c>
      <c r="BD301" s="1" t="s">
        <v>74</v>
      </c>
      <c r="BE301" s="1" t="s">
        <v>3792</v>
      </c>
      <c r="BF301" s="1" t="str">
        <f>HYPERLINK("http://dx.doi.org/10.1509/jmr.14.0380","http://dx.doi.org/10.1509/jmr.14.0380")</f>
        <v>http://dx.doi.org/10.1509/jmr.14.0380</v>
      </c>
      <c r="BG301" s="1" t="s">
        <v>74</v>
      </c>
      <c r="BH301" s="1" t="s">
        <v>74</v>
      </c>
      <c r="BI301" s="1">
        <v>22</v>
      </c>
      <c r="BJ301" s="1" t="s">
        <v>153</v>
      </c>
      <c r="BK301" s="1" t="s">
        <v>101</v>
      </c>
      <c r="BL301" s="1" t="s">
        <v>154</v>
      </c>
      <c r="BM301" s="1" t="s">
        <v>3793</v>
      </c>
      <c r="BN301" s="1" t="s">
        <v>74</v>
      </c>
      <c r="BO301" s="1" t="s">
        <v>484</v>
      </c>
      <c r="BP301" s="1" t="s">
        <v>218</v>
      </c>
      <c r="BQ301" s="1" t="s">
        <v>219</v>
      </c>
      <c r="BR301" s="1" t="s">
        <v>104</v>
      </c>
      <c r="BS301" s="1" t="s">
        <v>3794</v>
      </c>
      <c r="BT301" s="1" t="str">
        <f>HYPERLINK("https%3A%2F%2Fwww.webofscience.com%2Fwos%2Fwoscc%2Ffull-record%2FWOS:000377983300001","View Full Record in Web of Science")</f>
        <v>View Full Record in Web of Science</v>
      </c>
      <c r="BU301" s="1" t="s">
        <v>4172</v>
      </c>
      <c r="BV301" s="1" t="s">
        <v>6080</v>
      </c>
      <c r="BW301" s="1" t="s">
        <v>6080</v>
      </c>
    </row>
    <row r="302" spans="1:75" ht="319" x14ac:dyDescent="0.35">
      <c r="A302" s="1" t="s">
        <v>72</v>
      </c>
      <c r="B302" s="1" t="s">
        <v>3795</v>
      </c>
      <c r="C302" s="1" t="s">
        <v>74</v>
      </c>
      <c r="D302" s="1" t="s">
        <v>74</v>
      </c>
      <c r="E302" s="1" t="s">
        <v>74</v>
      </c>
      <c r="F302" s="1" t="s">
        <v>3796</v>
      </c>
      <c r="G302" s="1" t="s">
        <v>74</v>
      </c>
      <c r="H302" s="1" t="s">
        <v>74</v>
      </c>
      <c r="I302" s="1" t="s">
        <v>3797</v>
      </c>
      <c r="J302" s="1" t="s">
        <v>3798</v>
      </c>
      <c r="K302" s="1" t="s">
        <v>74</v>
      </c>
      <c r="L302" s="1" t="s">
        <v>74</v>
      </c>
      <c r="M302" s="1" t="s">
        <v>78</v>
      </c>
      <c r="N302" s="1" t="s">
        <v>241</v>
      </c>
      <c r="O302" s="1" t="s">
        <v>3799</v>
      </c>
      <c r="P302" s="1" t="s">
        <v>3800</v>
      </c>
      <c r="Q302" s="1" t="s">
        <v>3801</v>
      </c>
      <c r="R302" s="1" t="s">
        <v>3802</v>
      </c>
      <c r="S302" s="1" t="s">
        <v>3803</v>
      </c>
      <c r="T302" s="1" t="s">
        <v>74</v>
      </c>
      <c r="U302" s="1" t="s">
        <v>3804</v>
      </c>
      <c r="V302" s="1" t="s">
        <v>3805</v>
      </c>
      <c r="W302" s="1" t="s">
        <v>3806</v>
      </c>
      <c r="X302" s="1" t="s">
        <v>3807</v>
      </c>
      <c r="Y302" s="1" t="s">
        <v>3808</v>
      </c>
      <c r="Z302" s="1" t="s">
        <v>3809</v>
      </c>
      <c r="AA302" s="1" t="s">
        <v>3810</v>
      </c>
      <c r="AB302" s="1" t="s">
        <v>3811</v>
      </c>
      <c r="AC302" s="1" t="s">
        <v>74</v>
      </c>
      <c r="AD302" s="1" t="s">
        <v>74</v>
      </c>
      <c r="AE302" s="1" t="s">
        <v>74</v>
      </c>
      <c r="AF302" s="1" t="s">
        <v>74</v>
      </c>
      <c r="AG302" s="1">
        <v>58</v>
      </c>
      <c r="AH302" s="1">
        <v>66</v>
      </c>
      <c r="AI302" s="1">
        <v>66</v>
      </c>
      <c r="AJ302" s="1">
        <v>2</v>
      </c>
      <c r="AK302" s="1">
        <v>54</v>
      </c>
      <c r="AL302" s="1" t="s">
        <v>206</v>
      </c>
      <c r="AM302" s="1" t="s">
        <v>207</v>
      </c>
      <c r="AN302" s="1" t="s">
        <v>208</v>
      </c>
      <c r="AO302" s="1" t="s">
        <v>3812</v>
      </c>
      <c r="AP302" s="1" t="s">
        <v>3813</v>
      </c>
      <c r="AQ302" s="1" t="s">
        <v>74</v>
      </c>
      <c r="AR302" s="1" t="s">
        <v>3814</v>
      </c>
      <c r="AS302" s="1" t="s">
        <v>3815</v>
      </c>
      <c r="AT302" s="1" t="s">
        <v>3816</v>
      </c>
      <c r="AU302" s="1">
        <v>2016</v>
      </c>
      <c r="AV302" s="1">
        <v>50</v>
      </c>
      <c r="AW302" s="1">
        <v>1</v>
      </c>
      <c r="AX302" s="1" t="s">
        <v>74</v>
      </c>
      <c r="AY302" s="1" t="s">
        <v>74</v>
      </c>
      <c r="AZ302" s="1" t="s">
        <v>259</v>
      </c>
      <c r="BA302" s="1" t="s">
        <v>74</v>
      </c>
      <c r="BB302" s="1">
        <v>193</v>
      </c>
      <c r="BC302" s="1">
        <v>223</v>
      </c>
      <c r="BD302" s="1" t="s">
        <v>74</v>
      </c>
      <c r="BE302" s="1" t="s">
        <v>3817</v>
      </c>
      <c r="BF302" s="1" t="str">
        <f>HYPERLINK("http://dx.doi.org/10.1111/joca.12080","http://dx.doi.org/10.1111/joca.12080")</f>
        <v>http://dx.doi.org/10.1111/joca.12080</v>
      </c>
      <c r="BG302" s="1" t="s">
        <v>74</v>
      </c>
      <c r="BH302" s="1" t="s">
        <v>74</v>
      </c>
      <c r="BI302" s="1">
        <v>31</v>
      </c>
      <c r="BJ302" s="1" t="s">
        <v>3818</v>
      </c>
      <c r="BK302" s="1" t="s">
        <v>261</v>
      </c>
      <c r="BL302" s="1" t="s">
        <v>154</v>
      </c>
      <c r="BM302" s="1" t="s">
        <v>3819</v>
      </c>
      <c r="BN302" s="1" t="s">
        <v>74</v>
      </c>
      <c r="BO302" s="1" t="s">
        <v>74</v>
      </c>
      <c r="BP302" s="1" t="s">
        <v>74</v>
      </c>
      <c r="BQ302" s="1" t="s">
        <v>74</v>
      </c>
      <c r="BR302" s="1" t="s">
        <v>104</v>
      </c>
      <c r="BS302" s="1" t="s">
        <v>3820</v>
      </c>
      <c r="BT302" s="1" t="str">
        <f>HYPERLINK("https%3A%2F%2Fwww.webofscience.com%2Fwos%2Fwoscc%2Ffull-record%2FWOS:000372327400009","View Full Record in Web of Science")</f>
        <v>View Full Record in Web of Science</v>
      </c>
      <c r="BU302" s="1" t="s">
        <v>4172</v>
      </c>
      <c r="BV302" s="1" t="s">
        <v>6080</v>
      </c>
      <c r="BW302" s="1" t="s">
        <v>6080</v>
      </c>
    </row>
    <row r="303" spans="1:75" ht="275.5" x14ac:dyDescent="0.35">
      <c r="A303" s="1" t="s">
        <v>72</v>
      </c>
      <c r="B303" s="1" t="s">
        <v>3821</v>
      </c>
      <c r="C303" s="1" t="s">
        <v>74</v>
      </c>
      <c r="D303" s="1" t="s">
        <v>74</v>
      </c>
      <c r="E303" s="1" t="s">
        <v>74</v>
      </c>
      <c r="F303" s="1" t="s">
        <v>3822</v>
      </c>
      <c r="G303" s="1" t="s">
        <v>74</v>
      </c>
      <c r="H303" s="1" t="s">
        <v>74</v>
      </c>
      <c r="I303" s="1" t="s">
        <v>3823</v>
      </c>
      <c r="J303" s="1" t="s">
        <v>3737</v>
      </c>
      <c r="K303" s="1" t="s">
        <v>74</v>
      </c>
      <c r="L303" s="1" t="s">
        <v>74</v>
      </c>
      <c r="M303" s="1" t="s">
        <v>78</v>
      </c>
      <c r="N303" s="1" t="s">
        <v>79</v>
      </c>
      <c r="O303" s="1" t="s">
        <v>74</v>
      </c>
      <c r="P303" s="1" t="s">
        <v>74</v>
      </c>
      <c r="Q303" s="1" t="s">
        <v>74</v>
      </c>
      <c r="R303" s="1" t="s">
        <v>74</v>
      </c>
      <c r="S303" s="1" t="s">
        <v>74</v>
      </c>
      <c r="T303" s="1" t="s">
        <v>3824</v>
      </c>
      <c r="U303" s="1" t="s">
        <v>3825</v>
      </c>
      <c r="V303" s="1" t="s">
        <v>3826</v>
      </c>
      <c r="W303" s="1" t="s">
        <v>3827</v>
      </c>
      <c r="X303" s="1" t="s">
        <v>3828</v>
      </c>
      <c r="Y303" s="1" t="s">
        <v>3829</v>
      </c>
      <c r="Z303" s="1" t="s">
        <v>3830</v>
      </c>
      <c r="AA303" s="1" t="s">
        <v>74</v>
      </c>
      <c r="AB303" s="1" t="s">
        <v>74</v>
      </c>
      <c r="AC303" s="1" t="s">
        <v>74</v>
      </c>
      <c r="AD303" s="1" t="s">
        <v>74</v>
      </c>
      <c r="AE303" s="1" t="s">
        <v>74</v>
      </c>
      <c r="AF303" s="1" t="s">
        <v>74</v>
      </c>
      <c r="AG303" s="1">
        <v>78</v>
      </c>
      <c r="AH303" s="1">
        <v>504</v>
      </c>
      <c r="AI303" s="1">
        <v>511</v>
      </c>
      <c r="AJ303" s="1">
        <v>62</v>
      </c>
      <c r="AK303" s="1">
        <v>650</v>
      </c>
      <c r="AL303" s="1" t="s">
        <v>324</v>
      </c>
      <c r="AM303" s="1" t="s">
        <v>325</v>
      </c>
      <c r="AN303" s="1" t="s">
        <v>2004</v>
      </c>
      <c r="AO303" s="1" t="s">
        <v>3743</v>
      </c>
      <c r="AP303" s="1" t="s">
        <v>3831</v>
      </c>
      <c r="AQ303" s="1" t="s">
        <v>74</v>
      </c>
      <c r="AR303" s="1" t="s">
        <v>3744</v>
      </c>
      <c r="AS303" s="1" t="s">
        <v>3745</v>
      </c>
      <c r="AT303" s="1" t="s">
        <v>177</v>
      </c>
      <c r="AU303" s="1">
        <v>2016</v>
      </c>
      <c r="AV303" s="1">
        <v>69</v>
      </c>
      <c r="AW303" s="1">
        <v>2</v>
      </c>
      <c r="AX303" s="1" t="s">
        <v>74</v>
      </c>
      <c r="AY303" s="1" t="s">
        <v>74</v>
      </c>
      <c r="AZ303" s="1" t="s">
        <v>74</v>
      </c>
      <c r="BA303" s="1" t="s">
        <v>74</v>
      </c>
      <c r="BB303" s="1">
        <v>897</v>
      </c>
      <c r="BC303" s="1">
        <v>904</v>
      </c>
      <c r="BD303" s="1" t="s">
        <v>74</v>
      </c>
      <c r="BE303" s="1" t="s">
        <v>3832</v>
      </c>
      <c r="BF303" s="1" t="str">
        <f>HYPERLINK("http://dx.doi.org/10.1016/j.jbusres.2015.07.001","http://dx.doi.org/10.1016/j.jbusres.2015.07.001")</f>
        <v>http://dx.doi.org/10.1016/j.jbusres.2015.07.001</v>
      </c>
      <c r="BG303" s="1" t="s">
        <v>74</v>
      </c>
      <c r="BH303" s="1" t="s">
        <v>74</v>
      </c>
      <c r="BI303" s="1">
        <v>8</v>
      </c>
      <c r="BJ303" s="1" t="s">
        <v>153</v>
      </c>
      <c r="BK303" s="1" t="s">
        <v>101</v>
      </c>
      <c r="BL303" s="1" t="s">
        <v>154</v>
      </c>
      <c r="BM303" s="1" t="s">
        <v>3833</v>
      </c>
      <c r="BN303" s="1" t="s">
        <v>74</v>
      </c>
      <c r="BO303" s="1" t="s">
        <v>74</v>
      </c>
      <c r="BP303" s="1" t="s">
        <v>218</v>
      </c>
      <c r="BQ303" s="1" t="s">
        <v>219</v>
      </c>
      <c r="BR303" s="1" t="s">
        <v>104</v>
      </c>
      <c r="BS303" s="1" t="s">
        <v>3834</v>
      </c>
      <c r="BT303" s="1" t="str">
        <f>HYPERLINK("https%3A%2F%2Fwww.webofscience.com%2Fwos%2Fwoscc%2Ffull-record%2FWOS:000367760600056","View Full Record in Web of Science")</f>
        <v>View Full Record in Web of Science</v>
      </c>
      <c r="BU303" s="1" t="s">
        <v>4172</v>
      </c>
      <c r="BV303" s="1" t="s">
        <v>10653</v>
      </c>
    </row>
    <row r="304" spans="1:75" ht="348" x14ac:dyDescent="0.35">
      <c r="A304" s="1" t="s">
        <v>72</v>
      </c>
      <c r="B304" s="1" t="s">
        <v>3835</v>
      </c>
      <c r="C304" s="1" t="s">
        <v>74</v>
      </c>
      <c r="D304" s="1" t="s">
        <v>74</v>
      </c>
      <c r="E304" s="1" t="s">
        <v>74</v>
      </c>
      <c r="F304" s="1" t="s">
        <v>3836</v>
      </c>
      <c r="G304" s="1" t="s">
        <v>74</v>
      </c>
      <c r="H304" s="1" t="s">
        <v>74</v>
      </c>
      <c r="I304" s="1" t="s">
        <v>3837</v>
      </c>
      <c r="J304" s="1" t="s">
        <v>3838</v>
      </c>
      <c r="K304" s="1" t="s">
        <v>74</v>
      </c>
      <c r="L304" s="1" t="s">
        <v>74</v>
      </c>
      <c r="M304" s="1" t="s">
        <v>78</v>
      </c>
      <c r="N304" s="1" t="s">
        <v>79</v>
      </c>
      <c r="O304" s="1" t="s">
        <v>74</v>
      </c>
      <c r="P304" s="1" t="s">
        <v>74</v>
      </c>
      <c r="Q304" s="1" t="s">
        <v>74</v>
      </c>
      <c r="R304" s="1" t="s">
        <v>74</v>
      </c>
      <c r="S304" s="1" t="s">
        <v>74</v>
      </c>
      <c r="T304" s="1" t="s">
        <v>3839</v>
      </c>
      <c r="U304" s="1" t="s">
        <v>3840</v>
      </c>
      <c r="V304" s="1" t="s">
        <v>3841</v>
      </c>
      <c r="W304" s="1" t="s">
        <v>3842</v>
      </c>
      <c r="X304" s="1" t="s">
        <v>3843</v>
      </c>
      <c r="Y304" s="1" t="s">
        <v>3844</v>
      </c>
      <c r="Z304" s="1" t="s">
        <v>3845</v>
      </c>
      <c r="AA304" s="1" t="s">
        <v>3846</v>
      </c>
      <c r="AB304" s="1" t="s">
        <v>3847</v>
      </c>
      <c r="AC304" s="1" t="s">
        <v>3848</v>
      </c>
      <c r="AD304" s="1" t="s">
        <v>3849</v>
      </c>
      <c r="AE304" s="1" t="s">
        <v>3850</v>
      </c>
      <c r="AF304" s="1" t="s">
        <v>74</v>
      </c>
      <c r="AG304" s="1">
        <v>73</v>
      </c>
      <c r="AH304" s="1">
        <v>82</v>
      </c>
      <c r="AI304" s="1">
        <v>82</v>
      </c>
      <c r="AJ304" s="1">
        <v>5</v>
      </c>
      <c r="AK304" s="1">
        <v>135</v>
      </c>
      <c r="AL304" s="1" t="s">
        <v>1180</v>
      </c>
      <c r="AM304" s="1" t="s">
        <v>1181</v>
      </c>
      <c r="AN304" s="1" t="s">
        <v>1182</v>
      </c>
      <c r="AO304" s="1" t="s">
        <v>3851</v>
      </c>
      <c r="AP304" s="1" t="s">
        <v>3852</v>
      </c>
      <c r="AQ304" s="1" t="s">
        <v>74</v>
      </c>
      <c r="AR304" s="1" t="s">
        <v>3853</v>
      </c>
      <c r="AS304" s="1" t="s">
        <v>3854</v>
      </c>
      <c r="AT304" s="1" t="s">
        <v>74</v>
      </c>
      <c r="AU304" s="1">
        <v>2016</v>
      </c>
      <c r="AV304" s="1">
        <v>20</v>
      </c>
      <c r="AW304" s="1">
        <v>2</v>
      </c>
      <c r="AX304" s="1" t="s">
        <v>74</v>
      </c>
      <c r="AY304" s="1" t="s">
        <v>74</v>
      </c>
      <c r="AZ304" s="1" t="s">
        <v>74</v>
      </c>
      <c r="BA304" s="1" t="s">
        <v>74</v>
      </c>
      <c r="BB304" s="1">
        <v>236</v>
      </c>
      <c r="BC304" s="1">
        <v>260</v>
      </c>
      <c r="BD304" s="1" t="s">
        <v>74</v>
      </c>
      <c r="BE304" s="1" t="s">
        <v>3855</v>
      </c>
      <c r="BF304" s="1" t="str">
        <f>HYPERLINK("http://dx.doi.org/10.1080/10864415.2016.1087823","http://dx.doi.org/10.1080/10864415.2016.1087823")</f>
        <v>http://dx.doi.org/10.1080/10864415.2016.1087823</v>
      </c>
      <c r="BG304" s="1" t="s">
        <v>74</v>
      </c>
      <c r="BH304" s="1" t="s">
        <v>74</v>
      </c>
      <c r="BI304" s="1">
        <v>25</v>
      </c>
      <c r="BJ304" s="1" t="s">
        <v>3856</v>
      </c>
      <c r="BK304" s="1" t="s">
        <v>520</v>
      </c>
      <c r="BL304" s="1" t="s">
        <v>3857</v>
      </c>
      <c r="BM304" s="1" t="s">
        <v>3858</v>
      </c>
      <c r="BN304" s="1" t="s">
        <v>74</v>
      </c>
      <c r="BO304" s="1" t="s">
        <v>74</v>
      </c>
      <c r="BP304" s="1" t="s">
        <v>74</v>
      </c>
      <c r="BQ304" s="1" t="s">
        <v>74</v>
      </c>
      <c r="BR304" s="1" t="s">
        <v>104</v>
      </c>
      <c r="BS304" s="1" t="s">
        <v>3859</v>
      </c>
      <c r="BT304" s="1" t="str">
        <f>HYPERLINK("https%3A%2F%2Fwww.webofscience.com%2Fwos%2Fwoscc%2Ffull-record%2FWOS:000368924400004","View Full Record in Web of Science")</f>
        <v>View Full Record in Web of Science</v>
      </c>
      <c r="BU304" s="1" t="s">
        <v>4172</v>
      </c>
      <c r="BV304" s="1" t="s">
        <v>10653</v>
      </c>
    </row>
    <row r="305" spans="1:75" ht="290" x14ac:dyDescent="0.35">
      <c r="A305" s="1" t="s">
        <v>72</v>
      </c>
      <c r="B305" s="1" t="s">
        <v>3860</v>
      </c>
      <c r="C305" s="1" t="s">
        <v>74</v>
      </c>
      <c r="D305" s="1" t="s">
        <v>74</v>
      </c>
      <c r="E305" s="1" t="s">
        <v>74</v>
      </c>
      <c r="F305" s="1" t="s">
        <v>3861</v>
      </c>
      <c r="G305" s="1" t="s">
        <v>74</v>
      </c>
      <c r="H305" s="1" t="s">
        <v>74</v>
      </c>
      <c r="I305" s="1" t="s">
        <v>3862</v>
      </c>
      <c r="J305" s="1" t="s">
        <v>3863</v>
      </c>
      <c r="K305" s="1" t="s">
        <v>74</v>
      </c>
      <c r="L305" s="1" t="s">
        <v>74</v>
      </c>
      <c r="M305" s="1" t="s">
        <v>78</v>
      </c>
      <c r="N305" s="1" t="s">
        <v>79</v>
      </c>
      <c r="O305" s="1" t="s">
        <v>74</v>
      </c>
      <c r="P305" s="1" t="s">
        <v>74</v>
      </c>
      <c r="Q305" s="1" t="s">
        <v>74</v>
      </c>
      <c r="R305" s="1" t="s">
        <v>74</v>
      </c>
      <c r="S305" s="1" t="s">
        <v>74</v>
      </c>
      <c r="T305" s="1" t="s">
        <v>3864</v>
      </c>
      <c r="U305" s="1" t="s">
        <v>3865</v>
      </c>
      <c r="V305" s="1" t="s">
        <v>3866</v>
      </c>
      <c r="W305" s="1" t="s">
        <v>3867</v>
      </c>
      <c r="X305" s="1" t="s">
        <v>3868</v>
      </c>
      <c r="Y305" s="1" t="s">
        <v>3869</v>
      </c>
      <c r="Z305" s="1" t="s">
        <v>3870</v>
      </c>
      <c r="AA305" s="1" t="s">
        <v>74</v>
      </c>
      <c r="AB305" s="1" t="s">
        <v>74</v>
      </c>
      <c r="AC305" s="1" t="s">
        <v>74</v>
      </c>
      <c r="AD305" s="1" t="s">
        <v>74</v>
      </c>
      <c r="AE305" s="1" t="s">
        <v>74</v>
      </c>
      <c r="AF305" s="1" t="s">
        <v>74</v>
      </c>
      <c r="AG305" s="1">
        <v>42</v>
      </c>
      <c r="AH305" s="1">
        <v>3</v>
      </c>
      <c r="AI305" s="1">
        <v>3</v>
      </c>
      <c r="AJ305" s="1">
        <v>1</v>
      </c>
      <c r="AK305" s="1">
        <v>3</v>
      </c>
      <c r="AL305" s="1" t="s">
        <v>3871</v>
      </c>
      <c r="AM305" s="1" t="s">
        <v>3872</v>
      </c>
      <c r="AN305" s="1" t="s">
        <v>3873</v>
      </c>
      <c r="AO305" s="1" t="s">
        <v>3874</v>
      </c>
      <c r="AP305" s="1" t="s">
        <v>3875</v>
      </c>
      <c r="AQ305" s="1" t="s">
        <v>74</v>
      </c>
      <c r="AR305" s="1" t="s">
        <v>3876</v>
      </c>
      <c r="AS305" s="1" t="s">
        <v>3877</v>
      </c>
      <c r="AT305" s="1" t="s">
        <v>74</v>
      </c>
      <c r="AU305" s="1">
        <v>2016</v>
      </c>
      <c r="AV305" s="1">
        <v>46</v>
      </c>
      <c r="AW305" s="1" t="s">
        <v>74</v>
      </c>
      <c r="AX305" s="1" t="s">
        <v>74</v>
      </c>
      <c r="AY305" s="1" t="s">
        <v>74</v>
      </c>
      <c r="AZ305" s="1" t="s">
        <v>74</v>
      </c>
      <c r="BA305" s="1" t="s">
        <v>74</v>
      </c>
      <c r="BB305" s="1">
        <v>77</v>
      </c>
      <c r="BC305" s="1">
        <v>97</v>
      </c>
      <c r="BD305" s="1" t="s">
        <v>74</v>
      </c>
      <c r="BE305" s="1" t="s">
        <v>3878</v>
      </c>
      <c r="BF305" s="1" t="str">
        <f>HYPERLINK("http://dx.doi.org/10.5774/46-0-223","http://dx.doi.org/10.5774/46-0-223")</f>
        <v>http://dx.doi.org/10.5774/46-0-223</v>
      </c>
      <c r="BG305" s="1" t="s">
        <v>74</v>
      </c>
      <c r="BH305" s="1" t="s">
        <v>74</v>
      </c>
      <c r="BI305" s="1">
        <v>21</v>
      </c>
      <c r="BJ305" s="1" t="s">
        <v>3879</v>
      </c>
      <c r="BK305" s="1" t="s">
        <v>3880</v>
      </c>
      <c r="BL305" s="1" t="s">
        <v>2620</v>
      </c>
      <c r="BM305" s="1" t="s">
        <v>3881</v>
      </c>
      <c r="BN305" s="1" t="s">
        <v>74</v>
      </c>
      <c r="BO305" s="1" t="s">
        <v>3882</v>
      </c>
      <c r="BP305" s="1" t="s">
        <v>74</v>
      </c>
      <c r="BQ305" s="1" t="s">
        <v>74</v>
      </c>
      <c r="BR305" s="1" t="s">
        <v>104</v>
      </c>
      <c r="BS305" s="1" t="s">
        <v>3883</v>
      </c>
      <c r="BT305" s="1" t="str">
        <f>HYPERLINK("https%3A%2F%2Fwww.webofscience.com%2Fwos%2Fwoscc%2Ffull-record%2FWOS:000419280500004","View Full Record in Web of Science")</f>
        <v>View Full Record in Web of Science</v>
      </c>
      <c r="BU305" s="1" t="s">
        <v>4172</v>
      </c>
      <c r="BV305" s="1" t="s">
        <v>10653</v>
      </c>
    </row>
    <row r="306" spans="1:75" ht="246.5" x14ac:dyDescent="0.35">
      <c r="A306" s="1" t="s">
        <v>72</v>
      </c>
      <c r="B306" s="1" t="s">
        <v>433</v>
      </c>
      <c r="C306" s="1" t="s">
        <v>74</v>
      </c>
      <c r="D306" s="1" t="s">
        <v>74</v>
      </c>
      <c r="E306" s="1" t="s">
        <v>74</v>
      </c>
      <c r="F306" s="1" t="s">
        <v>434</v>
      </c>
      <c r="G306" s="1" t="s">
        <v>74</v>
      </c>
      <c r="H306" s="1" t="s">
        <v>74</v>
      </c>
      <c r="I306" s="1" t="s">
        <v>435</v>
      </c>
      <c r="J306" s="1" t="s">
        <v>436</v>
      </c>
      <c r="K306" s="1" t="s">
        <v>74</v>
      </c>
      <c r="L306" s="1" t="s">
        <v>74</v>
      </c>
      <c r="M306" s="1" t="s">
        <v>78</v>
      </c>
      <c r="N306" s="1" t="s">
        <v>79</v>
      </c>
      <c r="O306" s="1" t="s">
        <v>74</v>
      </c>
      <c r="P306" s="1" t="s">
        <v>74</v>
      </c>
      <c r="Q306" s="1" t="s">
        <v>74</v>
      </c>
      <c r="R306" s="1" t="s">
        <v>74</v>
      </c>
      <c r="S306" s="1" t="s">
        <v>74</v>
      </c>
      <c r="T306" s="1" t="s">
        <v>437</v>
      </c>
      <c r="U306" s="1" t="s">
        <v>438</v>
      </c>
      <c r="V306" s="1" t="s">
        <v>439</v>
      </c>
      <c r="W306" s="1" t="s">
        <v>440</v>
      </c>
      <c r="X306" s="1" t="s">
        <v>441</v>
      </c>
      <c r="Y306" s="1" t="s">
        <v>442</v>
      </c>
      <c r="Z306" s="1" t="s">
        <v>443</v>
      </c>
      <c r="AA306" s="1" t="s">
        <v>444</v>
      </c>
      <c r="AB306" s="1" t="s">
        <v>445</v>
      </c>
      <c r="AC306" s="1" t="s">
        <v>74</v>
      </c>
      <c r="AD306" s="1" t="s">
        <v>74</v>
      </c>
      <c r="AE306" s="1" t="s">
        <v>74</v>
      </c>
      <c r="AF306" s="1" t="s">
        <v>74</v>
      </c>
      <c r="AG306" s="1">
        <v>34</v>
      </c>
      <c r="AH306" s="1">
        <v>139</v>
      </c>
      <c r="AI306" s="1">
        <v>140</v>
      </c>
      <c r="AJ306" s="1">
        <v>21</v>
      </c>
      <c r="AK306" s="1">
        <v>206</v>
      </c>
      <c r="AL306" s="1" t="s">
        <v>446</v>
      </c>
      <c r="AM306" s="1" t="s">
        <v>447</v>
      </c>
      <c r="AN306" s="1" t="s">
        <v>448</v>
      </c>
      <c r="AO306" s="1" t="s">
        <v>449</v>
      </c>
      <c r="AP306" s="1" t="s">
        <v>450</v>
      </c>
      <c r="AQ306" s="1" t="s">
        <v>74</v>
      </c>
      <c r="AR306" s="1" t="s">
        <v>451</v>
      </c>
      <c r="AS306" s="1" t="s">
        <v>452</v>
      </c>
      <c r="AT306" s="1" t="s">
        <v>453</v>
      </c>
      <c r="AU306" s="1">
        <v>2016</v>
      </c>
      <c r="AV306" s="1">
        <v>35</v>
      </c>
      <c r="AW306" s="1">
        <v>6</v>
      </c>
      <c r="AX306" s="1" t="s">
        <v>74</v>
      </c>
      <c r="AY306" s="1" t="s">
        <v>74</v>
      </c>
      <c r="AZ306" s="1" t="s">
        <v>74</v>
      </c>
      <c r="BA306" s="1" t="s">
        <v>74</v>
      </c>
      <c r="BB306" s="1">
        <v>953</v>
      </c>
      <c r="BC306" s="1">
        <v>975</v>
      </c>
      <c r="BD306" s="1" t="s">
        <v>74</v>
      </c>
      <c r="BE306" s="1" t="s">
        <v>454</v>
      </c>
      <c r="BF306" s="1" t="str">
        <f>HYPERLINK("http://dx.doi.org/10.1287/mksc.2016.0993","http://dx.doi.org/10.1287/mksc.2016.0993")</f>
        <v>http://dx.doi.org/10.1287/mksc.2016.0993</v>
      </c>
      <c r="BG306" s="1" t="s">
        <v>74</v>
      </c>
      <c r="BH306" s="1" t="s">
        <v>74</v>
      </c>
      <c r="BI306" s="1">
        <v>23</v>
      </c>
      <c r="BJ306" s="1" t="s">
        <v>153</v>
      </c>
      <c r="BK306" s="1" t="s">
        <v>101</v>
      </c>
      <c r="BL306" s="1" t="s">
        <v>154</v>
      </c>
      <c r="BM306" s="1" t="s">
        <v>455</v>
      </c>
      <c r="BN306" s="1" t="s">
        <v>74</v>
      </c>
      <c r="BO306" s="1" t="s">
        <v>74</v>
      </c>
      <c r="BP306" s="1" t="s">
        <v>74</v>
      </c>
      <c r="BQ306" s="1" t="s">
        <v>74</v>
      </c>
      <c r="BR306" s="1" t="s">
        <v>4296</v>
      </c>
      <c r="BS306" s="1" t="s">
        <v>456</v>
      </c>
      <c r="BT306" s="1" t="str">
        <f>HYPERLINK("https%3A%2F%2Fwww.webofscience.com%2Fwos%2Fwoscc%2Ffull-record%2FWOS:000388701900007","View Full Record in Web of Science")</f>
        <v>View Full Record in Web of Science</v>
      </c>
      <c r="BU306" s="1" t="s">
        <v>5876</v>
      </c>
      <c r="BV306" s="1" t="s">
        <v>6080</v>
      </c>
      <c r="BW306" s="1" t="s">
        <v>6080</v>
      </c>
    </row>
    <row r="307" spans="1:75" ht="290" x14ac:dyDescent="0.35">
      <c r="A307" s="1" t="s">
        <v>72</v>
      </c>
      <c r="B307" s="1" t="s">
        <v>433</v>
      </c>
      <c r="C307" s="1" t="s">
        <v>74</v>
      </c>
      <c r="D307" s="1" t="s">
        <v>74</v>
      </c>
      <c r="E307" s="1" t="s">
        <v>74</v>
      </c>
      <c r="F307" s="1" t="s">
        <v>5466</v>
      </c>
      <c r="G307" s="1" t="s">
        <v>74</v>
      </c>
      <c r="H307" s="1" t="s">
        <v>74</v>
      </c>
      <c r="I307" s="1" t="s">
        <v>5467</v>
      </c>
      <c r="J307" s="1" t="s">
        <v>436</v>
      </c>
      <c r="K307" s="1" t="s">
        <v>74</v>
      </c>
      <c r="L307" s="1" t="s">
        <v>74</v>
      </c>
      <c r="M307" s="1" t="s">
        <v>78</v>
      </c>
      <c r="N307" s="1" t="s">
        <v>5468</v>
      </c>
      <c r="O307" s="1" t="s">
        <v>74</v>
      </c>
      <c r="P307" s="1" t="s">
        <v>74</v>
      </c>
      <c r="Q307" s="1" t="s">
        <v>74</v>
      </c>
      <c r="R307" s="1" t="s">
        <v>74</v>
      </c>
      <c r="S307" s="1" t="s">
        <v>74</v>
      </c>
      <c r="T307" s="1" t="s">
        <v>74</v>
      </c>
      <c r="U307" s="1" t="s">
        <v>74</v>
      </c>
      <c r="V307" s="1" t="s">
        <v>10655</v>
      </c>
      <c r="W307" s="1" t="s">
        <v>74</v>
      </c>
      <c r="X307" s="1" t="s">
        <v>74</v>
      </c>
      <c r="Y307" s="1" t="s">
        <v>74</v>
      </c>
      <c r="Z307" s="1" t="s">
        <v>74</v>
      </c>
      <c r="AA307" s="1" t="s">
        <v>444</v>
      </c>
      <c r="AB307" s="1" t="s">
        <v>5469</v>
      </c>
      <c r="AC307" s="1" t="s">
        <v>74</v>
      </c>
      <c r="AD307" s="1" t="s">
        <v>74</v>
      </c>
      <c r="AE307" s="1" t="s">
        <v>74</v>
      </c>
      <c r="AF307" s="1" t="s">
        <v>74</v>
      </c>
      <c r="AG307" s="1">
        <v>1</v>
      </c>
      <c r="AH307" s="1">
        <v>0</v>
      </c>
      <c r="AI307" s="1">
        <v>0</v>
      </c>
      <c r="AJ307" s="1">
        <v>0</v>
      </c>
      <c r="AK307" s="1">
        <v>13</v>
      </c>
      <c r="AL307" s="1" t="s">
        <v>446</v>
      </c>
      <c r="AM307" s="1" t="s">
        <v>447</v>
      </c>
      <c r="AN307" s="1" t="s">
        <v>448</v>
      </c>
      <c r="AO307" s="1" t="s">
        <v>449</v>
      </c>
      <c r="AP307" s="1" t="s">
        <v>450</v>
      </c>
      <c r="AQ307" s="1" t="s">
        <v>74</v>
      </c>
      <c r="AR307" s="1" t="s">
        <v>451</v>
      </c>
      <c r="AS307" s="1" t="s">
        <v>452</v>
      </c>
      <c r="AT307" s="1" t="s">
        <v>453</v>
      </c>
      <c r="AU307" s="1">
        <v>2016</v>
      </c>
      <c r="AV307" s="1">
        <v>35</v>
      </c>
      <c r="AW307" s="1">
        <v>6</v>
      </c>
      <c r="AX307" s="1" t="s">
        <v>74</v>
      </c>
      <c r="AY307" s="1" t="s">
        <v>74</v>
      </c>
      <c r="AZ307" s="1" t="s">
        <v>74</v>
      </c>
      <c r="BA307" s="1" t="s">
        <v>74</v>
      </c>
      <c r="BB307" s="1">
        <v>975</v>
      </c>
      <c r="BC307" s="1">
        <v>975</v>
      </c>
      <c r="BD307" s="1" t="s">
        <v>74</v>
      </c>
      <c r="BE307" s="1" t="s">
        <v>74</v>
      </c>
      <c r="BF307" s="1" t="s">
        <v>74</v>
      </c>
      <c r="BG307" s="1" t="s">
        <v>74</v>
      </c>
      <c r="BH307" s="1" t="s">
        <v>74</v>
      </c>
      <c r="BI307" s="1">
        <v>1</v>
      </c>
      <c r="BJ307" s="1" t="s">
        <v>153</v>
      </c>
      <c r="BK307" s="1" t="s">
        <v>101</v>
      </c>
      <c r="BL307" s="1" t="s">
        <v>154</v>
      </c>
      <c r="BM307" s="1" t="s">
        <v>455</v>
      </c>
      <c r="BN307" s="1" t="s">
        <v>74</v>
      </c>
      <c r="BO307" s="1" t="s">
        <v>74</v>
      </c>
      <c r="BP307" s="1" t="s">
        <v>74</v>
      </c>
      <c r="BQ307" s="1" t="s">
        <v>74</v>
      </c>
      <c r="BR307" s="1" t="s">
        <v>4296</v>
      </c>
      <c r="BS307" s="1" t="s">
        <v>5470</v>
      </c>
      <c r="BT307" s="1" t="str">
        <f>HYPERLINK("https%3A%2F%2Fwww.webofscience.com%2Fwos%2Fwoscc%2Ffull-record%2FWOS:000388701900008","View Full Record in Web of Science")</f>
        <v>View Full Record in Web of Science</v>
      </c>
      <c r="BU307" s="1" t="s">
        <v>5876</v>
      </c>
      <c r="BV307" s="1" t="s">
        <v>6080</v>
      </c>
      <c r="BW307" s="1" t="s">
        <v>6080</v>
      </c>
    </row>
    <row r="308" spans="1:75" ht="333.5" x14ac:dyDescent="0.35">
      <c r="A308" s="1" t="s">
        <v>72</v>
      </c>
      <c r="B308" s="1" t="s">
        <v>2154</v>
      </c>
      <c r="C308" s="1" t="s">
        <v>74</v>
      </c>
      <c r="D308" s="1" t="s">
        <v>74</v>
      </c>
      <c r="E308" s="1" t="s">
        <v>74</v>
      </c>
      <c r="F308" s="1" t="s">
        <v>2155</v>
      </c>
      <c r="G308" s="1" t="s">
        <v>74</v>
      </c>
      <c r="H308" s="1" t="s">
        <v>74</v>
      </c>
      <c r="I308" s="1" t="s">
        <v>2156</v>
      </c>
      <c r="J308" s="1" t="s">
        <v>2157</v>
      </c>
      <c r="K308" s="1" t="s">
        <v>74</v>
      </c>
      <c r="L308" s="1" t="s">
        <v>74</v>
      </c>
      <c r="M308" s="1" t="s">
        <v>78</v>
      </c>
      <c r="N308" s="1" t="s">
        <v>79</v>
      </c>
      <c r="O308" s="1" t="s">
        <v>74</v>
      </c>
      <c r="P308" s="1" t="s">
        <v>74</v>
      </c>
      <c r="Q308" s="1" t="s">
        <v>74</v>
      </c>
      <c r="R308" s="1" t="s">
        <v>74</v>
      </c>
      <c r="S308" s="1" t="s">
        <v>74</v>
      </c>
      <c r="T308" s="1" t="s">
        <v>2158</v>
      </c>
      <c r="U308" s="1" t="s">
        <v>2159</v>
      </c>
      <c r="V308" s="1" t="s">
        <v>2160</v>
      </c>
      <c r="W308" s="1" t="s">
        <v>2161</v>
      </c>
      <c r="X308" s="1" t="s">
        <v>2162</v>
      </c>
      <c r="Y308" s="1" t="s">
        <v>2163</v>
      </c>
      <c r="Z308" s="1" t="s">
        <v>2164</v>
      </c>
      <c r="AA308" s="1" t="s">
        <v>2165</v>
      </c>
      <c r="AB308" s="1" t="s">
        <v>5471</v>
      </c>
      <c r="AC308" s="1" t="s">
        <v>74</v>
      </c>
      <c r="AD308" s="1" t="s">
        <v>74</v>
      </c>
      <c r="AE308" s="1" t="s">
        <v>74</v>
      </c>
      <c r="AF308" s="1" t="s">
        <v>74</v>
      </c>
      <c r="AG308" s="1">
        <v>40</v>
      </c>
      <c r="AH308" s="1">
        <v>63</v>
      </c>
      <c r="AI308" s="1">
        <v>65</v>
      </c>
      <c r="AJ308" s="1">
        <v>8</v>
      </c>
      <c r="AK308" s="1">
        <v>61</v>
      </c>
      <c r="AL308" s="1" t="s">
        <v>446</v>
      </c>
      <c r="AM308" s="1" t="s">
        <v>447</v>
      </c>
      <c r="AN308" s="1" t="s">
        <v>448</v>
      </c>
      <c r="AO308" s="1" t="s">
        <v>2167</v>
      </c>
      <c r="AP308" s="1" t="s">
        <v>2168</v>
      </c>
      <c r="AQ308" s="1" t="s">
        <v>74</v>
      </c>
      <c r="AR308" s="1" t="s">
        <v>2169</v>
      </c>
      <c r="AS308" s="1" t="s">
        <v>2170</v>
      </c>
      <c r="AT308" s="1" t="s">
        <v>151</v>
      </c>
      <c r="AU308" s="1">
        <v>2016</v>
      </c>
      <c r="AV308" s="1">
        <v>8</v>
      </c>
      <c r="AW308" s="1">
        <v>2</v>
      </c>
      <c r="AX308" s="1" t="s">
        <v>74</v>
      </c>
      <c r="AY308" s="1" t="s">
        <v>74</v>
      </c>
      <c r="AZ308" s="1" t="s">
        <v>259</v>
      </c>
      <c r="BA308" s="1" t="s">
        <v>74</v>
      </c>
      <c r="BB308" s="1">
        <v>124</v>
      </c>
      <c r="BC308" s="1">
        <v>138</v>
      </c>
      <c r="BD308" s="1" t="s">
        <v>74</v>
      </c>
      <c r="BE308" s="1" t="s">
        <v>2171</v>
      </c>
      <c r="BF308" s="1" t="str">
        <f>HYPERLINK("http://dx.doi.org/10.1287/serv.2016.0126","http://dx.doi.org/10.1287/serv.2016.0126")</f>
        <v>http://dx.doi.org/10.1287/serv.2016.0126</v>
      </c>
      <c r="BG308" s="1" t="s">
        <v>74</v>
      </c>
      <c r="BH308" s="1" t="s">
        <v>74</v>
      </c>
      <c r="BI308" s="1">
        <v>15</v>
      </c>
      <c r="BJ308" s="1" t="s">
        <v>877</v>
      </c>
      <c r="BK308" s="1" t="s">
        <v>101</v>
      </c>
      <c r="BL308" s="1" t="s">
        <v>154</v>
      </c>
      <c r="BM308" s="1" t="s">
        <v>2172</v>
      </c>
      <c r="BN308" s="1" t="s">
        <v>74</v>
      </c>
      <c r="BO308" s="1" t="s">
        <v>74</v>
      </c>
      <c r="BP308" s="1" t="s">
        <v>74</v>
      </c>
      <c r="BQ308" s="1" t="s">
        <v>74</v>
      </c>
      <c r="BR308" s="1" t="s">
        <v>4296</v>
      </c>
      <c r="BS308" s="1" t="s">
        <v>2173</v>
      </c>
      <c r="BT308" s="1" t="str">
        <f>HYPERLINK("https%3A%2F%2Fwww.webofscience.com%2Fwos%2Fwoscc%2Ffull-record%2FWOS:000390565900004","View Full Record in Web of Science")</f>
        <v>View Full Record in Web of Science</v>
      </c>
      <c r="BU308" s="1" t="s">
        <v>5876</v>
      </c>
      <c r="BV308" s="1" t="s">
        <v>10653</v>
      </c>
    </row>
    <row r="309" spans="1:75" ht="333.5" x14ac:dyDescent="0.35">
      <c r="A309" s="1" t="s">
        <v>72</v>
      </c>
      <c r="B309" s="1" t="s">
        <v>5472</v>
      </c>
      <c r="C309" s="1" t="s">
        <v>74</v>
      </c>
      <c r="D309" s="1" t="s">
        <v>74</v>
      </c>
      <c r="E309" s="1" t="s">
        <v>74</v>
      </c>
      <c r="F309" s="1" t="s">
        <v>5473</v>
      </c>
      <c r="G309" s="1" t="s">
        <v>74</v>
      </c>
      <c r="H309" s="1" t="s">
        <v>74</v>
      </c>
      <c r="I309" s="1" t="s">
        <v>5474</v>
      </c>
      <c r="J309" s="1" t="s">
        <v>5475</v>
      </c>
      <c r="K309" s="1" t="s">
        <v>74</v>
      </c>
      <c r="L309" s="1" t="s">
        <v>74</v>
      </c>
      <c r="M309" s="1" t="s">
        <v>78</v>
      </c>
      <c r="N309" s="1" t="s">
        <v>79</v>
      </c>
      <c r="O309" s="1" t="s">
        <v>74</v>
      </c>
      <c r="P309" s="1" t="s">
        <v>74</v>
      </c>
      <c r="Q309" s="1" t="s">
        <v>74</v>
      </c>
      <c r="R309" s="1" t="s">
        <v>74</v>
      </c>
      <c r="S309" s="1" t="s">
        <v>74</v>
      </c>
      <c r="T309" s="1" t="s">
        <v>5476</v>
      </c>
      <c r="U309" s="1" t="s">
        <v>5477</v>
      </c>
      <c r="V309" s="1" t="s">
        <v>5478</v>
      </c>
      <c r="W309" s="1" t="s">
        <v>5479</v>
      </c>
      <c r="X309" s="1" t="s">
        <v>5480</v>
      </c>
      <c r="Y309" s="1" t="s">
        <v>5481</v>
      </c>
      <c r="Z309" s="1" t="s">
        <v>5482</v>
      </c>
      <c r="AA309" s="1" t="s">
        <v>5483</v>
      </c>
      <c r="AB309" s="1" t="s">
        <v>5484</v>
      </c>
      <c r="AC309" s="1" t="s">
        <v>74</v>
      </c>
      <c r="AD309" s="1" t="s">
        <v>74</v>
      </c>
      <c r="AE309" s="1" t="s">
        <v>74</v>
      </c>
      <c r="AF309" s="1" t="s">
        <v>74</v>
      </c>
      <c r="AG309" s="1">
        <v>33</v>
      </c>
      <c r="AH309" s="1">
        <v>38</v>
      </c>
      <c r="AI309" s="1">
        <v>39</v>
      </c>
      <c r="AJ309" s="1">
        <v>1</v>
      </c>
      <c r="AK309" s="1">
        <v>29</v>
      </c>
      <c r="AL309" s="1" t="s">
        <v>1180</v>
      </c>
      <c r="AM309" s="1" t="s">
        <v>1181</v>
      </c>
      <c r="AN309" s="1" t="s">
        <v>1182</v>
      </c>
      <c r="AO309" s="1" t="s">
        <v>5485</v>
      </c>
      <c r="AP309" s="1" t="s">
        <v>5486</v>
      </c>
      <c r="AQ309" s="1" t="s">
        <v>74</v>
      </c>
      <c r="AR309" s="1" t="s">
        <v>5487</v>
      </c>
      <c r="AS309" s="1" t="s">
        <v>5488</v>
      </c>
      <c r="AT309" s="1" t="s">
        <v>74</v>
      </c>
      <c r="AU309" s="1">
        <v>2016</v>
      </c>
      <c r="AV309" s="1">
        <v>4</v>
      </c>
      <c r="AW309" s="1">
        <v>1</v>
      </c>
      <c r="AX309" s="1" t="s">
        <v>74</v>
      </c>
      <c r="AY309" s="1" t="s">
        <v>74</v>
      </c>
      <c r="AZ309" s="1" t="s">
        <v>74</v>
      </c>
      <c r="BA309" s="1" t="s">
        <v>74</v>
      </c>
      <c r="BB309" s="1">
        <v>75</v>
      </c>
      <c r="BC309" s="1">
        <v>88</v>
      </c>
      <c r="BD309" s="1" t="s">
        <v>74</v>
      </c>
      <c r="BE309" s="1" t="s">
        <v>5489</v>
      </c>
      <c r="BF309" s="1" t="str">
        <f>HYPERLINK("http://dx.doi.org/10.1080/21670811.2015.1093270","http://dx.doi.org/10.1080/21670811.2015.1093270")</f>
        <v>http://dx.doi.org/10.1080/21670811.2015.1093270</v>
      </c>
      <c r="BG309" s="1" t="s">
        <v>74</v>
      </c>
      <c r="BH309" s="1" t="s">
        <v>74</v>
      </c>
      <c r="BI309" s="1">
        <v>14</v>
      </c>
      <c r="BJ309" s="1" t="s">
        <v>1016</v>
      </c>
      <c r="BK309" s="1" t="s">
        <v>101</v>
      </c>
      <c r="BL309" s="1" t="s">
        <v>1016</v>
      </c>
      <c r="BM309" s="1" t="s">
        <v>5490</v>
      </c>
      <c r="BN309" s="1" t="s">
        <v>74</v>
      </c>
      <c r="BO309" s="1" t="s">
        <v>74</v>
      </c>
      <c r="BP309" s="1" t="s">
        <v>74</v>
      </c>
      <c r="BQ309" s="1" t="s">
        <v>74</v>
      </c>
      <c r="BR309" s="1" t="s">
        <v>4296</v>
      </c>
      <c r="BS309" s="1" t="s">
        <v>5491</v>
      </c>
      <c r="BT309" s="1" t="str">
        <f>HYPERLINK("https%3A%2F%2Fwww.webofscience.com%2Fwos%2Fwoscc%2Ffull-record%2FWOS:000387221400007","View Full Record in Web of Science")</f>
        <v>View Full Record in Web of Science</v>
      </c>
      <c r="BU309" s="1" t="s">
        <v>5876</v>
      </c>
      <c r="BV309" s="1" t="s">
        <v>10653</v>
      </c>
    </row>
    <row r="310" spans="1:75" ht="333.5" x14ac:dyDescent="0.35">
      <c r="A310" s="1" t="s">
        <v>578</v>
      </c>
      <c r="B310" s="1" t="s">
        <v>5492</v>
      </c>
      <c r="C310" s="1" t="s">
        <v>74</v>
      </c>
      <c r="D310" s="1" t="s">
        <v>5493</v>
      </c>
      <c r="E310" s="1" t="s">
        <v>74</v>
      </c>
      <c r="F310" s="1" t="s">
        <v>5494</v>
      </c>
      <c r="G310" s="1" t="s">
        <v>74</v>
      </c>
      <c r="H310" s="1" t="s">
        <v>74</v>
      </c>
      <c r="I310" s="1" t="s">
        <v>5495</v>
      </c>
      <c r="J310" s="1" t="s">
        <v>5496</v>
      </c>
      <c r="K310" s="1" t="s">
        <v>74</v>
      </c>
      <c r="L310" s="1" t="s">
        <v>74</v>
      </c>
      <c r="M310" s="1" t="s">
        <v>78</v>
      </c>
      <c r="N310" s="1" t="s">
        <v>584</v>
      </c>
      <c r="O310" s="1" t="s">
        <v>5497</v>
      </c>
      <c r="P310" s="1" t="s">
        <v>5498</v>
      </c>
      <c r="Q310" s="1" t="s">
        <v>5499</v>
      </c>
      <c r="R310" s="1" t="s">
        <v>5500</v>
      </c>
      <c r="S310" s="1" t="s">
        <v>74</v>
      </c>
      <c r="T310" s="1" t="s">
        <v>5501</v>
      </c>
      <c r="U310" s="1" t="s">
        <v>74</v>
      </c>
      <c r="V310" s="1" t="s">
        <v>5502</v>
      </c>
      <c r="W310" s="1" t="s">
        <v>5503</v>
      </c>
      <c r="X310" s="1" t="s">
        <v>5504</v>
      </c>
      <c r="Y310" s="1" t="s">
        <v>5505</v>
      </c>
      <c r="Z310" s="1" t="s">
        <v>5506</v>
      </c>
      <c r="AA310" s="1" t="s">
        <v>5507</v>
      </c>
      <c r="AB310" s="1" t="s">
        <v>74</v>
      </c>
      <c r="AC310" s="1" t="s">
        <v>5508</v>
      </c>
      <c r="AD310" s="1" t="s">
        <v>5509</v>
      </c>
      <c r="AE310" s="1" t="s">
        <v>5510</v>
      </c>
      <c r="AF310" s="1" t="s">
        <v>74</v>
      </c>
      <c r="AG310" s="1">
        <v>21</v>
      </c>
      <c r="AH310" s="1">
        <v>0</v>
      </c>
      <c r="AI310" s="1">
        <v>0</v>
      </c>
      <c r="AJ310" s="1">
        <v>0</v>
      </c>
      <c r="AK310" s="1">
        <v>1</v>
      </c>
      <c r="AL310" s="1" t="s">
        <v>3243</v>
      </c>
      <c r="AM310" s="1" t="s">
        <v>325</v>
      </c>
      <c r="AN310" s="1" t="s">
        <v>4053</v>
      </c>
      <c r="AO310" s="1" t="s">
        <v>74</v>
      </c>
      <c r="AP310" s="1" t="s">
        <v>74</v>
      </c>
      <c r="AQ310" s="1" t="s">
        <v>5511</v>
      </c>
      <c r="AR310" s="1" t="s">
        <v>74</v>
      </c>
      <c r="AS310" s="1" t="s">
        <v>74</v>
      </c>
      <c r="AT310" s="1" t="s">
        <v>74</v>
      </c>
      <c r="AU310" s="1">
        <v>2016</v>
      </c>
      <c r="AV310" s="1" t="s">
        <v>74</v>
      </c>
      <c r="AW310" s="1" t="s">
        <v>74</v>
      </c>
      <c r="AX310" s="1" t="s">
        <v>74</v>
      </c>
      <c r="AY310" s="1" t="s">
        <v>74</v>
      </c>
      <c r="AZ310" s="1" t="s">
        <v>74</v>
      </c>
      <c r="BA310" s="1" t="s">
        <v>74</v>
      </c>
      <c r="BB310" s="1" t="s">
        <v>74</v>
      </c>
      <c r="BC310" s="1" t="s">
        <v>74</v>
      </c>
      <c r="BD310" s="1" t="s">
        <v>74</v>
      </c>
      <c r="BE310" s="1" t="s">
        <v>74</v>
      </c>
      <c r="BF310" s="1" t="s">
        <v>74</v>
      </c>
      <c r="BG310" s="1" t="s">
        <v>74</v>
      </c>
      <c r="BH310" s="1" t="s">
        <v>74</v>
      </c>
      <c r="BI310" s="1">
        <v>5</v>
      </c>
      <c r="BJ310" s="1" t="s">
        <v>2114</v>
      </c>
      <c r="BK310" s="1" t="s">
        <v>604</v>
      </c>
      <c r="BL310" s="1" t="s">
        <v>417</v>
      </c>
      <c r="BM310" s="1" t="s">
        <v>5512</v>
      </c>
      <c r="BN310" s="1" t="s">
        <v>74</v>
      </c>
      <c r="BO310" s="1" t="s">
        <v>74</v>
      </c>
      <c r="BP310" s="1" t="s">
        <v>74</v>
      </c>
      <c r="BQ310" s="1" t="s">
        <v>74</v>
      </c>
      <c r="BR310" s="1" t="s">
        <v>4296</v>
      </c>
      <c r="BS310" s="1" t="s">
        <v>5513</v>
      </c>
      <c r="BT310" s="1" t="str">
        <f>HYPERLINK("https%3A%2F%2Fwww.webofscience.com%2Fwos%2Fwoscc%2Ffull-record%2FWOS:000405610900002","View Full Record in Web of Science")</f>
        <v>View Full Record in Web of Science</v>
      </c>
      <c r="BU310" s="1" t="s">
        <v>5876</v>
      </c>
      <c r="BV310" s="1" t="s">
        <v>10653</v>
      </c>
    </row>
    <row r="311" spans="1:75" ht="333.5" x14ac:dyDescent="0.35">
      <c r="A311" s="1" t="s">
        <v>578</v>
      </c>
      <c r="B311" s="1" t="s">
        <v>5514</v>
      </c>
      <c r="C311" s="1" t="s">
        <v>74</v>
      </c>
      <c r="D311" s="1" t="s">
        <v>5515</v>
      </c>
      <c r="E311" s="1" t="s">
        <v>74</v>
      </c>
      <c r="F311" s="1" t="s">
        <v>5516</v>
      </c>
      <c r="G311" s="1" t="s">
        <v>74</v>
      </c>
      <c r="H311" s="1" t="s">
        <v>74</v>
      </c>
      <c r="I311" s="1" t="s">
        <v>5517</v>
      </c>
      <c r="J311" s="1" t="s">
        <v>5518</v>
      </c>
      <c r="K311" s="1" t="s">
        <v>5519</v>
      </c>
      <c r="L311" s="1" t="s">
        <v>74</v>
      </c>
      <c r="M311" s="1" t="s">
        <v>78</v>
      </c>
      <c r="N311" s="1" t="s">
        <v>584</v>
      </c>
      <c r="O311" s="1" t="s">
        <v>5520</v>
      </c>
      <c r="P311" s="1" t="s">
        <v>5521</v>
      </c>
      <c r="Q311" s="1" t="s">
        <v>5522</v>
      </c>
      <c r="R311" s="1" t="s">
        <v>74</v>
      </c>
      <c r="S311" s="1" t="s">
        <v>74</v>
      </c>
      <c r="T311" s="1" t="s">
        <v>5523</v>
      </c>
      <c r="U311" s="1" t="s">
        <v>74</v>
      </c>
      <c r="V311" s="1" t="s">
        <v>5524</v>
      </c>
      <c r="W311" s="1" t="s">
        <v>5525</v>
      </c>
      <c r="X311" s="1" t="s">
        <v>5526</v>
      </c>
      <c r="Y311" s="1" t="s">
        <v>5527</v>
      </c>
      <c r="Z311" s="1" t="s">
        <v>5528</v>
      </c>
      <c r="AA311" s="1" t="s">
        <v>5507</v>
      </c>
      <c r="AB311" s="1" t="s">
        <v>74</v>
      </c>
      <c r="AC311" s="1" t="s">
        <v>5508</v>
      </c>
      <c r="AD311" s="1" t="s">
        <v>5509</v>
      </c>
      <c r="AE311" s="1" t="s">
        <v>5510</v>
      </c>
      <c r="AF311" s="1" t="s">
        <v>74</v>
      </c>
      <c r="AG311" s="1">
        <v>21</v>
      </c>
      <c r="AH311" s="1">
        <v>1</v>
      </c>
      <c r="AI311" s="1">
        <v>1</v>
      </c>
      <c r="AJ311" s="1">
        <v>0</v>
      </c>
      <c r="AK311" s="1">
        <v>1</v>
      </c>
      <c r="AL311" s="1" t="s">
        <v>5529</v>
      </c>
      <c r="AM311" s="1" t="s">
        <v>5530</v>
      </c>
      <c r="AN311" s="1" t="s">
        <v>5531</v>
      </c>
      <c r="AO311" s="1" t="s">
        <v>5532</v>
      </c>
      <c r="AP311" s="1" t="s">
        <v>5533</v>
      </c>
      <c r="AQ311" s="1" t="s">
        <v>5534</v>
      </c>
      <c r="AR311" s="1" t="s">
        <v>5535</v>
      </c>
      <c r="AS311" s="1" t="s">
        <v>74</v>
      </c>
      <c r="AT311" s="1" t="s">
        <v>74</v>
      </c>
      <c r="AU311" s="1">
        <v>2016</v>
      </c>
      <c r="AV311" s="1">
        <v>663</v>
      </c>
      <c r="AW311" s="1" t="s">
        <v>74</v>
      </c>
      <c r="AX311" s="1" t="s">
        <v>74</v>
      </c>
      <c r="AY311" s="1" t="s">
        <v>74</v>
      </c>
      <c r="AZ311" s="1" t="s">
        <v>74</v>
      </c>
      <c r="BA311" s="1" t="s">
        <v>74</v>
      </c>
      <c r="BB311" s="1">
        <v>607</v>
      </c>
      <c r="BC311" s="1">
        <v>617</v>
      </c>
      <c r="BD311" s="1" t="s">
        <v>74</v>
      </c>
      <c r="BE311" s="1" t="s">
        <v>5536</v>
      </c>
      <c r="BF311" s="1" t="str">
        <f>HYPERLINK("http://dx.doi.org/10.1007/978-981-10-3005-5_50","http://dx.doi.org/10.1007/978-981-10-3005-5_50")</f>
        <v>http://dx.doi.org/10.1007/978-981-10-3005-5_50</v>
      </c>
      <c r="BG311" s="1" t="s">
        <v>74</v>
      </c>
      <c r="BH311" s="1" t="s">
        <v>74</v>
      </c>
      <c r="BI311" s="1">
        <v>11</v>
      </c>
      <c r="BJ311" s="1" t="s">
        <v>5537</v>
      </c>
      <c r="BK311" s="1" t="s">
        <v>604</v>
      </c>
      <c r="BL311" s="1" t="s">
        <v>733</v>
      </c>
      <c r="BM311" s="1" t="s">
        <v>5538</v>
      </c>
      <c r="BN311" s="1" t="s">
        <v>74</v>
      </c>
      <c r="BO311" s="1" t="s">
        <v>74</v>
      </c>
      <c r="BP311" s="1" t="s">
        <v>74</v>
      </c>
      <c r="BQ311" s="1" t="s">
        <v>74</v>
      </c>
      <c r="BR311" s="1" t="s">
        <v>4296</v>
      </c>
      <c r="BS311" s="1" t="s">
        <v>5539</v>
      </c>
      <c r="BT311" s="1" t="str">
        <f>HYPERLINK("https%3A%2F%2Fwww.webofscience.com%2Fwos%2Fwoscc%2Ffull-record%2FWOS:000406539900050","View Full Record in Web of Science")</f>
        <v>View Full Record in Web of Science</v>
      </c>
      <c r="BU311" s="1" t="s">
        <v>5876</v>
      </c>
      <c r="BV311" s="1" t="s">
        <v>10653</v>
      </c>
    </row>
    <row r="312" spans="1:75" ht="348" x14ac:dyDescent="0.35">
      <c r="A312" s="1" t="s">
        <v>578</v>
      </c>
      <c r="B312" s="1" t="s">
        <v>5540</v>
      </c>
      <c r="C312" s="1" t="s">
        <v>74</v>
      </c>
      <c r="D312" s="1" t="s">
        <v>74</v>
      </c>
      <c r="E312" s="1" t="s">
        <v>1537</v>
      </c>
      <c r="F312" s="1" t="s">
        <v>5541</v>
      </c>
      <c r="G312" s="1" t="s">
        <v>74</v>
      </c>
      <c r="H312" s="1" t="s">
        <v>74</v>
      </c>
      <c r="I312" s="1" t="s">
        <v>5542</v>
      </c>
      <c r="J312" s="1" t="s">
        <v>5543</v>
      </c>
      <c r="K312" s="1" t="s">
        <v>74</v>
      </c>
      <c r="L312" s="1" t="s">
        <v>74</v>
      </c>
      <c r="M312" s="1" t="s">
        <v>78</v>
      </c>
      <c r="N312" s="1" t="s">
        <v>584</v>
      </c>
      <c r="O312" s="1" t="s">
        <v>5544</v>
      </c>
      <c r="P312" s="1" t="s">
        <v>5545</v>
      </c>
      <c r="Q312" s="1" t="s">
        <v>5546</v>
      </c>
      <c r="R312" s="1" t="s">
        <v>5547</v>
      </c>
      <c r="S312" s="1" t="s">
        <v>74</v>
      </c>
      <c r="T312" s="1" t="s">
        <v>5548</v>
      </c>
      <c r="U312" s="1" t="s">
        <v>5549</v>
      </c>
      <c r="V312" s="1" t="s">
        <v>5550</v>
      </c>
      <c r="W312" s="1" t="s">
        <v>5551</v>
      </c>
      <c r="X312" s="1" t="s">
        <v>5552</v>
      </c>
      <c r="Y312" s="1" t="s">
        <v>5553</v>
      </c>
      <c r="Z312" s="1" t="s">
        <v>5554</v>
      </c>
      <c r="AA312" s="1" t="s">
        <v>74</v>
      </c>
      <c r="AB312" s="1" t="s">
        <v>5555</v>
      </c>
      <c r="AC312" s="1" t="s">
        <v>74</v>
      </c>
      <c r="AD312" s="1" t="s">
        <v>74</v>
      </c>
      <c r="AE312" s="1" t="s">
        <v>74</v>
      </c>
      <c r="AF312" s="1" t="s">
        <v>74</v>
      </c>
      <c r="AG312" s="1">
        <v>27</v>
      </c>
      <c r="AH312" s="1">
        <v>4</v>
      </c>
      <c r="AI312" s="1">
        <v>4</v>
      </c>
      <c r="AJ312" s="1">
        <v>0</v>
      </c>
      <c r="AK312" s="1">
        <v>5</v>
      </c>
      <c r="AL312" s="1" t="s">
        <v>599</v>
      </c>
      <c r="AM312" s="1" t="s">
        <v>325</v>
      </c>
      <c r="AN312" s="1" t="s">
        <v>600</v>
      </c>
      <c r="AO312" s="1" t="s">
        <v>74</v>
      </c>
      <c r="AP312" s="1" t="s">
        <v>74</v>
      </c>
      <c r="AQ312" s="1" t="s">
        <v>5556</v>
      </c>
      <c r="AR312" s="1" t="s">
        <v>74</v>
      </c>
      <c r="AS312" s="1" t="s">
        <v>74</v>
      </c>
      <c r="AT312" s="1" t="s">
        <v>74</v>
      </c>
      <c r="AU312" s="1">
        <v>2016</v>
      </c>
      <c r="AV312" s="1" t="s">
        <v>74</v>
      </c>
      <c r="AW312" s="1" t="s">
        <v>74</v>
      </c>
      <c r="AX312" s="1" t="s">
        <v>74</v>
      </c>
      <c r="AY312" s="1" t="s">
        <v>74</v>
      </c>
      <c r="AZ312" s="1" t="s">
        <v>74</v>
      </c>
      <c r="BA312" s="1" t="s">
        <v>74</v>
      </c>
      <c r="BB312" s="1">
        <v>309</v>
      </c>
      <c r="BC312" s="1">
        <v>314</v>
      </c>
      <c r="BD312" s="1" t="s">
        <v>74</v>
      </c>
      <c r="BE312" s="1" t="s">
        <v>5557</v>
      </c>
      <c r="BF312" s="1" t="str">
        <f>HYPERLINK("http://dx.doi.org/10.1145/2914586.2914634","http://dx.doi.org/10.1145/2914586.2914634")</f>
        <v>http://dx.doi.org/10.1145/2914586.2914634</v>
      </c>
      <c r="BG312" s="1" t="s">
        <v>74</v>
      </c>
      <c r="BH312" s="1" t="s">
        <v>74</v>
      </c>
      <c r="BI312" s="1">
        <v>6</v>
      </c>
      <c r="BJ312" s="1" t="s">
        <v>2102</v>
      </c>
      <c r="BK312" s="1" t="s">
        <v>604</v>
      </c>
      <c r="BL312" s="1" t="s">
        <v>733</v>
      </c>
      <c r="BM312" s="1" t="s">
        <v>5558</v>
      </c>
      <c r="BN312" s="1" t="s">
        <v>74</v>
      </c>
      <c r="BO312" s="1" t="s">
        <v>74</v>
      </c>
      <c r="BP312" s="1" t="s">
        <v>74</v>
      </c>
      <c r="BQ312" s="1" t="s">
        <v>74</v>
      </c>
      <c r="BR312" s="1" t="s">
        <v>4296</v>
      </c>
      <c r="BS312" s="1" t="s">
        <v>5559</v>
      </c>
      <c r="BT312" s="1" t="str">
        <f>HYPERLINK("https%3A%2F%2Fwww.webofscience.com%2Fwos%2Fwoscc%2Ffull-record%2FWOS:000383738200041","View Full Record in Web of Science")</f>
        <v>View Full Record in Web of Science</v>
      </c>
      <c r="BU312" s="1" t="s">
        <v>5876</v>
      </c>
      <c r="BV312" s="1" t="s">
        <v>10653</v>
      </c>
    </row>
    <row r="313" spans="1:75" x14ac:dyDescent="0.35">
      <c r="A313" t="s">
        <v>72</v>
      </c>
      <c r="B313" t="s">
        <v>6629</v>
      </c>
      <c r="C313" t="s">
        <v>74</v>
      </c>
      <c r="D313" t="s">
        <v>74</v>
      </c>
      <c r="E313" t="s">
        <v>74</v>
      </c>
      <c r="F313" t="s">
        <v>6630</v>
      </c>
      <c r="G313" t="s">
        <v>74</v>
      </c>
      <c r="H313" t="s">
        <v>74</v>
      </c>
      <c r="I313" t="s">
        <v>6631</v>
      </c>
      <c r="J313" t="s">
        <v>6632</v>
      </c>
      <c r="K313" t="s">
        <v>74</v>
      </c>
      <c r="L313" t="s">
        <v>74</v>
      </c>
      <c r="M313" t="s">
        <v>78</v>
      </c>
      <c r="N313" t="s">
        <v>79</v>
      </c>
      <c r="O313" t="s">
        <v>74</v>
      </c>
      <c r="P313" t="s">
        <v>74</v>
      </c>
      <c r="Q313" t="s">
        <v>74</v>
      </c>
      <c r="R313" t="s">
        <v>74</v>
      </c>
      <c r="S313" t="s">
        <v>74</v>
      </c>
      <c r="T313" t="s">
        <v>6633</v>
      </c>
      <c r="U313" t="s">
        <v>6634</v>
      </c>
      <c r="V313" t="s">
        <v>6635</v>
      </c>
      <c r="W313" t="s">
        <v>6636</v>
      </c>
      <c r="X313" t="s">
        <v>6637</v>
      </c>
      <c r="Y313" t="s">
        <v>6638</v>
      </c>
      <c r="Z313" t="s">
        <v>6639</v>
      </c>
      <c r="AA313" t="s">
        <v>74</v>
      </c>
      <c r="AB313" t="s">
        <v>74</v>
      </c>
      <c r="AC313" t="s">
        <v>74</v>
      </c>
      <c r="AD313" t="s">
        <v>74</v>
      </c>
      <c r="AE313" t="s">
        <v>74</v>
      </c>
      <c r="AF313" t="s">
        <v>74</v>
      </c>
      <c r="AG313">
        <v>72</v>
      </c>
      <c r="AH313">
        <v>1</v>
      </c>
      <c r="AI313">
        <v>1</v>
      </c>
      <c r="AJ313">
        <v>0</v>
      </c>
      <c r="AK313">
        <v>1</v>
      </c>
      <c r="AL313" t="s">
        <v>1982</v>
      </c>
      <c r="AM313" t="s">
        <v>1983</v>
      </c>
      <c r="AN313" t="s">
        <v>2573</v>
      </c>
      <c r="AO313" t="s">
        <v>6640</v>
      </c>
      <c r="AP313" t="s">
        <v>6641</v>
      </c>
      <c r="AQ313" t="s">
        <v>74</v>
      </c>
      <c r="AR313" t="s">
        <v>6642</v>
      </c>
      <c r="AS313" t="s">
        <v>6643</v>
      </c>
      <c r="AT313" t="s">
        <v>74</v>
      </c>
      <c r="AU313">
        <v>2016</v>
      </c>
      <c r="AV313">
        <v>8</v>
      </c>
      <c r="AW313">
        <v>3</v>
      </c>
      <c r="AX313" t="s">
        <v>74</v>
      </c>
      <c r="AY313" t="s">
        <v>74</v>
      </c>
      <c r="AZ313" t="s">
        <v>74</v>
      </c>
      <c r="BA313" t="s">
        <v>74</v>
      </c>
      <c r="BB313">
        <v>434</v>
      </c>
      <c r="BC313">
        <v>451</v>
      </c>
      <c r="BD313" t="s">
        <v>74</v>
      </c>
      <c r="BE313" t="s">
        <v>6644</v>
      </c>
      <c r="BF313" t="str">
        <f>HYPERLINK("http://dx.doi.org/10.1108/JHRM-08-2014-0024","http://dx.doi.org/10.1108/JHRM-08-2014-0024")</f>
        <v>http://dx.doi.org/10.1108/JHRM-08-2014-0024</v>
      </c>
      <c r="BG313" t="s">
        <v>74</v>
      </c>
      <c r="BH313" t="s">
        <v>74</v>
      </c>
      <c r="BI313">
        <v>18</v>
      </c>
      <c r="BJ313" t="s">
        <v>153</v>
      </c>
      <c r="BK313" t="s">
        <v>3880</v>
      </c>
      <c r="BL313" t="s">
        <v>154</v>
      </c>
      <c r="BM313" t="s">
        <v>6645</v>
      </c>
      <c r="BN313" t="s">
        <v>74</v>
      </c>
      <c r="BO313" t="s">
        <v>74</v>
      </c>
      <c r="BP313" t="s">
        <v>74</v>
      </c>
      <c r="BQ313" t="s">
        <v>74</v>
      </c>
      <c r="BR313" t="s">
        <v>6098</v>
      </c>
      <c r="BS313" t="s">
        <v>6646</v>
      </c>
      <c r="BT313" t="str">
        <f>HYPERLINK("https%3A%2F%2Fwww.webofscience.com%2Fwos%2Fwoscc%2Ffull-record%2FWOS:000393049200007","View Full Record in Web of Science")</f>
        <v>View Full Record in Web of Science</v>
      </c>
      <c r="BU313" t="s">
        <v>6100</v>
      </c>
      <c r="BV313" s="1" t="s">
        <v>6080</v>
      </c>
      <c r="BW313" s="1" t="s">
        <v>10653</v>
      </c>
    </row>
    <row r="314" spans="1:75" x14ac:dyDescent="0.35">
      <c r="A314" t="s">
        <v>72</v>
      </c>
      <c r="B314" t="s">
        <v>6666</v>
      </c>
      <c r="C314" t="s">
        <v>74</v>
      </c>
      <c r="D314" t="s">
        <v>74</v>
      </c>
      <c r="E314" t="s">
        <v>74</v>
      </c>
      <c r="F314" t="s">
        <v>6667</v>
      </c>
      <c r="G314" t="s">
        <v>74</v>
      </c>
      <c r="H314" t="s">
        <v>74</v>
      </c>
      <c r="I314" t="s">
        <v>6668</v>
      </c>
      <c r="J314" t="s">
        <v>198</v>
      </c>
      <c r="K314" t="s">
        <v>74</v>
      </c>
      <c r="L314" t="s">
        <v>74</v>
      </c>
      <c r="M314" t="s">
        <v>78</v>
      </c>
      <c r="N314" t="s">
        <v>110</v>
      </c>
      <c r="O314" t="s">
        <v>74</v>
      </c>
      <c r="P314" t="s">
        <v>74</v>
      </c>
      <c r="Q314" t="s">
        <v>74</v>
      </c>
      <c r="R314" t="s">
        <v>74</v>
      </c>
      <c r="S314" t="s">
        <v>74</v>
      </c>
      <c r="T314" t="s">
        <v>74</v>
      </c>
      <c r="U314" t="s">
        <v>6669</v>
      </c>
      <c r="V314" t="s">
        <v>6670</v>
      </c>
      <c r="W314" t="s">
        <v>6671</v>
      </c>
      <c r="X314" t="s">
        <v>6672</v>
      </c>
      <c r="Y314" t="s">
        <v>6673</v>
      </c>
      <c r="Z314" t="s">
        <v>6674</v>
      </c>
      <c r="AA314" t="s">
        <v>6675</v>
      </c>
      <c r="AB314" t="s">
        <v>6676</v>
      </c>
      <c r="AC314" t="s">
        <v>74</v>
      </c>
      <c r="AD314" t="s">
        <v>74</v>
      </c>
      <c r="AE314" t="s">
        <v>74</v>
      </c>
      <c r="AF314" t="s">
        <v>74</v>
      </c>
      <c r="AG314">
        <v>49</v>
      </c>
      <c r="AH314">
        <v>8</v>
      </c>
      <c r="AI314">
        <v>8</v>
      </c>
      <c r="AJ314">
        <v>3</v>
      </c>
      <c r="AK314">
        <v>63</v>
      </c>
      <c r="AL314" t="s">
        <v>206</v>
      </c>
      <c r="AM314" t="s">
        <v>207</v>
      </c>
      <c r="AN314" t="s">
        <v>208</v>
      </c>
      <c r="AO314" t="s">
        <v>209</v>
      </c>
      <c r="AP314" t="s">
        <v>210</v>
      </c>
      <c r="AQ314" t="s">
        <v>74</v>
      </c>
      <c r="AR314" t="s">
        <v>211</v>
      </c>
      <c r="AS314" t="s">
        <v>212</v>
      </c>
      <c r="AT314" t="s">
        <v>348</v>
      </c>
      <c r="AU314">
        <v>2016</v>
      </c>
      <c r="AV314">
        <v>33</v>
      </c>
      <c r="AW314">
        <v>12</v>
      </c>
      <c r="AX314" t="s">
        <v>74</v>
      </c>
      <c r="AY314" t="s">
        <v>74</v>
      </c>
      <c r="AZ314" t="s">
        <v>74</v>
      </c>
      <c r="BA314" t="s">
        <v>74</v>
      </c>
      <c r="BB314">
        <v>1112</v>
      </c>
      <c r="BC314">
        <v>1118</v>
      </c>
      <c r="BD314" t="s">
        <v>74</v>
      </c>
      <c r="BE314" t="s">
        <v>6677</v>
      </c>
      <c r="BF314" t="str">
        <f>HYPERLINK("http://dx.doi.org/10.1002/mar.20946","http://dx.doi.org/10.1002/mar.20946")</f>
        <v>http://dx.doi.org/10.1002/mar.20946</v>
      </c>
      <c r="BG314" t="s">
        <v>74</v>
      </c>
      <c r="BH314" t="s">
        <v>74</v>
      </c>
      <c r="BI314">
        <v>7</v>
      </c>
      <c r="BJ314" t="s">
        <v>215</v>
      </c>
      <c r="BK314" t="s">
        <v>101</v>
      </c>
      <c r="BL314" t="s">
        <v>216</v>
      </c>
      <c r="BM314" t="s">
        <v>6678</v>
      </c>
      <c r="BN314" t="s">
        <v>74</v>
      </c>
      <c r="BO314" t="s">
        <v>156</v>
      </c>
      <c r="BP314" t="s">
        <v>74</v>
      </c>
      <c r="BQ314" t="s">
        <v>74</v>
      </c>
      <c r="BR314" t="s">
        <v>6098</v>
      </c>
      <c r="BS314" t="s">
        <v>6679</v>
      </c>
      <c r="BT314" t="str">
        <f>HYPERLINK("https%3A%2F%2Fwww.webofscience.com%2Fwos%2Fwoscc%2Ffull-record%2FWOS:000387777000012","View Full Record in Web of Science")</f>
        <v>View Full Record in Web of Science</v>
      </c>
      <c r="BU314" t="s">
        <v>6100</v>
      </c>
      <c r="BV314" s="1" t="s">
        <v>6080</v>
      </c>
      <c r="BW314" s="1" t="s">
        <v>6080</v>
      </c>
    </row>
    <row r="315" spans="1:75" x14ac:dyDescent="0.35">
      <c r="A315" t="s">
        <v>72</v>
      </c>
      <c r="B315" t="s">
        <v>6959</v>
      </c>
      <c r="C315" t="s">
        <v>74</v>
      </c>
      <c r="D315" t="s">
        <v>74</v>
      </c>
      <c r="E315" t="s">
        <v>74</v>
      </c>
      <c r="F315" t="s">
        <v>6960</v>
      </c>
      <c r="G315" t="s">
        <v>74</v>
      </c>
      <c r="H315" t="s">
        <v>74</v>
      </c>
      <c r="I315" t="s">
        <v>6961</v>
      </c>
      <c r="J315" t="s">
        <v>3737</v>
      </c>
      <c r="K315" t="s">
        <v>74</v>
      </c>
      <c r="L315" t="s">
        <v>74</v>
      </c>
      <c r="M315" t="s">
        <v>78</v>
      </c>
      <c r="N315" t="s">
        <v>79</v>
      </c>
      <c r="O315" t="s">
        <v>74</v>
      </c>
      <c r="P315" t="s">
        <v>74</v>
      </c>
      <c r="Q315" t="s">
        <v>74</v>
      </c>
      <c r="R315" t="s">
        <v>74</v>
      </c>
      <c r="S315" t="s">
        <v>74</v>
      </c>
      <c r="T315" t="s">
        <v>6962</v>
      </c>
      <c r="U315" t="s">
        <v>6963</v>
      </c>
      <c r="V315" t="s">
        <v>6964</v>
      </c>
      <c r="W315" t="s">
        <v>6965</v>
      </c>
      <c r="X315" t="s">
        <v>6966</v>
      </c>
      <c r="Y315" t="s">
        <v>6967</v>
      </c>
      <c r="Z315" t="s">
        <v>6968</v>
      </c>
      <c r="AA315" t="s">
        <v>74</v>
      </c>
      <c r="AB315" t="s">
        <v>6969</v>
      </c>
      <c r="AC315" t="s">
        <v>74</v>
      </c>
      <c r="AD315" t="s">
        <v>74</v>
      </c>
      <c r="AE315" t="s">
        <v>74</v>
      </c>
      <c r="AF315" t="s">
        <v>74</v>
      </c>
      <c r="AG315">
        <v>91</v>
      </c>
      <c r="AH315">
        <v>75</v>
      </c>
      <c r="AI315">
        <v>75</v>
      </c>
      <c r="AJ315">
        <v>15</v>
      </c>
      <c r="AK315">
        <v>148</v>
      </c>
      <c r="AL315" t="s">
        <v>324</v>
      </c>
      <c r="AM315" t="s">
        <v>325</v>
      </c>
      <c r="AN315" t="s">
        <v>2004</v>
      </c>
      <c r="AO315" t="s">
        <v>3743</v>
      </c>
      <c r="AP315" t="s">
        <v>3831</v>
      </c>
      <c r="AQ315" t="s">
        <v>74</v>
      </c>
      <c r="AR315" t="s">
        <v>3744</v>
      </c>
      <c r="AS315" t="s">
        <v>3745</v>
      </c>
      <c r="AT315" t="s">
        <v>213</v>
      </c>
      <c r="AU315">
        <v>2016</v>
      </c>
      <c r="AV315">
        <v>69</v>
      </c>
      <c r="AW315">
        <v>1</v>
      </c>
      <c r="AX315" t="s">
        <v>74</v>
      </c>
      <c r="AY315" t="s">
        <v>74</v>
      </c>
      <c r="AZ315" t="s">
        <v>259</v>
      </c>
      <c r="BA315" t="s">
        <v>74</v>
      </c>
      <c r="BB315">
        <v>304</v>
      </c>
      <c r="BC315">
        <v>313</v>
      </c>
      <c r="BD315" t="s">
        <v>74</v>
      </c>
      <c r="BE315" t="s">
        <v>6970</v>
      </c>
      <c r="BF315" t="str">
        <f>HYPERLINK("http://dx.doi.org/10.1016/j.jbusres.2015.08.002","http://dx.doi.org/10.1016/j.jbusres.2015.08.002")</f>
        <v>http://dx.doi.org/10.1016/j.jbusres.2015.08.002</v>
      </c>
      <c r="BG315" t="s">
        <v>74</v>
      </c>
      <c r="BH315" t="s">
        <v>74</v>
      </c>
      <c r="BI315">
        <v>10</v>
      </c>
      <c r="BJ315" t="s">
        <v>153</v>
      </c>
      <c r="BK315" t="s">
        <v>101</v>
      </c>
      <c r="BL315" t="s">
        <v>154</v>
      </c>
      <c r="BM315" t="s">
        <v>6971</v>
      </c>
      <c r="BN315" t="s">
        <v>74</v>
      </c>
      <c r="BO315" t="s">
        <v>74</v>
      </c>
      <c r="BP315" t="s">
        <v>74</v>
      </c>
      <c r="BQ315" t="s">
        <v>74</v>
      </c>
      <c r="BR315" t="s">
        <v>6098</v>
      </c>
      <c r="BS315" t="s">
        <v>6972</v>
      </c>
      <c r="BT315" t="str">
        <f>HYPERLINK("https%3A%2F%2Fwww.webofscience.com%2Fwos%2Fwoscc%2Ffull-record%2FWOS:000366069600030","View Full Record in Web of Science")</f>
        <v>View Full Record in Web of Science</v>
      </c>
      <c r="BU315" t="s">
        <v>6100</v>
      </c>
      <c r="BV315" s="1" t="s">
        <v>10653</v>
      </c>
    </row>
    <row r="316" spans="1:75" x14ac:dyDescent="0.35">
      <c r="A316" t="s">
        <v>72</v>
      </c>
      <c r="B316" t="s">
        <v>7051</v>
      </c>
      <c r="C316" t="s">
        <v>74</v>
      </c>
      <c r="D316" t="s">
        <v>74</v>
      </c>
      <c r="E316" t="s">
        <v>74</v>
      </c>
      <c r="F316" t="s">
        <v>7052</v>
      </c>
      <c r="G316" t="s">
        <v>74</v>
      </c>
      <c r="H316" t="s">
        <v>74</v>
      </c>
      <c r="I316" t="s">
        <v>7053</v>
      </c>
      <c r="J316" t="s">
        <v>7054</v>
      </c>
      <c r="K316" t="s">
        <v>74</v>
      </c>
      <c r="L316" t="s">
        <v>74</v>
      </c>
      <c r="M316" t="s">
        <v>78</v>
      </c>
      <c r="N316" t="s">
        <v>79</v>
      </c>
      <c r="O316" t="s">
        <v>74</v>
      </c>
      <c r="P316" t="s">
        <v>74</v>
      </c>
      <c r="Q316" t="s">
        <v>74</v>
      </c>
      <c r="R316" t="s">
        <v>74</v>
      </c>
      <c r="S316" t="s">
        <v>74</v>
      </c>
      <c r="T316" t="s">
        <v>7055</v>
      </c>
      <c r="U316" t="s">
        <v>7056</v>
      </c>
      <c r="V316" t="s">
        <v>7057</v>
      </c>
      <c r="W316" t="s">
        <v>7058</v>
      </c>
      <c r="X316" t="s">
        <v>7059</v>
      </c>
      <c r="Y316" t="s">
        <v>7060</v>
      </c>
      <c r="Z316" t="s">
        <v>7061</v>
      </c>
      <c r="AA316" t="s">
        <v>74</v>
      </c>
      <c r="AB316" t="s">
        <v>7062</v>
      </c>
      <c r="AC316" t="s">
        <v>7063</v>
      </c>
      <c r="AD316" t="s">
        <v>7064</v>
      </c>
      <c r="AE316" t="s">
        <v>7065</v>
      </c>
      <c r="AF316" t="s">
        <v>74</v>
      </c>
      <c r="AG316">
        <v>45</v>
      </c>
      <c r="AH316">
        <v>16</v>
      </c>
      <c r="AI316">
        <v>18</v>
      </c>
      <c r="AJ316">
        <v>4</v>
      </c>
      <c r="AK316">
        <v>52</v>
      </c>
      <c r="AL316" t="s">
        <v>1982</v>
      </c>
      <c r="AM316" t="s">
        <v>1983</v>
      </c>
      <c r="AN316" t="s">
        <v>2573</v>
      </c>
      <c r="AO316" t="s">
        <v>7066</v>
      </c>
      <c r="AP316" t="s">
        <v>7067</v>
      </c>
      <c r="AQ316" t="s">
        <v>74</v>
      </c>
      <c r="AR316" t="s">
        <v>7068</v>
      </c>
      <c r="AS316" t="s">
        <v>7069</v>
      </c>
      <c r="AT316" t="s">
        <v>74</v>
      </c>
      <c r="AU316">
        <v>2016</v>
      </c>
      <c r="AV316">
        <v>21</v>
      </c>
      <c r="AW316">
        <v>1</v>
      </c>
      <c r="AX316" t="s">
        <v>74</v>
      </c>
      <c r="AY316" t="s">
        <v>74</v>
      </c>
      <c r="AZ316" t="s">
        <v>74</v>
      </c>
      <c r="BA316" t="s">
        <v>74</v>
      </c>
      <c r="BB316">
        <v>56</v>
      </c>
      <c r="BC316">
        <v>72</v>
      </c>
      <c r="BD316" t="s">
        <v>74</v>
      </c>
      <c r="BE316" t="s">
        <v>7070</v>
      </c>
      <c r="BF316" t="str">
        <f>HYPERLINK("http://dx.doi.org/10.1108/CCIJ-10-2014-0065","http://dx.doi.org/10.1108/CCIJ-10-2014-0065")</f>
        <v>http://dx.doi.org/10.1108/CCIJ-10-2014-0065</v>
      </c>
      <c r="BG316" t="s">
        <v>74</v>
      </c>
      <c r="BH316" t="s">
        <v>74</v>
      </c>
      <c r="BI316">
        <v>17</v>
      </c>
      <c r="BJ316" t="s">
        <v>153</v>
      </c>
      <c r="BK316" t="s">
        <v>3880</v>
      </c>
      <c r="BL316" t="s">
        <v>154</v>
      </c>
      <c r="BM316" t="s">
        <v>7071</v>
      </c>
      <c r="BN316" t="s">
        <v>74</v>
      </c>
      <c r="BO316" t="s">
        <v>74</v>
      </c>
      <c r="BP316" t="s">
        <v>74</v>
      </c>
      <c r="BQ316" t="s">
        <v>74</v>
      </c>
      <c r="BR316" t="s">
        <v>6098</v>
      </c>
      <c r="BS316" t="s">
        <v>7072</v>
      </c>
      <c r="BT316" t="str">
        <f>HYPERLINK("https%3A%2F%2Fwww.webofscience.com%2Fwos%2Fwoscc%2Ffull-record%2FWOS:000381979400004","View Full Record in Web of Science")</f>
        <v>View Full Record in Web of Science</v>
      </c>
      <c r="BU316" t="s">
        <v>6100</v>
      </c>
      <c r="BV316" s="1" t="s">
        <v>10653</v>
      </c>
    </row>
    <row r="317" spans="1:75" x14ac:dyDescent="0.35">
      <c r="A317" t="s">
        <v>72</v>
      </c>
      <c r="B317" t="s">
        <v>4249</v>
      </c>
      <c r="C317" t="s">
        <v>74</v>
      </c>
      <c r="D317" t="s">
        <v>74</v>
      </c>
      <c r="E317" t="s">
        <v>74</v>
      </c>
      <c r="F317" t="s">
        <v>4250</v>
      </c>
      <c r="G317" t="s">
        <v>74</v>
      </c>
      <c r="H317" t="s">
        <v>74</v>
      </c>
      <c r="I317" t="s">
        <v>4251</v>
      </c>
      <c r="J317" t="s">
        <v>436</v>
      </c>
      <c r="K317" t="s">
        <v>74</v>
      </c>
      <c r="L317" t="s">
        <v>74</v>
      </c>
      <c r="M317" t="s">
        <v>78</v>
      </c>
      <c r="N317" t="s">
        <v>79</v>
      </c>
      <c r="O317" t="s">
        <v>74</v>
      </c>
      <c r="P317" t="s">
        <v>74</v>
      </c>
      <c r="Q317" t="s">
        <v>74</v>
      </c>
      <c r="R317" t="s">
        <v>74</v>
      </c>
      <c r="S317" t="s">
        <v>74</v>
      </c>
      <c r="T317" t="s">
        <v>4252</v>
      </c>
      <c r="U317" t="s">
        <v>4253</v>
      </c>
      <c r="V317" t="s">
        <v>4254</v>
      </c>
      <c r="W317" t="s">
        <v>4255</v>
      </c>
      <c r="X317" t="s">
        <v>4204</v>
      </c>
      <c r="Y317" t="s">
        <v>4256</v>
      </c>
      <c r="Z317" t="s">
        <v>4257</v>
      </c>
      <c r="AA317" t="s">
        <v>4207</v>
      </c>
      <c r="AB317" t="s">
        <v>4258</v>
      </c>
      <c r="AC317" t="s">
        <v>74</v>
      </c>
      <c r="AD317" t="s">
        <v>74</v>
      </c>
      <c r="AE317" t="s">
        <v>74</v>
      </c>
      <c r="AF317" t="s">
        <v>74</v>
      </c>
      <c r="AG317">
        <v>52</v>
      </c>
      <c r="AH317">
        <v>84</v>
      </c>
      <c r="AI317">
        <v>84</v>
      </c>
      <c r="AJ317">
        <v>16</v>
      </c>
      <c r="AK317">
        <v>254</v>
      </c>
      <c r="AL317" t="s">
        <v>446</v>
      </c>
      <c r="AM317" t="s">
        <v>447</v>
      </c>
      <c r="AN317" t="s">
        <v>448</v>
      </c>
      <c r="AO317" t="s">
        <v>449</v>
      </c>
      <c r="AP317" t="s">
        <v>450</v>
      </c>
      <c r="AQ317" t="s">
        <v>74</v>
      </c>
      <c r="AR317" t="s">
        <v>451</v>
      </c>
      <c r="AS317" t="s">
        <v>452</v>
      </c>
      <c r="AT317" t="s">
        <v>760</v>
      </c>
      <c r="AU317">
        <v>2016</v>
      </c>
      <c r="AV317">
        <v>35</v>
      </c>
      <c r="AW317">
        <v>3</v>
      </c>
      <c r="AX317" t="s">
        <v>74</v>
      </c>
      <c r="AY317" t="s">
        <v>74</v>
      </c>
      <c r="AZ317" t="s">
        <v>259</v>
      </c>
      <c r="BA317" t="s">
        <v>74</v>
      </c>
      <c r="BB317">
        <v>363</v>
      </c>
      <c r="BC317">
        <v>388</v>
      </c>
      <c r="BD317" t="s">
        <v>74</v>
      </c>
      <c r="BE317" t="s">
        <v>4259</v>
      </c>
      <c r="BF317" t="str">
        <f>HYPERLINK("http://dx.doi.org/10.1287/mksc.2015.0972","http://dx.doi.org/10.1287/mksc.2015.0972")</f>
        <v>http://dx.doi.org/10.1287/mksc.2015.0972</v>
      </c>
      <c r="BG317" t="s">
        <v>74</v>
      </c>
      <c r="BH317" t="s">
        <v>74</v>
      </c>
      <c r="BI317">
        <v>26</v>
      </c>
      <c r="BJ317" t="s">
        <v>153</v>
      </c>
      <c r="BK317" t="s">
        <v>101</v>
      </c>
      <c r="BL317" t="s">
        <v>154</v>
      </c>
      <c r="BM317" t="s">
        <v>2063</v>
      </c>
      <c r="BN317" t="s">
        <v>74</v>
      </c>
      <c r="BO317" t="s">
        <v>74</v>
      </c>
      <c r="BP317" t="s">
        <v>74</v>
      </c>
      <c r="BQ317" t="s">
        <v>74</v>
      </c>
      <c r="BR317" t="s">
        <v>6098</v>
      </c>
      <c r="BS317" t="s">
        <v>4260</v>
      </c>
      <c r="BT317" t="str">
        <f>HYPERLINK("https%3A%2F%2Fwww.webofscience.com%2Fwos%2Fwoscc%2Ffull-record%2FWOS:000377348400003","View Full Record in Web of Science")</f>
        <v>View Full Record in Web of Science</v>
      </c>
      <c r="BU317" t="s">
        <v>6100</v>
      </c>
      <c r="BV317" s="1" t="s">
        <v>6080</v>
      </c>
      <c r="BW317" s="1" t="s">
        <v>6080</v>
      </c>
    </row>
    <row r="318" spans="1:75" x14ac:dyDescent="0.35">
      <c r="A318" t="s">
        <v>72</v>
      </c>
      <c r="B318" t="s">
        <v>7646</v>
      </c>
      <c r="C318" t="s">
        <v>74</v>
      </c>
      <c r="D318" t="s">
        <v>74</v>
      </c>
      <c r="E318" t="s">
        <v>74</v>
      </c>
      <c r="F318" t="s">
        <v>7647</v>
      </c>
      <c r="G318" t="s">
        <v>74</v>
      </c>
      <c r="H318" t="s">
        <v>74</v>
      </c>
      <c r="I318" t="s">
        <v>7648</v>
      </c>
      <c r="J318" t="s">
        <v>3838</v>
      </c>
      <c r="K318" t="s">
        <v>74</v>
      </c>
      <c r="L318" t="s">
        <v>74</v>
      </c>
      <c r="M318" t="s">
        <v>78</v>
      </c>
      <c r="N318" t="s">
        <v>110</v>
      </c>
      <c r="O318" t="s">
        <v>74</v>
      </c>
      <c r="P318" t="s">
        <v>74</v>
      </c>
      <c r="Q318" t="s">
        <v>74</v>
      </c>
      <c r="R318" t="s">
        <v>74</v>
      </c>
      <c r="S318" t="s">
        <v>74</v>
      </c>
      <c r="T318" t="s">
        <v>7649</v>
      </c>
      <c r="U318" t="s">
        <v>7650</v>
      </c>
      <c r="V318" t="s">
        <v>7651</v>
      </c>
      <c r="W318" t="s">
        <v>7652</v>
      </c>
      <c r="X318" t="s">
        <v>7653</v>
      </c>
      <c r="Y318" t="s">
        <v>7654</v>
      </c>
      <c r="Z318" t="s">
        <v>74</v>
      </c>
      <c r="AA318" t="s">
        <v>7655</v>
      </c>
      <c r="AB318" t="s">
        <v>7656</v>
      </c>
      <c r="AC318" t="s">
        <v>74</v>
      </c>
      <c r="AD318" t="s">
        <v>74</v>
      </c>
      <c r="AE318" t="s">
        <v>74</v>
      </c>
      <c r="AF318" t="s">
        <v>74</v>
      </c>
      <c r="AG318">
        <v>72</v>
      </c>
      <c r="AH318">
        <v>45</v>
      </c>
      <c r="AI318">
        <v>46</v>
      </c>
      <c r="AJ318">
        <v>13</v>
      </c>
      <c r="AK318">
        <v>112</v>
      </c>
      <c r="AL318" t="s">
        <v>1180</v>
      </c>
      <c r="AM318" t="s">
        <v>1181</v>
      </c>
      <c r="AN318" t="s">
        <v>1182</v>
      </c>
      <c r="AO318" t="s">
        <v>3851</v>
      </c>
      <c r="AP318" t="s">
        <v>3852</v>
      </c>
      <c r="AQ318" t="s">
        <v>74</v>
      </c>
      <c r="AR318" t="s">
        <v>3853</v>
      </c>
      <c r="AS318" t="s">
        <v>3854</v>
      </c>
      <c r="AT318" t="s">
        <v>74</v>
      </c>
      <c r="AU318">
        <v>2016</v>
      </c>
      <c r="AV318">
        <v>20</v>
      </c>
      <c r="AW318">
        <v>1</v>
      </c>
      <c r="AX318" t="s">
        <v>74</v>
      </c>
      <c r="AY318" t="s">
        <v>74</v>
      </c>
      <c r="AZ318" t="s">
        <v>74</v>
      </c>
      <c r="BA318" t="s">
        <v>74</v>
      </c>
      <c r="BB318">
        <v>112</v>
      </c>
      <c r="BC318">
        <v>141</v>
      </c>
      <c r="BD318" t="s">
        <v>74</v>
      </c>
      <c r="BE318" t="s">
        <v>7657</v>
      </c>
      <c r="BF318" t="str">
        <f>HYPERLINK("http://dx.doi.org/10.1080/10864415.2016.1061792","http://dx.doi.org/10.1080/10864415.2016.1061792")</f>
        <v>http://dx.doi.org/10.1080/10864415.2016.1061792</v>
      </c>
      <c r="BG318" t="s">
        <v>74</v>
      </c>
      <c r="BH318" t="s">
        <v>74</v>
      </c>
      <c r="BI318">
        <v>30</v>
      </c>
      <c r="BJ318" t="s">
        <v>3856</v>
      </c>
      <c r="BK318" t="s">
        <v>520</v>
      </c>
      <c r="BL318" t="s">
        <v>3857</v>
      </c>
      <c r="BM318" t="s">
        <v>7658</v>
      </c>
      <c r="BN318" t="s">
        <v>74</v>
      </c>
      <c r="BO318" t="s">
        <v>74</v>
      </c>
      <c r="BP318" t="s">
        <v>74</v>
      </c>
      <c r="BQ318" t="s">
        <v>74</v>
      </c>
      <c r="BR318" t="s">
        <v>6098</v>
      </c>
      <c r="BS318" t="s">
        <v>7659</v>
      </c>
      <c r="BT318" t="str">
        <f>HYPERLINK("https%3A%2F%2Fwww.webofscience.com%2Fwos%2Fwoscc%2Ffull-record%2FWOS:000368923800005","View Full Record in Web of Science")</f>
        <v>View Full Record in Web of Science</v>
      </c>
      <c r="BU318" t="s">
        <v>6100</v>
      </c>
      <c r="BV318" s="1" t="s">
        <v>10653</v>
      </c>
    </row>
    <row r="319" spans="1:75" ht="409.5" x14ac:dyDescent="0.35">
      <c r="A319" t="s">
        <v>72</v>
      </c>
      <c r="B319" t="s">
        <v>7821</v>
      </c>
      <c r="C319" t="s">
        <v>74</v>
      </c>
      <c r="D319" t="s">
        <v>74</v>
      </c>
      <c r="E319" t="s">
        <v>74</v>
      </c>
      <c r="F319" t="s">
        <v>7822</v>
      </c>
      <c r="G319" t="s">
        <v>74</v>
      </c>
      <c r="H319" t="s">
        <v>74</v>
      </c>
      <c r="I319" t="s">
        <v>7823</v>
      </c>
      <c r="J319" t="s">
        <v>6581</v>
      </c>
      <c r="K319" t="s">
        <v>74</v>
      </c>
      <c r="L319" t="s">
        <v>74</v>
      </c>
      <c r="M319" t="s">
        <v>78</v>
      </c>
      <c r="N319" t="s">
        <v>79</v>
      </c>
      <c r="O319" t="s">
        <v>74</v>
      </c>
      <c r="P319" t="s">
        <v>74</v>
      </c>
      <c r="Q319" t="s">
        <v>74</v>
      </c>
      <c r="R319" t="s">
        <v>74</v>
      </c>
      <c r="S319" t="s">
        <v>74</v>
      </c>
      <c r="T319" t="s">
        <v>7824</v>
      </c>
      <c r="U319" t="s">
        <v>7825</v>
      </c>
      <c r="V319" s="1" t="s">
        <v>7826</v>
      </c>
      <c r="W319" t="s">
        <v>7827</v>
      </c>
      <c r="X319" t="s">
        <v>7828</v>
      </c>
      <c r="Y319" t="s">
        <v>7829</v>
      </c>
      <c r="Z319" t="s">
        <v>7830</v>
      </c>
      <c r="AA319" t="s">
        <v>7831</v>
      </c>
      <c r="AB319" t="s">
        <v>74</v>
      </c>
      <c r="AC319" t="s">
        <v>74</v>
      </c>
      <c r="AD319" t="s">
        <v>74</v>
      </c>
      <c r="AE319" t="s">
        <v>74</v>
      </c>
      <c r="AF319" t="s">
        <v>74</v>
      </c>
      <c r="AG319">
        <v>69</v>
      </c>
      <c r="AH319">
        <v>89</v>
      </c>
      <c r="AI319">
        <v>91</v>
      </c>
      <c r="AJ319">
        <v>11</v>
      </c>
      <c r="AK319">
        <v>109</v>
      </c>
      <c r="AL319" t="s">
        <v>1982</v>
      </c>
      <c r="AM319" t="s">
        <v>1983</v>
      </c>
      <c r="AN319" t="s">
        <v>2573</v>
      </c>
      <c r="AO319" t="s">
        <v>6591</v>
      </c>
      <c r="AP319" t="s">
        <v>6592</v>
      </c>
      <c r="AQ319" t="s">
        <v>74</v>
      </c>
      <c r="AR319" t="s">
        <v>6593</v>
      </c>
      <c r="AS319" t="s">
        <v>6594</v>
      </c>
      <c r="AT319" t="s">
        <v>74</v>
      </c>
      <c r="AU319">
        <v>2016</v>
      </c>
      <c r="AV319">
        <v>25</v>
      </c>
      <c r="AW319">
        <v>4</v>
      </c>
      <c r="AX319" t="s">
        <v>74</v>
      </c>
      <c r="AY319" t="s">
        <v>74</v>
      </c>
      <c r="AZ319" t="s">
        <v>74</v>
      </c>
      <c r="BA319" t="s">
        <v>74</v>
      </c>
      <c r="BB319">
        <v>345</v>
      </c>
      <c r="BC319">
        <v>356</v>
      </c>
      <c r="BD319" t="s">
        <v>74</v>
      </c>
      <c r="BE319" t="s">
        <v>7832</v>
      </c>
      <c r="BF319" t="str">
        <f>HYPERLINK("http://dx.doi.org/10.1108/JPBM-09-2015-0969","http://dx.doi.org/10.1108/JPBM-09-2015-0969")</f>
        <v>http://dx.doi.org/10.1108/JPBM-09-2015-0969</v>
      </c>
      <c r="BG319" t="s">
        <v>74</v>
      </c>
      <c r="BH319" t="s">
        <v>74</v>
      </c>
      <c r="BI319">
        <v>12</v>
      </c>
      <c r="BJ319" t="s">
        <v>877</v>
      </c>
      <c r="BK319" t="s">
        <v>101</v>
      </c>
      <c r="BL319" t="s">
        <v>154</v>
      </c>
      <c r="BM319" t="s">
        <v>7833</v>
      </c>
      <c r="BN319" t="s">
        <v>74</v>
      </c>
      <c r="BO319" t="s">
        <v>74</v>
      </c>
      <c r="BP319" t="s">
        <v>74</v>
      </c>
      <c r="BQ319" t="s">
        <v>74</v>
      </c>
      <c r="BR319" t="s">
        <v>6098</v>
      </c>
      <c r="BS319" t="s">
        <v>7834</v>
      </c>
      <c r="BT319" t="str">
        <f>HYPERLINK("https%3A%2F%2Fwww.webofscience.com%2Fwos%2Fwoscc%2Ffull-record%2FWOS:000382559600004","View Full Record in Web of Science")</f>
        <v>View Full Record in Web of Science</v>
      </c>
      <c r="BU319" t="s">
        <v>6100</v>
      </c>
      <c r="BV319" s="1" t="s">
        <v>6080</v>
      </c>
      <c r="BW319" s="1" t="s">
        <v>6080</v>
      </c>
    </row>
    <row r="320" spans="1:75" x14ac:dyDescent="0.35">
      <c r="A320" t="s">
        <v>72</v>
      </c>
      <c r="B320" t="s">
        <v>8451</v>
      </c>
      <c r="C320" t="s">
        <v>74</v>
      </c>
      <c r="D320" t="s">
        <v>74</v>
      </c>
      <c r="E320" t="s">
        <v>74</v>
      </c>
      <c r="F320" t="s">
        <v>8452</v>
      </c>
      <c r="G320" t="s">
        <v>74</v>
      </c>
      <c r="H320" t="s">
        <v>74</v>
      </c>
      <c r="I320" t="s">
        <v>8453</v>
      </c>
      <c r="J320" t="s">
        <v>8454</v>
      </c>
      <c r="K320" t="s">
        <v>74</v>
      </c>
      <c r="L320" t="s">
        <v>74</v>
      </c>
      <c r="M320" t="s">
        <v>78</v>
      </c>
      <c r="N320" t="s">
        <v>79</v>
      </c>
      <c r="O320" t="s">
        <v>74</v>
      </c>
      <c r="P320" t="s">
        <v>74</v>
      </c>
      <c r="Q320" t="s">
        <v>74</v>
      </c>
      <c r="R320" t="s">
        <v>74</v>
      </c>
      <c r="S320" t="s">
        <v>74</v>
      </c>
      <c r="T320" t="s">
        <v>8455</v>
      </c>
      <c r="U320" t="s">
        <v>74</v>
      </c>
      <c r="V320" t="s">
        <v>8456</v>
      </c>
      <c r="W320" t="s">
        <v>8457</v>
      </c>
      <c r="X320" t="s">
        <v>8458</v>
      </c>
      <c r="Y320" t="s">
        <v>8459</v>
      </c>
      <c r="Z320" t="s">
        <v>74</v>
      </c>
      <c r="AA320" t="s">
        <v>74</v>
      </c>
      <c r="AB320" t="s">
        <v>74</v>
      </c>
      <c r="AC320" t="s">
        <v>8460</v>
      </c>
      <c r="AD320" t="s">
        <v>8461</v>
      </c>
      <c r="AE320" t="s">
        <v>8462</v>
      </c>
      <c r="AF320" t="s">
        <v>74</v>
      </c>
      <c r="AG320">
        <v>19</v>
      </c>
      <c r="AH320">
        <v>10</v>
      </c>
      <c r="AI320">
        <v>10</v>
      </c>
      <c r="AJ320">
        <v>0</v>
      </c>
      <c r="AK320">
        <v>42</v>
      </c>
      <c r="AL320" t="s">
        <v>7526</v>
      </c>
      <c r="AM320" t="s">
        <v>8147</v>
      </c>
      <c r="AN320" t="s">
        <v>8148</v>
      </c>
      <c r="AO320" t="s">
        <v>8463</v>
      </c>
      <c r="AP320" t="s">
        <v>8464</v>
      </c>
      <c r="AQ320" t="s">
        <v>74</v>
      </c>
      <c r="AR320" t="s">
        <v>8465</v>
      </c>
      <c r="AS320" t="s">
        <v>8466</v>
      </c>
      <c r="AT320" t="s">
        <v>8153</v>
      </c>
      <c r="AU320">
        <v>2016</v>
      </c>
      <c r="AV320">
        <v>14</v>
      </c>
      <c r="AW320">
        <v>1</v>
      </c>
      <c r="AX320" t="s">
        <v>74</v>
      </c>
      <c r="AY320" t="s">
        <v>74</v>
      </c>
      <c r="AZ320" t="s">
        <v>259</v>
      </c>
      <c r="BA320" t="s">
        <v>74</v>
      </c>
      <c r="BB320">
        <v>34</v>
      </c>
      <c r="BC320">
        <v>44</v>
      </c>
      <c r="BD320" t="s">
        <v>74</v>
      </c>
      <c r="BE320" t="s">
        <v>8467</v>
      </c>
      <c r="BF320" t="str">
        <f>HYPERLINK("http://dx.doi.org/10.4018/JECO.2016010104","http://dx.doi.org/10.4018/JECO.2016010104")</f>
        <v>http://dx.doi.org/10.4018/JECO.2016010104</v>
      </c>
      <c r="BG320" t="s">
        <v>74</v>
      </c>
      <c r="BH320" t="s">
        <v>74</v>
      </c>
      <c r="BI320">
        <v>11</v>
      </c>
      <c r="BJ320" t="s">
        <v>153</v>
      </c>
      <c r="BK320" t="s">
        <v>3880</v>
      </c>
      <c r="BL320" t="s">
        <v>154</v>
      </c>
      <c r="BM320" t="s">
        <v>8468</v>
      </c>
      <c r="BN320" t="s">
        <v>74</v>
      </c>
      <c r="BO320" t="s">
        <v>74</v>
      </c>
      <c r="BP320" t="s">
        <v>74</v>
      </c>
      <c r="BQ320" t="s">
        <v>74</v>
      </c>
      <c r="BR320" t="s">
        <v>6098</v>
      </c>
      <c r="BS320" t="s">
        <v>8469</v>
      </c>
      <c r="BT320" t="str">
        <f>HYPERLINK("https%3A%2F%2Fwww.webofscience.com%2Fwos%2Fwoscc%2Ffull-record%2FWOS:000408642500005","View Full Record in Web of Science")</f>
        <v>View Full Record in Web of Science</v>
      </c>
      <c r="BU320" t="s">
        <v>6100</v>
      </c>
      <c r="BV320" s="1" t="s">
        <v>6080</v>
      </c>
      <c r="BW320" s="1" t="s">
        <v>6080</v>
      </c>
    </row>
    <row r="321" spans="1:75" x14ac:dyDescent="0.35">
      <c r="A321" t="s">
        <v>72</v>
      </c>
      <c r="B321" t="s">
        <v>433</v>
      </c>
      <c r="C321" t="s">
        <v>74</v>
      </c>
      <c r="D321" t="s">
        <v>74</v>
      </c>
      <c r="E321" t="s">
        <v>74</v>
      </c>
      <c r="F321" t="s">
        <v>434</v>
      </c>
      <c r="G321" t="s">
        <v>74</v>
      </c>
      <c r="H321" t="s">
        <v>74</v>
      </c>
      <c r="I321" t="s">
        <v>435</v>
      </c>
      <c r="J321" t="s">
        <v>436</v>
      </c>
      <c r="K321" t="s">
        <v>74</v>
      </c>
      <c r="L321" t="s">
        <v>74</v>
      </c>
      <c r="M321" t="s">
        <v>78</v>
      </c>
      <c r="N321" t="s">
        <v>79</v>
      </c>
      <c r="O321" t="s">
        <v>74</v>
      </c>
      <c r="P321" t="s">
        <v>74</v>
      </c>
      <c r="Q321" t="s">
        <v>74</v>
      </c>
      <c r="R321" t="s">
        <v>74</v>
      </c>
      <c r="S321" t="s">
        <v>74</v>
      </c>
      <c r="T321" t="s">
        <v>437</v>
      </c>
      <c r="U321" t="s">
        <v>438</v>
      </c>
      <c r="V321" t="s">
        <v>439</v>
      </c>
      <c r="W321" t="s">
        <v>440</v>
      </c>
      <c r="X321" t="s">
        <v>441</v>
      </c>
      <c r="Y321" t="s">
        <v>442</v>
      </c>
      <c r="Z321" t="s">
        <v>443</v>
      </c>
      <c r="AA321" t="s">
        <v>444</v>
      </c>
      <c r="AB321" t="s">
        <v>445</v>
      </c>
      <c r="AC321" t="s">
        <v>74</v>
      </c>
      <c r="AD321" t="s">
        <v>74</v>
      </c>
      <c r="AE321" t="s">
        <v>74</v>
      </c>
      <c r="AF321" t="s">
        <v>74</v>
      </c>
      <c r="AG321">
        <v>34</v>
      </c>
      <c r="AH321">
        <v>142</v>
      </c>
      <c r="AI321">
        <v>143</v>
      </c>
      <c r="AJ321">
        <v>19</v>
      </c>
      <c r="AK321">
        <v>209</v>
      </c>
      <c r="AL321" t="s">
        <v>446</v>
      </c>
      <c r="AM321" t="s">
        <v>447</v>
      </c>
      <c r="AN321" t="s">
        <v>448</v>
      </c>
      <c r="AO321" t="s">
        <v>449</v>
      </c>
      <c r="AP321" t="s">
        <v>450</v>
      </c>
      <c r="AQ321" t="s">
        <v>74</v>
      </c>
      <c r="AR321" t="s">
        <v>451</v>
      </c>
      <c r="AS321" t="s">
        <v>452</v>
      </c>
      <c r="AT321" t="s">
        <v>453</v>
      </c>
      <c r="AU321">
        <v>2016</v>
      </c>
      <c r="AV321">
        <v>35</v>
      </c>
      <c r="AW321">
        <v>6</v>
      </c>
      <c r="AX321" t="s">
        <v>74</v>
      </c>
      <c r="AY321" t="s">
        <v>74</v>
      </c>
      <c r="AZ321" t="s">
        <v>74</v>
      </c>
      <c r="BA321" t="s">
        <v>74</v>
      </c>
      <c r="BB321">
        <v>953</v>
      </c>
      <c r="BC321">
        <v>975</v>
      </c>
      <c r="BD321" t="s">
        <v>74</v>
      </c>
      <c r="BE321" t="s">
        <v>454</v>
      </c>
      <c r="BF321" t="str">
        <f>HYPERLINK("http://dx.doi.org/10.1287/mksc.2016.0993","http://dx.doi.org/10.1287/mksc.2016.0993")</f>
        <v>http://dx.doi.org/10.1287/mksc.2016.0993</v>
      </c>
      <c r="BG321" t="s">
        <v>74</v>
      </c>
      <c r="BH321" t="s">
        <v>74</v>
      </c>
      <c r="BI321">
        <v>23</v>
      </c>
      <c r="BJ321" t="s">
        <v>153</v>
      </c>
      <c r="BK321" t="s">
        <v>101</v>
      </c>
      <c r="BL321" t="s">
        <v>154</v>
      </c>
      <c r="BM321" t="s">
        <v>455</v>
      </c>
      <c r="BN321" t="s">
        <v>74</v>
      </c>
      <c r="BO321" t="s">
        <v>74</v>
      </c>
      <c r="BP321" t="s">
        <v>74</v>
      </c>
      <c r="BQ321" t="s">
        <v>74</v>
      </c>
      <c r="BR321" t="s">
        <v>6098</v>
      </c>
      <c r="BS321" t="s">
        <v>456</v>
      </c>
      <c r="BT321" t="str">
        <f>HYPERLINK("https%3A%2F%2Fwww.webofscience.com%2Fwos%2Fwoscc%2Ffull-record%2FWOS:000388701900007","View Full Record in Web of Science")</f>
        <v>View Full Record in Web of Science</v>
      </c>
      <c r="BU321" t="s">
        <v>6100</v>
      </c>
      <c r="BV321" s="1" t="s">
        <v>6080</v>
      </c>
      <c r="BW321" s="1" t="s">
        <v>6080</v>
      </c>
    </row>
    <row r="322" spans="1:75" ht="409.5" x14ac:dyDescent="0.35">
      <c r="A322" t="s">
        <v>72</v>
      </c>
      <c r="B322" t="s">
        <v>9272</v>
      </c>
      <c r="C322" t="s">
        <v>74</v>
      </c>
      <c r="D322" t="s">
        <v>74</v>
      </c>
      <c r="E322" t="s">
        <v>74</v>
      </c>
      <c r="F322" t="s">
        <v>9273</v>
      </c>
      <c r="G322" t="s">
        <v>74</v>
      </c>
      <c r="H322" t="s">
        <v>74</v>
      </c>
      <c r="I322" t="s">
        <v>9274</v>
      </c>
      <c r="J322" t="s">
        <v>5066</v>
      </c>
      <c r="K322" t="s">
        <v>74</v>
      </c>
      <c r="L322" t="s">
        <v>74</v>
      </c>
      <c r="M322" t="s">
        <v>78</v>
      </c>
      <c r="N322" t="s">
        <v>79</v>
      </c>
      <c r="O322" t="s">
        <v>74</v>
      </c>
      <c r="P322" t="s">
        <v>74</v>
      </c>
      <c r="Q322" t="s">
        <v>74</v>
      </c>
      <c r="R322" t="s">
        <v>74</v>
      </c>
      <c r="S322" t="s">
        <v>74</v>
      </c>
      <c r="T322" t="s">
        <v>9275</v>
      </c>
      <c r="U322" t="s">
        <v>9276</v>
      </c>
      <c r="V322" s="1" t="s">
        <v>9277</v>
      </c>
      <c r="W322" t="s">
        <v>9278</v>
      </c>
      <c r="X322" t="s">
        <v>9279</v>
      </c>
      <c r="Y322" t="s">
        <v>7829</v>
      </c>
      <c r="Z322" t="s">
        <v>7830</v>
      </c>
      <c r="AA322" t="s">
        <v>7831</v>
      </c>
      <c r="AB322" t="s">
        <v>74</v>
      </c>
      <c r="AC322" t="s">
        <v>74</v>
      </c>
      <c r="AD322" t="s">
        <v>74</v>
      </c>
      <c r="AE322" t="s">
        <v>74</v>
      </c>
      <c r="AF322" t="s">
        <v>74</v>
      </c>
      <c r="AG322">
        <v>28</v>
      </c>
      <c r="AH322">
        <v>78</v>
      </c>
      <c r="AI322">
        <v>78</v>
      </c>
      <c r="AJ322">
        <v>6</v>
      </c>
      <c r="AK322">
        <v>94</v>
      </c>
      <c r="AL322" t="s">
        <v>1982</v>
      </c>
      <c r="AM322" t="s">
        <v>1983</v>
      </c>
      <c r="AN322" t="s">
        <v>2573</v>
      </c>
      <c r="AO322" t="s">
        <v>5076</v>
      </c>
      <c r="AP322" t="s">
        <v>5077</v>
      </c>
      <c r="AQ322" t="s">
        <v>74</v>
      </c>
      <c r="AR322" t="s">
        <v>5078</v>
      </c>
      <c r="AS322" t="s">
        <v>5079</v>
      </c>
      <c r="AT322" t="s">
        <v>74</v>
      </c>
      <c r="AU322">
        <v>2016</v>
      </c>
      <c r="AV322">
        <v>50</v>
      </c>
      <c r="AW322" t="s">
        <v>9280</v>
      </c>
      <c r="AX322" t="s">
        <v>74</v>
      </c>
      <c r="AY322" t="s">
        <v>74</v>
      </c>
      <c r="AZ322" t="s">
        <v>74</v>
      </c>
      <c r="BA322" t="s">
        <v>74</v>
      </c>
      <c r="BB322">
        <v>1879</v>
      </c>
      <c r="BC322">
        <v>1892</v>
      </c>
      <c r="BD322" t="s">
        <v>74</v>
      </c>
      <c r="BE322" t="s">
        <v>9281</v>
      </c>
      <c r="BF322" t="str">
        <f>HYPERLINK("http://dx.doi.org/10.1108/EJM-07-2015-0502","http://dx.doi.org/10.1108/EJM-07-2015-0502")</f>
        <v>http://dx.doi.org/10.1108/EJM-07-2015-0502</v>
      </c>
      <c r="BG322" t="s">
        <v>74</v>
      </c>
      <c r="BH322" t="s">
        <v>74</v>
      </c>
      <c r="BI322">
        <v>14</v>
      </c>
      <c r="BJ322" t="s">
        <v>153</v>
      </c>
      <c r="BK322" t="s">
        <v>101</v>
      </c>
      <c r="BL322" t="s">
        <v>154</v>
      </c>
      <c r="BM322" t="s">
        <v>9282</v>
      </c>
      <c r="BN322" t="s">
        <v>74</v>
      </c>
      <c r="BO322" t="s">
        <v>74</v>
      </c>
      <c r="BP322" t="s">
        <v>74</v>
      </c>
      <c r="BQ322" t="s">
        <v>74</v>
      </c>
      <c r="BR322" t="s">
        <v>6098</v>
      </c>
      <c r="BS322" t="s">
        <v>9283</v>
      </c>
      <c r="BT322" t="str">
        <f>HYPERLINK("https%3A%2F%2Fwww.webofscience.com%2Fwos%2Fwoscc%2Ffull-record%2FWOS:000386793600016","View Full Record in Web of Science")</f>
        <v>View Full Record in Web of Science</v>
      </c>
      <c r="BU322" t="s">
        <v>6100</v>
      </c>
      <c r="BV322" s="1" t="s">
        <v>6080</v>
      </c>
      <c r="BW322" s="1" t="s">
        <v>6080</v>
      </c>
    </row>
    <row r="323" spans="1:75" x14ac:dyDescent="0.35">
      <c r="A323" t="s">
        <v>2064</v>
      </c>
      <c r="B323" t="s">
        <v>9383</v>
      </c>
      <c r="C323" t="s">
        <v>74</v>
      </c>
      <c r="D323" t="s">
        <v>9384</v>
      </c>
      <c r="E323" t="s">
        <v>74</v>
      </c>
      <c r="F323" t="s">
        <v>9385</v>
      </c>
      <c r="G323" t="s">
        <v>74</v>
      </c>
      <c r="H323" t="s">
        <v>74</v>
      </c>
      <c r="I323" t="s">
        <v>9386</v>
      </c>
      <c r="J323" t="s">
        <v>9387</v>
      </c>
      <c r="K323" t="s">
        <v>9388</v>
      </c>
      <c r="L323" t="s">
        <v>74</v>
      </c>
      <c r="M323" t="s">
        <v>78</v>
      </c>
      <c r="N323" t="s">
        <v>3379</v>
      </c>
      <c r="O323" t="s">
        <v>74</v>
      </c>
      <c r="P323" t="s">
        <v>74</v>
      </c>
      <c r="Q323" t="s">
        <v>74</v>
      </c>
      <c r="R323" t="s">
        <v>74</v>
      </c>
      <c r="S323" t="s">
        <v>74</v>
      </c>
      <c r="T323" t="s">
        <v>9389</v>
      </c>
      <c r="U323" t="s">
        <v>9390</v>
      </c>
      <c r="V323" t="s">
        <v>9391</v>
      </c>
      <c r="W323" t="s">
        <v>9392</v>
      </c>
      <c r="X323" t="s">
        <v>9393</v>
      </c>
      <c r="Y323" t="s">
        <v>9394</v>
      </c>
      <c r="Z323" t="s">
        <v>9395</v>
      </c>
      <c r="AA323" t="s">
        <v>74</v>
      </c>
      <c r="AB323" t="s">
        <v>74</v>
      </c>
      <c r="AC323" t="s">
        <v>74</v>
      </c>
      <c r="AD323" t="s">
        <v>74</v>
      </c>
      <c r="AE323" t="s">
        <v>74</v>
      </c>
      <c r="AF323" t="s">
        <v>74</v>
      </c>
      <c r="AG323">
        <v>33</v>
      </c>
      <c r="AH323">
        <v>1</v>
      </c>
      <c r="AI323">
        <v>1</v>
      </c>
      <c r="AJ323">
        <v>0</v>
      </c>
      <c r="AK323">
        <v>0</v>
      </c>
      <c r="AL323" t="s">
        <v>9396</v>
      </c>
      <c r="AM323" t="s">
        <v>9397</v>
      </c>
      <c r="AN323" t="s">
        <v>9398</v>
      </c>
      <c r="AO323" t="s">
        <v>74</v>
      </c>
      <c r="AP323" t="s">
        <v>74</v>
      </c>
      <c r="AQ323" t="s">
        <v>9399</v>
      </c>
      <c r="AR323" t="s">
        <v>9400</v>
      </c>
      <c r="AS323" t="s">
        <v>74</v>
      </c>
      <c r="AT323" t="s">
        <v>74</v>
      </c>
      <c r="AU323">
        <v>2016</v>
      </c>
      <c r="AV323" t="s">
        <v>74</v>
      </c>
      <c r="AW323" t="s">
        <v>74</v>
      </c>
      <c r="AX323" t="s">
        <v>74</v>
      </c>
      <c r="AY323" t="s">
        <v>74</v>
      </c>
      <c r="AZ323" t="s">
        <v>74</v>
      </c>
      <c r="BA323" t="s">
        <v>74</v>
      </c>
      <c r="BB323">
        <v>133</v>
      </c>
      <c r="BC323">
        <v>151</v>
      </c>
      <c r="BD323" t="s">
        <v>74</v>
      </c>
      <c r="BE323" t="s">
        <v>9401</v>
      </c>
      <c r="BF323" t="str">
        <f>HYPERLINK("http://dx.doi.org/10.1007/978-3-319-39056-7_8","http://dx.doi.org/10.1007/978-3-319-39056-7_8")</f>
        <v>http://dx.doi.org/10.1007/978-3-319-39056-7_8</v>
      </c>
      <c r="BG323" t="s">
        <v>9402</v>
      </c>
      <c r="BH323" t="s">
        <v>74</v>
      </c>
      <c r="BI323">
        <v>19</v>
      </c>
      <c r="BJ323" t="s">
        <v>9403</v>
      </c>
      <c r="BK323" t="s">
        <v>1989</v>
      </c>
      <c r="BL323" t="s">
        <v>3857</v>
      </c>
      <c r="BM323" t="s">
        <v>9404</v>
      </c>
      <c r="BN323" t="s">
        <v>74</v>
      </c>
      <c r="BO323" t="s">
        <v>74</v>
      </c>
      <c r="BP323" t="s">
        <v>74</v>
      </c>
      <c r="BQ323" t="s">
        <v>74</v>
      </c>
      <c r="BR323" t="s">
        <v>6098</v>
      </c>
      <c r="BS323" t="s">
        <v>9405</v>
      </c>
      <c r="BT323" t="str">
        <f>HYPERLINK("https%3A%2F%2Fwww.webofscience.com%2Fwos%2Fwoscc%2Ffull-record%2FWOS:000387676600010","View Full Record in Web of Science")</f>
        <v>View Full Record in Web of Science</v>
      </c>
      <c r="BU323" t="s">
        <v>6100</v>
      </c>
      <c r="BV323" s="1" t="s">
        <v>10653</v>
      </c>
    </row>
    <row r="324" spans="1:75" x14ac:dyDescent="0.35">
      <c r="A324" t="s">
        <v>72</v>
      </c>
      <c r="B324" t="s">
        <v>10426</v>
      </c>
      <c r="C324" t="s">
        <v>74</v>
      </c>
      <c r="D324" t="s">
        <v>74</v>
      </c>
      <c r="E324" t="s">
        <v>74</v>
      </c>
      <c r="F324" t="s">
        <v>10427</v>
      </c>
      <c r="G324" t="s">
        <v>74</v>
      </c>
      <c r="H324" t="s">
        <v>74</v>
      </c>
      <c r="I324" t="s">
        <v>10428</v>
      </c>
      <c r="J324" t="s">
        <v>7199</v>
      </c>
      <c r="K324" t="s">
        <v>74</v>
      </c>
      <c r="L324" t="s">
        <v>74</v>
      </c>
      <c r="M324" t="s">
        <v>78</v>
      </c>
      <c r="N324" t="s">
        <v>79</v>
      </c>
      <c r="O324" t="s">
        <v>74</v>
      </c>
      <c r="P324" t="s">
        <v>74</v>
      </c>
      <c r="Q324" t="s">
        <v>74</v>
      </c>
      <c r="R324" t="s">
        <v>74</v>
      </c>
      <c r="S324" t="s">
        <v>74</v>
      </c>
      <c r="T324" t="s">
        <v>10429</v>
      </c>
      <c r="U324" t="s">
        <v>10430</v>
      </c>
      <c r="V324" t="s">
        <v>10431</v>
      </c>
      <c r="W324" t="s">
        <v>10432</v>
      </c>
      <c r="X324" t="s">
        <v>10433</v>
      </c>
      <c r="Y324" t="s">
        <v>10434</v>
      </c>
      <c r="Z324" t="s">
        <v>10435</v>
      </c>
      <c r="AA324" t="s">
        <v>10436</v>
      </c>
      <c r="AB324" t="s">
        <v>10437</v>
      </c>
      <c r="AC324" t="s">
        <v>74</v>
      </c>
      <c r="AD324" t="s">
        <v>74</v>
      </c>
      <c r="AE324" t="s">
        <v>74</v>
      </c>
      <c r="AF324" t="s">
        <v>74</v>
      </c>
      <c r="AG324">
        <v>46</v>
      </c>
      <c r="AH324">
        <v>10</v>
      </c>
      <c r="AI324">
        <v>10</v>
      </c>
      <c r="AJ324">
        <v>7</v>
      </c>
      <c r="AK324">
        <v>52</v>
      </c>
      <c r="AL324" t="s">
        <v>820</v>
      </c>
      <c r="AM324" t="s">
        <v>2119</v>
      </c>
      <c r="AN324" t="s">
        <v>2120</v>
      </c>
      <c r="AO324" t="s">
        <v>7209</v>
      </c>
      <c r="AP324" t="s">
        <v>7210</v>
      </c>
      <c r="AQ324" t="s">
        <v>74</v>
      </c>
      <c r="AR324" t="s">
        <v>7211</v>
      </c>
      <c r="AS324" t="s">
        <v>7212</v>
      </c>
      <c r="AT324" t="s">
        <v>258</v>
      </c>
      <c r="AU324">
        <v>2016</v>
      </c>
      <c r="AV324">
        <v>139</v>
      </c>
      <c r="AW324">
        <v>1</v>
      </c>
      <c r="AX324" t="s">
        <v>74</v>
      </c>
      <c r="AY324" t="s">
        <v>74</v>
      </c>
      <c r="AZ324" t="s">
        <v>74</v>
      </c>
      <c r="BA324" t="s">
        <v>74</v>
      </c>
      <c r="BB324">
        <v>29</v>
      </c>
      <c r="BC324">
        <v>45</v>
      </c>
      <c r="BD324" t="s">
        <v>74</v>
      </c>
      <c r="BE324" t="s">
        <v>10438</v>
      </c>
      <c r="BF324" t="str">
        <f>HYPERLINK("http://dx.doi.org/10.1007/s10551-015-2612-6","http://dx.doi.org/10.1007/s10551-015-2612-6")</f>
        <v>http://dx.doi.org/10.1007/s10551-015-2612-6</v>
      </c>
      <c r="BG324" t="s">
        <v>74</v>
      </c>
      <c r="BH324" t="s">
        <v>74</v>
      </c>
      <c r="BI324">
        <v>17</v>
      </c>
      <c r="BJ324" t="s">
        <v>7214</v>
      </c>
      <c r="BK324" t="s">
        <v>101</v>
      </c>
      <c r="BL324" t="s">
        <v>7215</v>
      </c>
      <c r="BM324" t="s">
        <v>7216</v>
      </c>
      <c r="BN324" t="s">
        <v>74</v>
      </c>
      <c r="BO324" t="s">
        <v>156</v>
      </c>
      <c r="BP324" t="s">
        <v>74</v>
      </c>
      <c r="BQ324" t="s">
        <v>74</v>
      </c>
      <c r="BR324" t="s">
        <v>6098</v>
      </c>
      <c r="BS324" t="s">
        <v>10439</v>
      </c>
      <c r="BT324" t="str">
        <f>HYPERLINK("https%3A%2F%2Fwww.webofscience.com%2Fwos%2Fwoscc%2Ffull-record%2FWOS:000387284300003","View Full Record in Web of Science")</f>
        <v>View Full Record in Web of Science</v>
      </c>
      <c r="BU324" t="s">
        <v>6100</v>
      </c>
      <c r="BV324" s="1" t="s">
        <v>10653</v>
      </c>
    </row>
    <row r="325" spans="1:75" ht="409.5" x14ac:dyDescent="0.35">
      <c r="A325" s="1" t="s">
        <v>72</v>
      </c>
      <c r="B325" s="1" t="s">
        <v>895</v>
      </c>
      <c r="C325" s="1" t="s">
        <v>74</v>
      </c>
      <c r="D325" s="1" t="s">
        <v>74</v>
      </c>
      <c r="E325" s="1" t="s">
        <v>74</v>
      </c>
      <c r="F325" s="1" t="s">
        <v>896</v>
      </c>
      <c r="G325" s="1" t="s">
        <v>74</v>
      </c>
      <c r="H325" s="1" t="s">
        <v>74</v>
      </c>
      <c r="I325" s="1" t="s">
        <v>897</v>
      </c>
      <c r="J325" s="1" t="s">
        <v>77</v>
      </c>
      <c r="K325" s="1" t="s">
        <v>74</v>
      </c>
      <c r="L325" s="1" t="s">
        <v>74</v>
      </c>
      <c r="M325" s="1" t="s">
        <v>78</v>
      </c>
      <c r="N325" s="1" t="s">
        <v>79</v>
      </c>
      <c r="O325" s="1" t="s">
        <v>74</v>
      </c>
      <c r="P325" s="1" t="s">
        <v>74</v>
      </c>
      <c r="Q325" s="1" t="s">
        <v>74</v>
      </c>
      <c r="R325" s="1" t="s">
        <v>74</v>
      </c>
      <c r="S325" s="1" t="s">
        <v>74</v>
      </c>
      <c r="T325" s="1" t="s">
        <v>898</v>
      </c>
      <c r="U325" s="1" t="s">
        <v>899</v>
      </c>
      <c r="V325" s="1" t="s">
        <v>900</v>
      </c>
      <c r="W325" s="1" t="s">
        <v>901</v>
      </c>
      <c r="X325" s="1" t="s">
        <v>902</v>
      </c>
      <c r="Y325" s="1" t="s">
        <v>903</v>
      </c>
      <c r="Z325" s="1" t="s">
        <v>904</v>
      </c>
      <c r="AA325" s="1" t="s">
        <v>905</v>
      </c>
      <c r="AB325" s="1" t="s">
        <v>906</v>
      </c>
      <c r="AC325" s="1" t="s">
        <v>74</v>
      </c>
      <c r="AD325" s="1" t="s">
        <v>74</v>
      </c>
      <c r="AE325" s="1" t="s">
        <v>74</v>
      </c>
      <c r="AF325" s="1" t="s">
        <v>74</v>
      </c>
      <c r="AG325" s="1">
        <v>105</v>
      </c>
      <c r="AH325" s="1">
        <v>79</v>
      </c>
      <c r="AI325" s="1">
        <v>80</v>
      </c>
      <c r="AJ325" s="1">
        <v>8</v>
      </c>
      <c r="AK325" s="1">
        <v>72</v>
      </c>
      <c r="AL325" s="1" t="s">
        <v>91</v>
      </c>
      <c r="AM325" s="1" t="s">
        <v>92</v>
      </c>
      <c r="AN325" s="1" t="s">
        <v>93</v>
      </c>
      <c r="AO325" s="1" t="s">
        <v>94</v>
      </c>
      <c r="AP325" s="1" t="s">
        <v>95</v>
      </c>
      <c r="AQ325" s="1" t="s">
        <v>74</v>
      </c>
      <c r="AR325" s="1" t="s">
        <v>96</v>
      </c>
      <c r="AS325" s="1" t="s">
        <v>97</v>
      </c>
      <c r="AT325" s="1" t="s">
        <v>517</v>
      </c>
      <c r="AU325" s="1">
        <v>2017</v>
      </c>
      <c r="AV325" s="1">
        <v>113</v>
      </c>
      <c r="AW325" s="1">
        <v>3</v>
      </c>
      <c r="AX325" s="1" t="s">
        <v>74</v>
      </c>
      <c r="AY325" s="1" t="s">
        <v>74</v>
      </c>
      <c r="AZ325" s="1" t="s">
        <v>74</v>
      </c>
      <c r="BA325" s="1" t="s">
        <v>74</v>
      </c>
      <c r="BB325" s="1">
        <v>430</v>
      </c>
      <c r="BC325" s="1">
        <v>452</v>
      </c>
      <c r="BD325" s="1" t="s">
        <v>74</v>
      </c>
      <c r="BE325" s="1" t="s">
        <v>907</v>
      </c>
      <c r="BF325" s="1" t="str">
        <f>HYPERLINK("http://dx.doi.org/10.1037/pspi0000097","http://dx.doi.org/10.1037/pspi0000097")</f>
        <v>http://dx.doi.org/10.1037/pspi0000097</v>
      </c>
      <c r="BG325" s="1" t="s">
        <v>74</v>
      </c>
      <c r="BH325" s="1" t="s">
        <v>74</v>
      </c>
      <c r="BI325" s="1">
        <v>23</v>
      </c>
      <c r="BJ325" s="1" t="s">
        <v>100</v>
      </c>
      <c r="BK325" s="1" t="s">
        <v>101</v>
      </c>
      <c r="BL325" s="1" t="s">
        <v>102</v>
      </c>
      <c r="BM325" s="1" t="s">
        <v>908</v>
      </c>
      <c r="BN325" s="1">
        <v>28447835</v>
      </c>
      <c r="BO325" s="1" t="s">
        <v>828</v>
      </c>
      <c r="BP325" s="1" t="s">
        <v>74</v>
      </c>
      <c r="BQ325" s="1" t="s">
        <v>74</v>
      </c>
      <c r="BR325" s="1" t="s">
        <v>104</v>
      </c>
      <c r="BS325" s="1" t="s">
        <v>909</v>
      </c>
      <c r="BT325" s="1" t="str">
        <f>HYPERLINK("https%3A%2F%2Fwww.webofscience.com%2Fwos%2Fwoscc%2Ffull-record%2FWOS:000407790900006","View Full Record in Web of Science")</f>
        <v>View Full Record in Web of Science</v>
      </c>
      <c r="BU325" s="1" t="s">
        <v>2040</v>
      </c>
      <c r="BV325" s="1" t="s">
        <v>10653</v>
      </c>
    </row>
    <row r="326" spans="1:75" ht="409.5" x14ac:dyDescent="0.35">
      <c r="A326" s="1" t="s">
        <v>72</v>
      </c>
      <c r="B326" s="1" t="s">
        <v>1335</v>
      </c>
      <c r="C326" s="1" t="s">
        <v>74</v>
      </c>
      <c r="D326" s="1" t="s">
        <v>74</v>
      </c>
      <c r="E326" s="1" t="s">
        <v>74</v>
      </c>
      <c r="F326" s="1" t="s">
        <v>1336</v>
      </c>
      <c r="G326" s="1" t="s">
        <v>74</v>
      </c>
      <c r="H326" s="1" t="s">
        <v>74</v>
      </c>
      <c r="I326" s="1" t="s">
        <v>1337</v>
      </c>
      <c r="J326" s="1" t="s">
        <v>788</v>
      </c>
      <c r="K326" s="1" t="s">
        <v>74</v>
      </c>
      <c r="L326" s="1" t="s">
        <v>74</v>
      </c>
      <c r="M326" s="1" t="s">
        <v>78</v>
      </c>
      <c r="N326" s="1" t="s">
        <v>79</v>
      </c>
      <c r="O326" s="1" t="s">
        <v>74</v>
      </c>
      <c r="P326" s="1" t="s">
        <v>74</v>
      </c>
      <c r="Q326" s="1" t="s">
        <v>74</v>
      </c>
      <c r="R326" s="1" t="s">
        <v>74</v>
      </c>
      <c r="S326" s="1" t="s">
        <v>74</v>
      </c>
      <c r="T326" s="1" t="s">
        <v>1338</v>
      </c>
      <c r="U326" s="1" t="s">
        <v>1339</v>
      </c>
      <c r="V326" s="1" t="s">
        <v>1340</v>
      </c>
      <c r="W326" s="1" t="s">
        <v>1341</v>
      </c>
      <c r="X326" s="1" t="s">
        <v>1342</v>
      </c>
      <c r="Y326" s="1" t="s">
        <v>1343</v>
      </c>
      <c r="Z326" s="1" t="s">
        <v>1344</v>
      </c>
      <c r="AA326" s="1" t="s">
        <v>74</v>
      </c>
      <c r="AB326" s="1" t="s">
        <v>1345</v>
      </c>
      <c r="AC326" s="1" t="s">
        <v>74</v>
      </c>
      <c r="AD326" s="1" t="s">
        <v>74</v>
      </c>
      <c r="AE326" s="1" t="s">
        <v>74</v>
      </c>
      <c r="AF326" s="1" t="s">
        <v>74</v>
      </c>
      <c r="AG326" s="1">
        <v>34</v>
      </c>
      <c r="AH326" s="1">
        <v>30</v>
      </c>
      <c r="AI326" s="1">
        <v>31</v>
      </c>
      <c r="AJ326" s="1">
        <v>6</v>
      </c>
      <c r="AK326" s="1">
        <v>71</v>
      </c>
      <c r="AL326" s="1" t="s">
        <v>854</v>
      </c>
      <c r="AM326" s="1" t="s">
        <v>410</v>
      </c>
      <c r="AN326" s="1" t="s">
        <v>855</v>
      </c>
      <c r="AO326" s="1" t="s">
        <v>800</v>
      </c>
      <c r="AP326" s="1" t="s">
        <v>801</v>
      </c>
      <c r="AQ326" s="1" t="s">
        <v>74</v>
      </c>
      <c r="AR326" s="1" t="s">
        <v>802</v>
      </c>
      <c r="AS326" s="1" t="s">
        <v>803</v>
      </c>
      <c r="AT326" s="1" t="s">
        <v>363</v>
      </c>
      <c r="AU326" s="1">
        <v>2017</v>
      </c>
      <c r="AV326" s="1">
        <v>34</v>
      </c>
      <c r="AW326" s="1">
        <v>1</v>
      </c>
      <c r="AX326" s="1" t="s">
        <v>74</v>
      </c>
      <c r="AY326" s="1" t="s">
        <v>74</v>
      </c>
      <c r="AZ326" s="1" t="s">
        <v>74</v>
      </c>
      <c r="BA326" s="1" t="s">
        <v>74</v>
      </c>
      <c r="BB326" s="1">
        <v>265</v>
      </c>
      <c r="BC326" s="1">
        <v>285</v>
      </c>
      <c r="BD326" s="1" t="s">
        <v>74</v>
      </c>
      <c r="BE326" s="1" t="s">
        <v>1346</v>
      </c>
      <c r="BF326" s="1" t="str">
        <f>HYPERLINK("http://dx.doi.org/10.1016/j.ijresmar.2016.05.007","http://dx.doi.org/10.1016/j.ijresmar.2016.05.007")</f>
        <v>http://dx.doi.org/10.1016/j.ijresmar.2016.05.007</v>
      </c>
      <c r="BG326" s="1" t="s">
        <v>74</v>
      </c>
      <c r="BH326" s="1" t="s">
        <v>74</v>
      </c>
      <c r="BI326" s="1">
        <v>21</v>
      </c>
      <c r="BJ326" s="1" t="s">
        <v>153</v>
      </c>
      <c r="BK326" s="1" t="s">
        <v>101</v>
      </c>
      <c r="BL326" s="1" t="s">
        <v>154</v>
      </c>
      <c r="BM326" s="1" t="s">
        <v>1347</v>
      </c>
      <c r="BN326" s="1" t="s">
        <v>74</v>
      </c>
      <c r="BO326" s="1" t="s">
        <v>74</v>
      </c>
      <c r="BP326" s="1" t="s">
        <v>74</v>
      </c>
      <c r="BQ326" s="1" t="s">
        <v>74</v>
      </c>
      <c r="BR326" s="1" t="s">
        <v>104</v>
      </c>
      <c r="BS326" s="1" t="s">
        <v>1348</v>
      </c>
      <c r="BT326" s="1" t="str">
        <f>HYPERLINK("https%3A%2F%2Fwww.webofscience.com%2Fwos%2Fwoscc%2Ffull-record%2FWOS:000399844500015","View Full Record in Web of Science")</f>
        <v>View Full Record in Web of Science</v>
      </c>
      <c r="BU326" s="1" t="s">
        <v>2040</v>
      </c>
      <c r="BV326" s="1" t="s">
        <v>6080</v>
      </c>
      <c r="BW326" s="1" t="s">
        <v>6080</v>
      </c>
    </row>
    <row r="327" spans="1:75" ht="348" x14ac:dyDescent="0.35">
      <c r="A327" s="1" t="s">
        <v>72</v>
      </c>
      <c r="B327" s="1" t="s">
        <v>1427</v>
      </c>
      <c r="C327" s="1" t="s">
        <v>74</v>
      </c>
      <c r="D327" s="1" t="s">
        <v>74</v>
      </c>
      <c r="E327" s="1" t="s">
        <v>74</v>
      </c>
      <c r="F327" s="1" t="s">
        <v>1428</v>
      </c>
      <c r="G327" s="1" t="s">
        <v>74</v>
      </c>
      <c r="H327" s="1" t="s">
        <v>74</v>
      </c>
      <c r="I327" s="1" t="s">
        <v>1429</v>
      </c>
      <c r="J327" s="1" t="s">
        <v>161</v>
      </c>
      <c r="K327" s="1" t="s">
        <v>74</v>
      </c>
      <c r="L327" s="1" t="s">
        <v>74</v>
      </c>
      <c r="M327" s="1" t="s">
        <v>78</v>
      </c>
      <c r="N327" s="1" t="s">
        <v>79</v>
      </c>
      <c r="O327" s="1" t="s">
        <v>74</v>
      </c>
      <c r="P327" s="1" t="s">
        <v>74</v>
      </c>
      <c r="Q327" s="1" t="s">
        <v>74</v>
      </c>
      <c r="R327" s="1" t="s">
        <v>74</v>
      </c>
      <c r="S327" s="1" t="s">
        <v>74</v>
      </c>
      <c r="T327" s="1" t="s">
        <v>1430</v>
      </c>
      <c r="U327" s="1" t="s">
        <v>1431</v>
      </c>
      <c r="V327" s="1" t="s">
        <v>1432</v>
      </c>
      <c r="W327" s="1" t="s">
        <v>1433</v>
      </c>
      <c r="X327" s="1" t="s">
        <v>1434</v>
      </c>
      <c r="Y327" s="1" t="s">
        <v>1435</v>
      </c>
      <c r="Z327" s="1" t="s">
        <v>1436</v>
      </c>
      <c r="AA327" s="1" t="s">
        <v>1437</v>
      </c>
      <c r="AB327" s="1" t="s">
        <v>1438</v>
      </c>
      <c r="AC327" s="1" t="s">
        <v>74</v>
      </c>
      <c r="AD327" s="1" t="s">
        <v>74</v>
      </c>
      <c r="AE327" s="1" t="s">
        <v>74</v>
      </c>
      <c r="AF327" s="1" t="s">
        <v>74</v>
      </c>
      <c r="AG327" s="1">
        <v>91</v>
      </c>
      <c r="AH327" s="1">
        <v>130</v>
      </c>
      <c r="AI327" s="1">
        <v>131</v>
      </c>
      <c r="AJ327" s="1">
        <v>27</v>
      </c>
      <c r="AK327" s="1">
        <v>286</v>
      </c>
      <c r="AL327" s="1" t="s">
        <v>170</v>
      </c>
      <c r="AM327" s="1" t="s">
        <v>171</v>
      </c>
      <c r="AN327" s="1" t="s">
        <v>172</v>
      </c>
      <c r="AO327" s="1" t="s">
        <v>173</v>
      </c>
      <c r="AP327" s="1" t="s">
        <v>174</v>
      </c>
      <c r="AQ327" s="1" t="s">
        <v>74</v>
      </c>
      <c r="AR327" s="1" t="s">
        <v>175</v>
      </c>
      <c r="AS327" s="1" t="s">
        <v>176</v>
      </c>
      <c r="AT327" s="1" t="s">
        <v>294</v>
      </c>
      <c r="AU327" s="1">
        <v>2017</v>
      </c>
      <c r="AV327" s="1">
        <v>43</v>
      </c>
      <c r="AW327" s="1">
        <v>6</v>
      </c>
      <c r="AX327" s="1" t="s">
        <v>74</v>
      </c>
      <c r="AY327" s="1" t="s">
        <v>74</v>
      </c>
      <c r="AZ327" s="1" t="s">
        <v>74</v>
      </c>
      <c r="BA327" s="1" t="s">
        <v>74</v>
      </c>
      <c r="BB327" s="1">
        <v>875</v>
      </c>
      <c r="BC327" s="1">
        <v>894</v>
      </c>
      <c r="BD327" s="1" t="s">
        <v>74</v>
      </c>
      <c r="BE327" s="1" t="s">
        <v>1439</v>
      </c>
      <c r="BF327" s="1" t="str">
        <f>HYPERLINK("http://dx.doi.org/10.1093/jcr/ucw070","http://dx.doi.org/10.1093/jcr/ucw070")</f>
        <v>http://dx.doi.org/10.1093/jcr/ucw070</v>
      </c>
      <c r="BG327" s="1" t="s">
        <v>74</v>
      </c>
      <c r="BH327" s="1" t="s">
        <v>74</v>
      </c>
      <c r="BI327" s="1">
        <v>20</v>
      </c>
      <c r="BJ327" s="1" t="s">
        <v>153</v>
      </c>
      <c r="BK327" s="1" t="s">
        <v>101</v>
      </c>
      <c r="BL327" s="1" t="s">
        <v>154</v>
      </c>
      <c r="BM327" s="1" t="s">
        <v>1440</v>
      </c>
      <c r="BN327" s="1" t="s">
        <v>74</v>
      </c>
      <c r="BO327" s="1" t="s">
        <v>1165</v>
      </c>
      <c r="BP327" s="1" t="s">
        <v>74</v>
      </c>
      <c r="BQ327" s="1" t="s">
        <v>74</v>
      </c>
      <c r="BR327" s="1" t="s">
        <v>104</v>
      </c>
      <c r="BS327" s="1" t="s">
        <v>1441</v>
      </c>
      <c r="BT327" s="1" t="str">
        <f>HYPERLINK("https%3A%2F%2Fwww.webofscience.com%2Fwos%2Fwoscc%2Ffull-record%2FWOS:000398288100001","View Full Record in Web of Science")</f>
        <v>View Full Record in Web of Science</v>
      </c>
      <c r="BU327" s="1" t="s">
        <v>2040</v>
      </c>
      <c r="BV327" s="1" t="s">
        <v>6080</v>
      </c>
      <c r="BW327" s="1" t="s">
        <v>6080</v>
      </c>
    </row>
    <row r="328" spans="1:75" ht="348" x14ac:dyDescent="0.35">
      <c r="A328" s="1" t="s">
        <v>72</v>
      </c>
      <c r="B328" s="1" t="s">
        <v>1442</v>
      </c>
      <c r="C328" s="1" t="s">
        <v>74</v>
      </c>
      <c r="D328" s="1" t="s">
        <v>74</v>
      </c>
      <c r="E328" s="1" t="s">
        <v>74</v>
      </c>
      <c r="F328" s="1" t="s">
        <v>1443</v>
      </c>
      <c r="G328" s="1" t="s">
        <v>74</v>
      </c>
      <c r="H328" s="1" t="s">
        <v>74</v>
      </c>
      <c r="I328" s="1" t="s">
        <v>1444</v>
      </c>
      <c r="J328" s="1" t="s">
        <v>136</v>
      </c>
      <c r="K328" s="1" t="s">
        <v>74</v>
      </c>
      <c r="L328" s="1" t="s">
        <v>74</v>
      </c>
      <c r="M328" s="1" t="s">
        <v>78</v>
      </c>
      <c r="N328" s="1" t="s">
        <v>79</v>
      </c>
      <c r="O328" s="1" t="s">
        <v>74</v>
      </c>
      <c r="P328" s="1" t="s">
        <v>74</v>
      </c>
      <c r="Q328" s="1" t="s">
        <v>74</v>
      </c>
      <c r="R328" s="1" t="s">
        <v>74</v>
      </c>
      <c r="S328" s="1" t="s">
        <v>74</v>
      </c>
      <c r="T328" s="1" t="s">
        <v>1445</v>
      </c>
      <c r="U328" s="1" t="s">
        <v>1446</v>
      </c>
      <c r="V328" s="1" t="s">
        <v>1447</v>
      </c>
      <c r="W328" s="1" t="s">
        <v>1448</v>
      </c>
      <c r="X328" s="1" t="s">
        <v>1449</v>
      </c>
      <c r="Y328" s="1" t="s">
        <v>1450</v>
      </c>
      <c r="Z328" s="1" t="s">
        <v>1451</v>
      </c>
      <c r="AA328" s="1" t="s">
        <v>74</v>
      </c>
      <c r="AB328" s="1" t="s">
        <v>74</v>
      </c>
      <c r="AC328" s="1" t="s">
        <v>74</v>
      </c>
      <c r="AD328" s="1" t="s">
        <v>74</v>
      </c>
      <c r="AE328" s="1" t="s">
        <v>74</v>
      </c>
      <c r="AF328" s="1" t="s">
        <v>74</v>
      </c>
      <c r="AG328" s="1">
        <v>86</v>
      </c>
      <c r="AH328" s="1">
        <v>89</v>
      </c>
      <c r="AI328" s="1">
        <v>89</v>
      </c>
      <c r="AJ328" s="1">
        <v>18</v>
      </c>
      <c r="AK328" s="1">
        <v>151</v>
      </c>
      <c r="AL328" s="1" t="s">
        <v>232</v>
      </c>
      <c r="AM328" s="1" t="s">
        <v>233</v>
      </c>
      <c r="AN328" s="1" t="s">
        <v>234</v>
      </c>
      <c r="AO328" s="1" t="s">
        <v>147</v>
      </c>
      <c r="AP328" s="1" t="s">
        <v>148</v>
      </c>
      <c r="AQ328" s="1" t="s">
        <v>74</v>
      </c>
      <c r="AR328" s="1" t="s">
        <v>149</v>
      </c>
      <c r="AS328" s="1" t="s">
        <v>150</v>
      </c>
      <c r="AT328" s="1" t="s">
        <v>469</v>
      </c>
      <c r="AU328" s="1">
        <v>2017</v>
      </c>
      <c r="AV328" s="1">
        <v>54</v>
      </c>
      <c r="AW328" s="1">
        <v>4</v>
      </c>
      <c r="AX328" s="1" t="s">
        <v>74</v>
      </c>
      <c r="AY328" s="1" t="s">
        <v>74</v>
      </c>
      <c r="AZ328" s="1" t="s">
        <v>74</v>
      </c>
      <c r="BA328" s="1" t="s">
        <v>74</v>
      </c>
      <c r="BB328" s="1">
        <v>572</v>
      </c>
      <c r="BC328" s="1">
        <v>588</v>
      </c>
      <c r="BD328" s="1" t="s">
        <v>74</v>
      </c>
      <c r="BE328" s="1" t="s">
        <v>1452</v>
      </c>
      <c r="BF328" s="1" t="str">
        <f>HYPERLINK("http://dx.doi.org/10.1509/jmr.15.0248","http://dx.doi.org/10.1509/jmr.15.0248")</f>
        <v>http://dx.doi.org/10.1509/jmr.15.0248</v>
      </c>
      <c r="BG328" s="1" t="s">
        <v>74</v>
      </c>
      <c r="BH328" s="1" t="s">
        <v>74</v>
      </c>
      <c r="BI328" s="1">
        <v>17</v>
      </c>
      <c r="BJ328" s="1" t="s">
        <v>153</v>
      </c>
      <c r="BK328" s="1" t="s">
        <v>101</v>
      </c>
      <c r="BL328" s="1" t="s">
        <v>154</v>
      </c>
      <c r="BM328" s="1" t="s">
        <v>1453</v>
      </c>
      <c r="BN328" s="1" t="s">
        <v>74</v>
      </c>
      <c r="BO328" s="1" t="s">
        <v>74</v>
      </c>
      <c r="BP328" s="1" t="s">
        <v>74</v>
      </c>
      <c r="BQ328" s="1" t="s">
        <v>74</v>
      </c>
      <c r="BR328" s="1" t="s">
        <v>104</v>
      </c>
      <c r="BS328" s="1" t="s">
        <v>1454</v>
      </c>
      <c r="BT328" s="1" t="str">
        <f>HYPERLINK("https%3A%2F%2Fwww.webofscience.com%2Fwos%2Fwoscc%2Ffull-record%2FWOS:000410784500005","View Full Record in Web of Science")</f>
        <v>View Full Record in Web of Science</v>
      </c>
      <c r="BU328" s="1" t="s">
        <v>2040</v>
      </c>
      <c r="BV328" s="1" t="s">
        <v>6080</v>
      </c>
      <c r="BW328" s="1" t="s">
        <v>6080</v>
      </c>
    </row>
    <row r="329" spans="1:75" ht="362.5" x14ac:dyDescent="0.35">
      <c r="A329" s="1" t="s">
        <v>72</v>
      </c>
      <c r="B329" s="1" t="s">
        <v>1555</v>
      </c>
      <c r="C329" s="1" t="s">
        <v>74</v>
      </c>
      <c r="D329" s="1" t="s">
        <v>74</v>
      </c>
      <c r="E329" s="1" t="s">
        <v>74</v>
      </c>
      <c r="F329" s="1" t="s">
        <v>1556</v>
      </c>
      <c r="G329" s="1" t="s">
        <v>74</v>
      </c>
      <c r="H329" s="1" t="s">
        <v>74</v>
      </c>
      <c r="I329" s="1" t="s">
        <v>1557</v>
      </c>
      <c r="J329" s="1" t="s">
        <v>436</v>
      </c>
      <c r="K329" s="1" t="s">
        <v>74</v>
      </c>
      <c r="L329" s="1" t="s">
        <v>74</v>
      </c>
      <c r="M329" s="1" t="s">
        <v>78</v>
      </c>
      <c r="N329" s="1" t="s">
        <v>79</v>
      </c>
      <c r="O329" s="1" t="s">
        <v>74</v>
      </c>
      <c r="P329" s="1" t="s">
        <v>74</v>
      </c>
      <c r="Q329" s="1" t="s">
        <v>74</v>
      </c>
      <c r="R329" s="1" t="s">
        <v>74</v>
      </c>
      <c r="S329" s="1" t="s">
        <v>74</v>
      </c>
      <c r="T329" s="1" t="s">
        <v>1558</v>
      </c>
      <c r="U329" s="1" t="s">
        <v>1559</v>
      </c>
      <c r="V329" s="1" t="s">
        <v>1560</v>
      </c>
      <c r="W329" s="1" t="s">
        <v>1561</v>
      </c>
      <c r="X329" s="1" t="s">
        <v>1562</v>
      </c>
      <c r="Y329" s="1" t="s">
        <v>1563</v>
      </c>
      <c r="Z329" s="1" t="s">
        <v>1564</v>
      </c>
      <c r="AA329" s="1" t="s">
        <v>74</v>
      </c>
      <c r="AB329" s="1" t="s">
        <v>74</v>
      </c>
      <c r="AC329" s="1" t="s">
        <v>1565</v>
      </c>
      <c r="AD329" s="1" t="s">
        <v>1566</v>
      </c>
      <c r="AE329" s="1" t="s">
        <v>1567</v>
      </c>
      <c r="AF329" s="1" t="s">
        <v>74</v>
      </c>
      <c r="AG329" s="1">
        <v>39</v>
      </c>
      <c r="AH329" s="1">
        <v>45</v>
      </c>
      <c r="AI329" s="1">
        <v>45</v>
      </c>
      <c r="AJ329" s="1">
        <v>6</v>
      </c>
      <c r="AK329" s="1">
        <v>47</v>
      </c>
      <c r="AL329" s="1" t="s">
        <v>446</v>
      </c>
      <c r="AM329" s="1" t="s">
        <v>447</v>
      </c>
      <c r="AN329" s="1" t="s">
        <v>448</v>
      </c>
      <c r="AO329" s="1" t="s">
        <v>449</v>
      </c>
      <c r="AP329" s="1" t="s">
        <v>450</v>
      </c>
      <c r="AQ329" s="1" t="s">
        <v>74</v>
      </c>
      <c r="AR329" s="1" t="s">
        <v>451</v>
      </c>
      <c r="AS329" s="1" t="s">
        <v>452</v>
      </c>
      <c r="AT329" s="1" t="s">
        <v>1203</v>
      </c>
      <c r="AU329" s="1">
        <v>2017</v>
      </c>
      <c r="AV329" s="1">
        <v>36</v>
      </c>
      <c r="AW329" s="1">
        <v>5</v>
      </c>
      <c r="AX329" s="1" t="s">
        <v>74</v>
      </c>
      <c r="AY329" s="1" t="s">
        <v>74</v>
      </c>
      <c r="AZ329" s="1" t="s">
        <v>74</v>
      </c>
      <c r="BA329" s="1" t="s">
        <v>74</v>
      </c>
      <c r="BB329" s="1">
        <v>726</v>
      </c>
      <c r="BC329" s="1">
        <v>746</v>
      </c>
      <c r="BD329" s="1" t="s">
        <v>74</v>
      </c>
      <c r="BE329" s="1" t="s">
        <v>1568</v>
      </c>
      <c r="BF329" s="1" t="str">
        <f>HYPERLINK("http://dx.doi.org/10.1287/mksc.2017.1048","http://dx.doi.org/10.1287/mksc.2017.1048")</f>
        <v>http://dx.doi.org/10.1287/mksc.2017.1048</v>
      </c>
      <c r="BG329" s="1" t="s">
        <v>74</v>
      </c>
      <c r="BH329" s="1" t="s">
        <v>74</v>
      </c>
      <c r="BI329" s="1">
        <v>21</v>
      </c>
      <c r="BJ329" s="1" t="s">
        <v>153</v>
      </c>
      <c r="BK329" s="1" t="s">
        <v>101</v>
      </c>
      <c r="BL329" s="1" t="s">
        <v>154</v>
      </c>
      <c r="BM329" s="1" t="s">
        <v>1569</v>
      </c>
      <c r="BN329" s="1" t="s">
        <v>74</v>
      </c>
      <c r="BO329" s="1" t="s">
        <v>74</v>
      </c>
      <c r="BP329" s="1" t="s">
        <v>74</v>
      </c>
      <c r="BQ329" s="1" t="s">
        <v>74</v>
      </c>
      <c r="BR329" s="1" t="s">
        <v>104</v>
      </c>
      <c r="BS329" s="1" t="s">
        <v>1570</v>
      </c>
      <c r="BT329" s="1" t="str">
        <f>HYPERLINK("https%3A%2F%2Fwww.webofscience.com%2Fwos%2Fwoscc%2Ffull-record%2FWOS:000416388900005","View Full Record in Web of Science")</f>
        <v>View Full Record in Web of Science</v>
      </c>
      <c r="BU329" s="1" t="s">
        <v>2040</v>
      </c>
      <c r="BV329" s="1" t="s">
        <v>6080</v>
      </c>
      <c r="BW329" s="1" t="s">
        <v>6080</v>
      </c>
    </row>
    <row r="330" spans="1:75" ht="203" x14ac:dyDescent="0.35">
      <c r="A330" s="1" t="s">
        <v>72</v>
      </c>
      <c r="B330" s="1" t="s">
        <v>1746</v>
      </c>
      <c r="C330" s="1" t="s">
        <v>74</v>
      </c>
      <c r="D330" s="1" t="s">
        <v>74</v>
      </c>
      <c r="E330" s="1" t="s">
        <v>74</v>
      </c>
      <c r="F330" s="1" t="s">
        <v>1747</v>
      </c>
      <c r="G330" s="1" t="s">
        <v>74</v>
      </c>
      <c r="H330" s="1" t="s">
        <v>74</v>
      </c>
      <c r="I330" s="1" t="s">
        <v>1748</v>
      </c>
      <c r="J330" s="1" t="s">
        <v>1749</v>
      </c>
      <c r="K330" s="1" t="s">
        <v>74</v>
      </c>
      <c r="L330" s="1" t="s">
        <v>74</v>
      </c>
      <c r="M330" s="1" t="s">
        <v>78</v>
      </c>
      <c r="N330" s="1" t="s">
        <v>79</v>
      </c>
      <c r="O330" s="1" t="s">
        <v>74</v>
      </c>
      <c r="P330" s="1" t="s">
        <v>74</v>
      </c>
      <c r="Q330" s="1" t="s">
        <v>74</v>
      </c>
      <c r="R330" s="1" t="s">
        <v>74</v>
      </c>
      <c r="S330" s="1" t="s">
        <v>74</v>
      </c>
      <c r="T330" s="1" t="s">
        <v>1750</v>
      </c>
      <c r="U330" s="1" t="s">
        <v>1751</v>
      </c>
      <c r="V330" s="1" t="s">
        <v>1752</v>
      </c>
      <c r="W330" s="1" t="s">
        <v>1753</v>
      </c>
      <c r="X330" s="1" t="s">
        <v>1754</v>
      </c>
      <c r="Y330" s="1" t="s">
        <v>1755</v>
      </c>
      <c r="Z330" s="1" t="s">
        <v>1756</v>
      </c>
      <c r="AA330" s="1" t="s">
        <v>1757</v>
      </c>
      <c r="AB330" s="1" t="s">
        <v>1758</v>
      </c>
      <c r="AC330" s="1" t="s">
        <v>74</v>
      </c>
      <c r="AD330" s="1" t="s">
        <v>74</v>
      </c>
      <c r="AE330" s="1" t="s">
        <v>74</v>
      </c>
      <c r="AF330" s="1" t="s">
        <v>74</v>
      </c>
      <c r="AG330" s="1">
        <v>12</v>
      </c>
      <c r="AH330" s="1">
        <v>10</v>
      </c>
      <c r="AI330" s="1">
        <v>11</v>
      </c>
      <c r="AJ330" s="1">
        <v>3</v>
      </c>
      <c r="AK330" s="1">
        <v>27</v>
      </c>
      <c r="AL330" s="1" t="s">
        <v>144</v>
      </c>
      <c r="AM330" s="1" t="s">
        <v>145</v>
      </c>
      <c r="AN330" s="1" t="s">
        <v>146</v>
      </c>
      <c r="AO330" s="1" t="s">
        <v>1759</v>
      </c>
      <c r="AP330" s="1" t="s">
        <v>1760</v>
      </c>
      <c r="AQ330" s="1" t="s">
        <v>74</v>
      </c>
      <c r="AR330" s="1" t="s">
        <v>1761</v>
      </c>
      <c r="AS330" s="1" t="s">
        <v>1762</v>
      </c>
      <c r="AT330" s="1" t="s">
        <v>258</v>
      </c>
      <c r="AU330" s="1">
        <v>2017</v>
      </c>
      <c r="AV330" s="1">
        <v>60</v>
      </c>
      <c r="AW330" s="1">
        <v>1</v>
      </c>
      <c r="AX330" s="1" t="s">
        <v>74</v>
      </c>
      <c r="AY330" s="1" t="s">
        <v>74</v>
      </c>
      <c r="AZ330" s="1" t="s">
        <v>74</v>
      </c>
      <c r="BA330" s="1" t="s">
        <v>74</v>
      </c>
      <c r="BB330" s="1">
        <v>56</v>
      </c>
      <c r="BC330" s="1">
        <v>69</v>
      </c>
      <c r="BD330" s="1" t="s">
        <v>74</v>
      </c>
      <c r="BE330" s="1" t="s">
        <v>1763</v>
      </c>
      <c r="BF330" s="1" t="str">
        <f>HYPERLINK("http://dx.doi.org/10.1177/0008125617731781","http://dx.doi.org/10.1177/0008125617731781")</f>
        <v>http://dx.doi.org/10.1177/0008125617731781</v>
      </c>
      <c r="BG330" s="1" t="s">
        <v>74</v>
      </c>
      <c r="BH330" s="1" t="s">
        <v>74</v>
      </c>
      <c r="BI330" s="1">
        <v>14</v>
      </c>
      <c r="BJ330" s="1" t="s">
        <v>877</v>
      </c>
      <c r="BK330" s="1" t="s">
        <v>101</v>
      </c>
      <c r="BL330" s="1" t="s">
        <v>154</v>
      </c>
      <c r="BM330" s="1" t="s">
        <v>1764</v>
      </c>
      <c r="BN330" s="1" t="s">
        <v>74</v>
      </c>
      <c r="BO330" s="1" t="s">
        <v>156</v>
      </c>
      <c r="BP330" s="1" t="s">
        <v>74</v>
      </c>
      <c r="BQ330" s="1" t="s">
        <v>74</v>
      </c>
      <c r="BR330" s="1" t="s">
        <v>104</v>
      </c>
      <c r="BS330" s="1" t="s">
        <v>1765</v>
      </c>
      <c r="BT330" s="1" t="str">
        <f>HYPERLINK("https%3A%2F%2Fwww.webofscience.com%2Fwos%2Fwoscc%2Ffull-record%2FWOS:000423270700005","View Full Record in Web of Science")</f>
        <v>View Full Record in Web of Science</v>
      </c>
      <c r="BU330" s="1" t="s">
        <v>2040</v>
      </c>
      <c r="BV330" s="1" t="s">
        <v>10653</v>
      </c>
    </row>
    <row r="331" spans="1:75" ht="377" x14ac:dyDescent="0.35">
      <c r="A331" s="1" t="s">
        <v>72</v>
      </c>
      <c r="B331" s="1" t="s">
        <v>1863</v>
      </c>
      <c r="C331" s="1" t="s">
        <v>74</v>
      </c>
      <c r="D331" s="1" t="s">
        <v>74</v>
      </c>
      <c r="E331" s="1" t="s">
        <v>74</v>
      </c>
      <c r="F331" s="1" t="s">
        <v>1864</v>
      </c>
      <c r="G331" s="1" t="s">
        <v>74</v>
      </c>
      <c r="H331" s="1" t="s">
        <v>74</v>
      </c>
      <c r="I331" s="1" t="s">
        <v>1865</v>
      </c>
      <c r="J331" s="1" t="s">
        <v>436</v>
      </c>
      <c r="K331" s="1" t="s">
        <v>74</v>
      </c>
      <c r="L331" s="1" t="s">
        <v>74</v>
      </c>
      <c r="M331" s="1" t="s">
        <v>78</v>
      </c>
      <c r="N331" s="1" t="s">
        <v>79</v>
      </c>
      <c r="O331" s="1" t="s">
        <v>74</v>
      </c>
      <c r="P331" s="1" t="s">
        <v>74</v>
      </c>
      <c r="Q331" s="1" t="s">
        <v>74</v>
      </c>
      <c r="R331" s="1" t="s">
        <v>74</v>
      </c>
      <c r="S331" s="1" t="s">
        <v>74</v>
      </c>
      <c r="T331" s="1" t="s">
        <v>1866</v>
      </c>
      <c r="U331" s="1" t="s">
        <v>1867</v>
      </c>
      <c r="V331" s="1" t="s">
        <v>1868</v>
      </c>
      <c r="W331" s="1" t="s">
        <v>1869</v>
      </c>
      <c r="X331" s="1" t="s">
        <v>1870</v>
      </c>
      <c r="Y331" s="1" t="s">
        <v>1871</v>
      </c>
      <c r="Z331" s="1" t="s">
        <v>1872</v>
      </c>
      <c r="AA331" s="1" t="s">
        <v>74</v>
      </c>
      <c r="AB331" s="1" t="s">
        <v>74</v>
      </c>
      <c r="AC331" s="1" t="s">
        <v>1794</v>
      </c>
      <c r="AD331" s="1" t="s">
        <v>1794</v>
      </c>
      <c r="AE331" s="1" t="s">
        <v>1873</v>
      </c>
      <c r="AF331" s="1" t="s">
        <v>74</v>
      </c>
      <c r="AG331" s="1">
        <v>51</v>
      </c>
      <c r="AH331" s="1">
        <v>46</v>
      </c>
      <c r="AI331" s="1">
        <v>47</v>
      </c>
      <c r="AJ331" s="1">
        <v>5</v>
      </c>
      <c r="AK331" s="1">
        <v>100</v>
      </c>
      <c r="AL331" s="1" t="s">
        <v>446</v>
      </c>
      <c r="AM331" s="1" t="s">
        <v>447</v>
      </c>
      <c r="AN331" s="1" t="s">
        <v>448</v>
      </c>
      <c r="AO331" s="1" t="s">
        <v>449</v>
      </c>
      <c r="AP331" s="1" t="s">
        <v>450</v>
      </c>
      <c r="AQ331" s="1" t="s">
        <v>74</v>
      </c>
      <c r="AR331" s="1" t="s">
        <v>451</v>
      </c>
      <c r="AS331" s="1" t="s">
        <v>452</v>
      </c>
      <c r="AT331" s="1" t="s">
        <v>780</v>
      </c>
      <c r="AU331" s="1">
        <v>2017</v>
      </c>
      <c r="AV331" s="1">
        <v>36</v>
      </c>
      <c r="AW331" s="1">
        <v>1</v>
      </c>
      <c r="AX331" s="1" t="s">
        <v>74</v>
      </c>
      <c r="AY331" s="1" t="s">
        <v>74</v>
      </c>
      <c r="AZ331" s="1" t="s">
        <v>74</v>
      </c>
      <c r="BA331" s="1" t="s">
        <v>74</v>
      </c>
      <c r="BB331" s="1">
        <v>1</v>
      </c>
      <c r="BC331" s="1">
        <v>20</v>
      </c>
      <c r="BD331" s="1" t="s">
        <v>74</v>
      </c>
      <c r="BE331" s="1" t="s">
        <v>1874</v>
      </c>
      <c r="BF331" s="1" t="str">
        <f>HYPERLINK("http://dx.doi.org/10.1287/mksc.2016.0994","http://dx.doi.org/10.1287/mksc.2016.0994")</f>
        <v>http://dx.doi.org/10.1287/mksc.2016.0994</v>
      </c>
      <c r="BG331" s="1" t="s">
        <v>74</v>
      </c>
      <c r="BH331" s="1" t="s">
        <v>74</v>
      </c>
      <c r="BI331" s="1">
        <v>20</v>
      </c>
      <c r="BJ331" s="1" t="s">
        <v>153</v>
      </c>
      <c r="BK331" s="1" t="s">
        <v>101</v>
      </c>
      <c r="BL331" s="1" t="s">
        <v>154</v>
      </c>
      <c r="BM331" s="1" t="s">
        <v>1875</v>
      </c>
      <c r="BN331" s="1" t="s">
        <v>74</v>
      </c>
      <c r="BO331" s="1" t="s">
        <v>74</v>
      </c>
      <c r="BP331" s="1" t="s">
        <v>74</v>
      </c>
      <c r="BQ331" s="1" t="s">
        <v>74</v>
      </c>
      <c r="BR331" s="1" t="s">
        <v>104</v>
      </c>
      <c r="BS331" s="1" t="s">
        <v>1876</v>
      </c>
      <c r="BT331" s="1" t="str">
        <f>HYPERLINK("https%3A%2F%2Fwww.webofscience.com%2Fwos%2Fwoscc%2Ffull-record%2FWOS:000393684700001","View Full Record in Web of Science")</f>
        <v>View Full Record in Web of Science</v>
      </c>
      <c r="BU331" s="1" t="s">
        <v>2040</v>
      </c>
      <c r="BV331" s="1" t="s">
        <v>6080</v>
      </c>
      <c r="BW331" s="1" t="s">
        <v>6080</v>
      </c>
    </row>
    <row r="332" spans="1:75" ht="348" x14ac:dyDescent="0.35">
      <c r="A332" s="1" t="s">
        <v>72</v>
      </c>
      <c r="B332" s="1" t="s">
        <v>1442</v>
      </c>
      <c r="C332" s="1" t="s">
        <v>74</v>
      </c>
      <c r="D332" s="1" t="s">
        <v>74</v>
      </c>
      <c r="E332" s="1" t="s">
        <v>74</v>
      </c>
      <c r="F332" s="1" t="s">
        <v>1443</v>
      </c>
      <c r="G332" s="1" t="s">
        <v>74</v>
      </c>
      <c r="H332" s="1" t="s">
        <v>74</v>
      </c>
      <c r="I332" s="1" t="s">
        <v>1444</v>
      </c>
      <c r="J332" s="1" t="s">
        <v>136</v>
      </c>
      <c r="K332" s="1" t="s">
        <v>74</v>
      </c>
      <c r="L332" s="1" t="s">
        <v>74</v>
      </c>
      <c r="M332" s="1" t="s">
        <v>78</v>
      </c>
      <c r="N332" s="1" t="s">
        <v>79</v>
      </c>
      <c r="O332" s="1" t="s">
        <v>74</v>
      </c>
      <c r="P332" s="1" t="s">
        <v>74</v>
      </c>
      <c r="Q332" s="1" t="s">
        <v>74</v>
      </c>
      <c r="R332" s="1" t="s">
        <v>74</v>
      </c>
      <c r="S332" s="1" t="s">
        <v>74</v>
      </c>
      <c r="T332" s="1" t="s">
        <v>1445</v>
      </c>
      <c r="U332" s="1" t="s">
        <v>1446</v>
      </c>
      <c r="V332" s="1" t="s">
        <v>1447</v>
      </c>
      <c r="W332" s="1" t="s">
        <v>1448</v>
      </c>
      <c r="X332" s="1" t="s">
        <v>1449</v>
      </c>
      <c r="Y332" s="1" t="s">
        <v>1450</v>
      </c>
      <c r="Z332" s="1" t="s">
        <v>1451</v>
      </c>
      <c r="AA332" s="1" t="s">
        <v>74</v>
      </c>
      <c r="AB332" s="1" t="s">
        <v>74</v>
      </c>
      <c r="AC332" s="1" t="s">
        <v>74</v>
      </c>
      <c r="AD332" s="1" t="s">
        <v>74</v>
      </c>
      <c r="AE332" s="1" t="s">
        <v>74</v>
      </c>
      <c r="AF332" s="1" t="s">
        <v>74</v>
      </c>
      <c r="AG332" s="1">
        <v>86</v>
      </c>
      <c r="AH332" s="1">
        <v>89</v>
      </c>
      <c r="AI332" s="1">
        <v>89</v>
      </c>
      <c r="AJ332" s="1">
        <v>18</v>
      </c>
      <c r="AK332" s="1">
        <v>151</v>
      </c>
      <c r="AL332" s="1" t="s">
        <v>232</v>
      </c>
      <c r="AM332" s="1" t="s">
        <v>233</v>
      </c>
      <c r="AN332" s="1" t="s">
        <v>234</v>
      </c>
      <c r="AO332" s="1" t="s">
        <v>147</v>
      </c>
      <c r="AP332" s="1" t="s">
        <v>148</v>
      </c>
      <c r="AQ332" s="1" t="s">
        <v>74</v>
      </c>
      <c r="AR332" s="1" t="s">
        <v>149</v>
      </c>
      <c r="AS332" s="1" t="s">
        <v>150</v>
      </c>
      <c r="AT332" s="1" t="s">
        <v>469</v>
      </c>
      <c r="AU332" s="1">
        <v>2017</v>
      </c>
      <c r="AV332" s="1">
        <v>54</v>
      </c>
      <c r="AW332" s="1">
        <v>4</v>
      </c>
      <c r="AX332" s="1" t="s">
        <v>74</v>
      </c>
      <c r="AY332" s="1" t="s">
        <v>74</v>
      </c>
      <c r="AZ332" s="1" t="s">
        <v>74</v>
      </c>
      <c r="BA332" s="1" t="s">
        <v>74</v>
      </c>
      <c r="BB332" s="1">
        <v>572</v>
      </c>
      <c r="BC332" s="1">
        <v>588</v>
      </c>
      <c r="BD332" s="1" t="s">
        <v>74</v>
      </c>
      <c r="BE332" s="1" t="s">
        <v>1452</v>
      </c>
      <c r="BF332" s="1" t="str">
        <f>HYPERLINK("http://dx.doi.org/10.1509/jmr.15.0248","http://dx.doi.org/10.1509/jmr.15.0248")</f>
        <v>http://dx.doi.org/10.1509/jmr.15.0248</v>
      </c>
      <c r="BG332" s="1" t="s">
        <v>74</v>
      </c>
      <c r="BH332" s="1" t="s">
        <v>74</v>
      </c>
      <c r="BI332" s="1">
        <v>17</v>
      </c>
      <c r="BJ332" s="1" t="s">
        <v>153</v>
      </c>
      <c r="BK332" s="1" t="s">
        <v>101</v>
      </c>
      <c r="BL332" s="1" t="s">
        <v>154</v>
      </c>
      <c r="BM332" s="1" t="s">
        <v>1453</v>
      </c>
      <c r="BN332" s="1" t="s">
        <v>74</v>
      </c>
      <c r="BO332" s="1" t="s">
        <v>74</v>
      </c>
      <c r="BP332" s="1" t="s">
        <v>74</v>
      </c>
      <c r="BQ332" s="1" t="s">
        <v>74</v>
      </c>
      <c r="BR332" s="1" t="s">
        <v>104</v>
      </c>
      <c r="BS332" s="1" t="s">
        <v>1454</v>
      </c>
      <c r="BT332" s="1" t="str">
        <f>HYPERLINK("https%3A%2F%2Fwww.webofscience.com%2Fwos%2Fwoscc%2Ffull-record%2FWOS:000410784500005","View Full Record in Web of Science")</f>
        <v>View Full Record in Web of Science</v>
      </c>
      <c r="BU332" s="1" t="s">
        <v>3776</v>
      </c>
      <c r="BV332" s="1" t="s">
        <v>6080</v>
      </c>
      <c r="BW332" s="1" t="s">
        <v>6080</v>
      </c>
    </row>
    <row r="333" spans="1:75" ht="391.5" x14ac:dyDescent="0.35">
      <c r="A333" s="1" t="s">
        <v>72</v>
      </c>
      <c r="B333" s="1" t="s">
        <v>2125</v>
      </c>
      <c r="C333" s="1" t="s">
        <v>74</v>
      </c>
      <c r="D333" s="1" t="s">
        <v>74</v>
      </c>
      <c r="E333" s="1" t="s">
        <v>74</v>
      </c>
      <c r="F333" s="1" t="s">
        <v>2126</v>
      </c>
      <c r="G333" s="1" t="s">
        <v>74</v>
      </c>
      <c r="H333" s="1" t="s">
        <v>74</v>
      </c>
      <c r="I333" s="1" t="s">
        <v>2127</v>
      </c>
      <c r="J333" s="1" t="s">
        <v>161</v>
      </c>
      <c r="K333" s="1" t="s">
        <v>74</v>
      </c>
      <c r="L333" s="1" t="s">
        <v>74</v>
      </c>
      <c r="M333" s="1" t="s">
        <v>78</v>
      </c>
      <c r="N333" s="1" t="s">
        <v>79</v>
      </c>
      <c r="O333" s="1" t="s">
        <v>74</v>
      </c>
      <c r="P333" s="1" t="s">
        <v>74</v>
      </c>
      <c r="Q333" s="1" t="s">
        <v>74</v>
      </c>
      <c r="R333" s="1" t="s">
        <v>74</v>
      </c>
      <c r="S333" s="1" t="s">
        <v>74</v>
      </c>
      <c r="T333" s="1" t="s">
        <v>2128</v>
      </c>
      <c r="U333" s="1" t="s">
        <v>2129</v>
      </c>
      <c r="V333" s="1" t="s">
        <v>2130</v>
      </c>
      <c r="W333" s="1" t="s">
        <v>2131</v>
      </c>
      <c r="X333" s="1" t="s">
        <v>2132</v>
      </c>
      <c r="Y333" s="1" t="s">
        <v>2133</v>
      </c>
      <c r="Z333" s="1" t="s">
        <v>2134</v>
      </c>
      <c r="AA333" s="1" t="s">
        <v>74</v>
      </c>
      <c r="AB333" s="1" t="s">
        <v>74</v>
      </c>
      <c r="AC333" s="1" t="s">
        <v>74</v>
      </c>
      <c r="AD333" s="1" t="s">
        <v>74</v>
      </c>
      <c r="AE333" s="1" t="s">
        <v>74</v>
      </c>
      <c r="AF333" s="1" t="s">
        <v>74</v>
      </c>
      <c r="AG333" s="1">
        <v>85</v>
      </c>
      <c r="AH333" s="1">
        <v>40</v>
      </c>
      <c r="AI333" s="1">
        <v>40</v>
      </c>
      <c r="AJ333" s="1">
        <v>6</v>
      </c>
      <c r="AK333" s="1">
        <v>93</v>
      </c>
      <c r="AL333" s="1" t="s">
        <v>170</v>
      </c>
      <c r="AM333" s="1" t="s">
        <v>171</v>
      </c>
      <c r="AN333" s="1" t="s">
        <v>172</v>
      </c>
      <c r="AO333" s="1" t="s">
        <v>173</v>
      </c>
      <c r="AP333" s="1" t="s">
        <v>174</v>
      </c>
      <c r="AQ333" s="1" t="s">
        <v>74</v>
      </c>
      <c r="AR333" s="1" t="s">
        <v>175</v>
      </c>
      <c r="AS333" s="1" t="s">
        <v>176</v>
      </c>
      <c r="AT333" s="1" t="s">
        <v>294</v>
      </c>
      <c r="AU333" s="1">
        <v>2017</v>
      </c>
      <c r="AV333" s="1">
        <v>43</v>
      </c>
      <c r="AW333" s="1">
        <v>6</v>
      </c>
      <c r="AX333" s="1" t="s">
        <v>74</v>
      </c>
      <c r="AY333" s="1" t="s">
        <v>74</v>
      </c>
      <c r="AZ333" s="1" t="s">
        <v>74</v>
      </c>
      <c r="BA333" s="1" t="s">
        <v>74</v>
      </c>
      <c r="BB333" s="1">
        <v>970</v>
      </c>
      <c r="BC333" s="1">
        <v>991</v>
      </c>
      <c r="BD333" s="1" t="s">
        <v>74</v>
      </c>
      <c r="BE333" s="1" t="s">
        <v>2135</v>
      </c>
      <c r="BF333" s="1" t="str">
        <f>HYPERLINK("http://dx.doi.org/10.1093/jcr/ucw065","http://dx.doi.org/10.1093/jcr/ucw065")</f>
        <v>http://dx.doi.org/10.1093/jcr/ucw065</v>
      </c>
      <c r="BG333" s="1" t="s">
        <v>74</v>
      </c>
      <c r="BH333" s="1" t="s">
        <v>74</v>
      </c>
      <c r="BI333" s="1">
        <v>22</v>
      </c>
      <c r="BJ333" s="1" t="s">
        <v>153</v>
      </c>
      <c r="BK333" s="1" t="s">
        <v>101</v>
      </c>
      <c r="BL333" s="1" t="s">
        <v>154</v>
      </c>
      <c r="BM333" s="1" t="s">
        <v>1440</v>
      </c>
      <c r="BN333" s="1" t="s">
        <v>74</v>
      </c>
      <c r="BO333" s="1" t="s">
        <v>74</v>
      </c>
      <c r="BP333" s="1" t="s">
        <v>74</v>
      </c>
      <c r="BQ333" s="1" t="s">
        <v>74</v>
      </c>
      <c r="BR333" s="1" t="s">
        <v>104</v>
      </c>
      <c r="BS333" s="1" t="s">
        <v>2136</v>
      </c>
      <c r="BT333" s="1" t="str">
        <f>HYPERLINK("https%3A%2F%2Fwww.webofscience.com%2Fwos%2Fwoscc%2Ffull-record%2FWOS:000398288100006","View Full Record in Web of Science")</f>
        <v>View Full Record in Web of Science</v>
      </c>
      <c r="BU333" s="1" t="s">
        <v>3776</v>
      </c>
      <c r="BV333" s="1" t="s">
        <v>6080</v>
      </c>
      <c r="BW333" s="1" t="s">
        <v>6080</v>
      </c>
    </row>
    <row r="334" spans="1:75" ht="362.5" x14ac:dyDescent="0.35">
      <c r="A334" s="1" t="s">
        <v>72</v>
      </c>
      <c r="B334" s="1" t="s">
        <v>1555</v>
      </c>
      <c r="C334" s="1" t="s">
        <v>74</v>
      </c>
      <c r="D334" s="1" t="s">
        <v>74</v>
      </c>
      <c r="E334" s="1" t="s">
        <v>74</v>
      </c>
      <c r="F334" s="1" t="s">
        <v>1556</v>
      </c>
      <c r="G334" s="1" t="s">
        <v>74</v>
      </c>
      <c r="H334" s="1" t="s">
        <v>74</v>
      </c>
      <c r="I334" s="1" t="s">
        <v>1557</v>
      </c>
      <c r="J334" s="1" t="s">
        <v>436</v>
      </c>
      <c r="K334" s="1" t="s">
        <v>74</v>
      </c>
      <c r="L334" s="1" t="s">
        <v>74</v>
      </c>
      <c r="M334" s="1" t="s">
        <v>78</v>
      </c>
      <c r="N334" s="1" t="s">
        <v>79</v>
      </c>
      <c r="O334" s="1" t="s">
        <v>74</v>
      </c>
      <c r="P334" s="1" t="s">
        <v>74</v>
      </c>
      <c r="Q334" s="1" t="s">
        <v>74</v>
      </c>
      <c r="R334" s="1" t="s">
        <v>74</v>
      </c>
      <c r="S334" s="1" t="s">
        <v>74</v>
      </c>
      <c r="T334" s="1" t="s">
        <v>1558</v>
      </c>
      <c r="U334" s="1" t="s">
        <v>1559</v>
      </c>
      <c r="V334" s="1" t="s">
        <v>1560</v>
      </c>
      <c r="W334" s="1" t="s">
        <v>1561</v>
      </c>
      <c r="X334" s="1" t="s">
        <v>1562</v>
      </c>
      <c r="Y334" s="1" t="s">
        <v>1563</v>
      </c>
      <c r="Z334" s="1" t="s">
        <v>1564</v>
      </c>
      <c r="AA334" s="1" t="s">
        <v>74</v>
      </c>
      <c r="AB334" s="1" t="s">
        <v>74</v>
      </c>
      <c r="AC334" s="1" t="s">
        <v>1565</v>
      </c>
      <c r="AD334" s="1" t="s">
        <v>1566</v>
      </c>
      <c r="AE334" s="1" t="s">
        <v>1567</v>
      </c>
      <c r="AF334" s="1" t="s">
        <v>74</v>
      </c>
      <c r="AG334" s="1">
        <v>39</v>
      </c>
      <c r="AH334" s="1">
        <v>46</v>
      </c>
      <c r="AI334" s="1">
        <v>47</v>
      </c>
      <c r="AJ334" s="1">
        <v>6</v>
      </c>
      <c r="AK334" s="1">
        <v>47</v>
      </c>
      <c r="AL334" s="1" t="s">
        <v>446</v>
      </c>
      <c r="AM334" s="1" t="s">
        <v>447</v>
      </c>
      <c r="AN334" s="1" t="s">
        <v>448</v>
      </c>
      <c r="AO334" s="1" t="s">
        <v>449</v>
      </c>
      <c r="AP334" s="1" t="s">
        <v>450</v>
      </c>
      <c r="AQ334" s="1" t="s">
        <v>74</v>
      </c>
      <c r="AR334" s="1" t="s">
        <v>451</v>
      </c>
      <c r="AS334" s="1" t="s">
        <v>452</v>
      </c>
      <c r="AT334" s="1" t="s">
        <v>1203</v>
      </c>
      <c r="AU334" s="1">
        <v>2017</v>
      </c>
      <c r="AV334" s="1">
        <v>36</v>
      </c>
      <c r="AW334" s="1">
        <v>5</v>
      </c>
      <c r="AX334" s="1" t="s">
        <v>74</v>
      </c>
      <c r="AY334" s="1" t="s">
        <v>74</v>
      </c>
      <c r="AZ334" s="1" t="s">
        <v>74</v>
      </c>
      <c r="BA334" s="1" t="s">
        <v>74</v>
      </c>
      <c r="BB334" s="1">
        <v>726</v>
      </c>
      <c r="BC334" s="1">
        <v>746</v>
      </c>
      <c r="BD334" s="1" t="s">
        <v>74</v>
      </c>
      <c r="BE334" s="1" t="s">
        <v>1568</v>
      </c>
      <c r="BF334" s="1" t="str">
        <f>HYPERLINK("http://dx.doi.org/10.1287/mksc.2017.1048","http://dx.doi.org/10.1287/mksc.2017.1048")</f>
        <v>http://dx.doi.org/10.1287/mksc.2017.1048</v>
      </c>
      <c r="BG334" s="1" t="s">
        <v>74</v>
      </c>
      <c r="BH334" s="1" t="s">
        <v>74</v>
      </c>
      <c r="BI334" s="1">
        <v>21</v>
      </c>
      <c r="BJ334" s="1" t="s">
        <v>153</v>
      </c>
      <c r="BK334" s="1" t="s">
        <v>101</v>
      </c>
      <c r="BL334" s="1" t="s">
        <v>154</v>
      </c>
      <c r="BM334" s="1" t="s">
        <v>1569</v>
      </c>
      <c r="BN334" s="1" t="s">
        <v>74</v>
      </c>
      <c r="BO334" s="1" t="s">
        <v>74</v>
      </c>
      <c r="BP334" s="1" t="s">
        <v>74</v>
      </c>
      <c r="BQ334" s="1" t="s">
        <v>74</v>
      </c>
      <c r="BR334" s="1" t="s">
        <v>4296</v>
      </c>
      <c r="BS334" s="1" t="s">
        <v>1570</v>
      </c>
      <c r="BT334" s="1" t="str">
        <f>HYPERLINK("https%3A%2F%2Fwww.webofscience.com%2Fwos%2Fwoscc%2Ffull-record%2FWOS:000416388900005","View Full Record in Web of Science")</f>
        <v>View Full Record in Web of Science</v>
      </c>
      <c r="BU334" s="1" t="s">
        <v>5876</v>
      </c>
      <c r="BV334" s="1" t="s">
        <v>6080</v>
      </c>
      <c r="BW334" s="1" t="s">
        <v>6080</v>
      </c>
    </row>
    <row r="335" spans="1:75" ht="290" x14ac:dyDescent="0.35">
      <c r="A335" s="1" t="s">
        <v>72</v>
      </c>
      <c r="B335" s="1" t="s">
        <v>5401</v>
      </c>
      <c r="C335" s="1" t="s">
        <v>74</v>
      </c>
      <c r="D335" s="1" t="s">
        <v>74</v>
      </c>
      <c r="E335" s="1" t="s">
        <v>74</v>
      </c>
      <c r="F335" s="1" t="s">
        <v>5402</v>
      </c>
      <c r="G335" s="1" t="s">
        <v>74</v>
      </c>
      <c r="H335" s="1" t="s">
        <v>74</v>
      </c>
      <c r="I335" s="1" t="s">
        <v>5403</v>
      </c>
      <c r="J335" s="1" t="s">
        <v>240</v>
      </c>
      <c r="K335" s="1" t="s">
        <v>74</v>
      </c>
      <c r="L335" s="1" t="s">
        <v>74</v>
      </c>
      <c r="M335" s="1" t="s">
        <v>78</v>
      </c>
      <c r="N335" s="1" t="s">
        <v>79</v>
      </c>
      <c r="O335" s="1" t="s">
        <v>74</v>
      </c>
      <c r="P335" s="1" t="s">
        <v>74</v>
      </c>
      <c r="Q335" s="1" t="s">
        <v>74</v>
      </c>
      <c r="R335" s="1" t="s">
        <v>74</v>
      </c>
      <c r="S335" s="1" t="s">
        <v>74</v>
      </c>
      <c r="T335" s="1" t="s">
        <v>5404</v>
      </c>
      <c r="U335" s="1" t="s">
        <v>5405</v>
      </c>
      <c r="V335" s="1" t="s">
        <v>5406</v>
      </c>
      <c r="W335" s="1" t="s">
        <v>5407</v>
      </c>
      <c r="X335" s="1" t="s">
        <v>5408</v>
      </c>
      <c r="Y335" s="1" t="s">
        <v>5409</v>
      </c>
      <c r="Z335" s="1" t="s">
        <v>5410</v>
      </c>
      <c r="AA335" s="1" t="s">
        <v>5411</v>
      </c>
      <c r="AB335" s="1" t="s">
        <v>5412</v>
      </c>
      <c r="AC335" s="1" t="s">
        <v>74</v>
      </c>
      <c r="AD335" s="1" t="s">
        <v>74</v>
      </c>
      <c r="AE335" s="1" t="s">
        <v>74</v>
      </c>
      <c r="AF335" s="1" t="s">
        <v>74</v>
      </c>
      <c r="AG335" s="1">
        <v>42</v>
      </c>
      <c r="AH335" s="1">
        <v>49</v>
      </c>
      <c r="AI335" s="1">
        <v>49</v>
      </c>
      <c r="AJ335" s="1">
        <v>7</v>
      </c>
      <c r="AK335" s="1">
        <v>119</v>
      </c>
      <c r="AL335" s="1" t="s">
        <v>144</v>
      </c>
      <c r="AM335" s="1" t="s">
        <v>145</v>
      </c>
      <c r="AN335" s="1" t="s">
        <v>146</v>
      </c>
      <c r="AO335" s="1" t="s">
        <v>254</v>
      </c>
      <c r="AP335" s="1" t="s">
        <v>255</v>
      </c>
      <c r="AQ335" s="1" t="s">
        <v>74</v>
      </c>
      <c r="AR335" s="1" t="s">
        <v>256</v>
      </c>
      <c r="AS335" s="1" t="s">
        <v>257</v>
      </c>
      <c r="AT335" s="1" t="s">
        <v>98</v>
      </c>
      <c r="AU335" s="1">
        <v>2017</v>
      </c>
      <c r="AV335" s="1">
        <v>81</v>
      </c>
      <c r="AW335" s="1">
        <v>4</v>
      </c>
      <c r="AX335" s="1" t="s">
        <v>74</v>
      </c>
      <c r="AY335" s="1" t="s">
        <v>74</v>
      </c>
      <c r="AZ335" s="1" t="s">
        <v>74</v>
      </c>
      <c r="BA335" s="1" t="s">
        <v>74</v>
      </c>
      <c r="BB335" s="1">
        <v>88</v>
      </c>
      <c r="BC335" s="1">
        <v>108</v>
      </c>
      <c r="BD335" s="1" t="s">
        <v>74</v>
      </c>
      <c r="BE335" s="1" t="s">
        <v>5413</v>
      </c>
      <c r="BF335" s="1" t="str">
        <f>HYPERLINK("http://dx.doi.org/10.1509/jm.16.0044","http://dx.doi.org/10.1509/jm.16.0044")</f>
        <v>http://dx.doi.org/10.1509/jm.16.0044</v>
      </c>
      <c r="BG335" s="1" t="s">
        <v>74</v>
      </c>
      <c r="BH335" s="1" t="s">
        <v>74</v>
      </c>
      <c r="BI335" s="1">
        <v>21</v>
      </c>
      <c r="BJ335" s="1" t="s">
        <v>153</v>
      </c>
      <c r="BK335" s="1" t="s">
        <v>101</v>
      </c>
      <c r="BL335" s="1" t="s">
        <v>154</v>
      </c>
      <c r="BM335" s="1" t="s">
        <v>5414</v>
      </c>
      <c r="BN335" s="1" t="s">
        <v>74</v>
      </c>
      <c r="BO335" s="1" t="s">
        <v>74</v>
      </c>
      <c r="BP335" s="1" t="s">
        <v>74</v>
      </c>
      <c r="BQ335" s="1" t="s">
        <v>74</v>
      </c>
      <c r="BR335" s="1" t="s">
        <v>4296</v>
      </c>
      <c r="BS335" s="1" t="s">
        <v>5415</v>
      </c>
      <c r="BT335" s="1" t="str">
        <f>HYPERLINK("https%3A%2F%2Fwww.webofscience.com%2Fwos%2Fwoscc%2Ffull-record%2FWOS:000407161500005","View Full Record in Web of Science")</f>
        <v>View Full Record in Web of Science</v>
      </c>
      <c r="BU335" s="1" t="s">
        <v>5876</v>
      </c>
      <c r="BV335" s="1" t="s">
        <v>6080</v>
      </c>
      <c r="BW335" s="1" t="s">
        <v>6080</v>
      </c>
    </row>
    <row r="336" spans="1:75" ht="409.5" x14ac:dyDescent="0.35">
      <c r="A336" s="1" t="s">
        <v>72</v>
      </c>
      <c r="B336" s="1" t="s">
        <v>5416</v>
      </c>
      <c r="C336" s="1" t="s">
        <v>74</v>
      </c>
      <c r="D336" s="1" t="s">
        <v>74</v>
      </c>
      <c r="E336" s="1" t="s">
        <v>74</v>
      </c>
      <c r="F336" s="1" t="s">
        <v>5417</v>
      </c>
      <c r="G336" s="1" t="s">
        <v>74</v>
      </c>
      <c r="H336" s="1" t="s">
        <v>74</v>
      </c>
      <c r="I336" s="1" t="s">
        <v>5418</v>
      </c>
      <c r="J336" s="1" t="s">
        <v>5419</v>
      </c>
      <c r="K336" s="1" t="s">
        <v>74</v>
      </c>
      <c r="L336" s="1" t="s">
        <v>74</v>
      </c>
      <c r="M336" s="1" t="s">
        <v>78</v>
      </c>
      <c r="N336" s="1" t="s">
        <v>79</v>
      </c>
      <c r="O336" s="1" t="s">
        <v>74</v>
      </c>
      <c r="P336" s="1" t="s">
        <v>74</v>
      </c>
      <c r="Q336" s="1" t="s">
        <v>74</v>
      </c>
      <c r="R336" s="1" t="s">
        <v>74</v>
      </c>
      <c r="S336" s="1" t="s">
        <v>74</v>
      </c>
      <c r="T336" s="1" t="s">
        <v>5420</v>
      </c>
      <c r="U336" s="1" t="s">
        <v>5421</v>
      </c>
      <c r="V336" s="1" t="s">
        <v>5422</v>
      </c>
      <c r="W336" s="1" t="s">
        <v>5423</v>
      </c>
      <c r="X336" s="1" t="s">
        <v>5424</v>
      </c>
      <c r="Y336" s="1" t="s">
        <v>5425</v>
      </c>
      <c r="Z336" s="1" t="s">
        <v>5426</v>
      </c>
      <c r="AA336" s="1" t="s">
        <v>74</v>
      </c>
      <c r="AB336" s="1" t="s">
        <v>74</v>
      </c>
      <c r="AC336" s="1" t="s">
        <v>5427</v>
      </c>
      <c r="AD336" s="1" t="s">
        <v>5428</v>
      </c>
      <c r="AE336" s="1" t="s">
        <v>5429</v>
      </c>
      <c r="AF336" s="1" t="s">
        <v>74</v>
      </c>
      <c r="AG336" s="1">
        <v>87</v>
      </c>
      <c r="AH336" s="1">
        <v>2</v>
      </c>
      <c r="AI336" s="1">
        <v>2</v>
      </c>
      <c r="AJ336" s="1">
        <v>0</v>
      </c>
      <c r="AK336" s="1">
        <v>20</v>
      </c>
      <c r="AL336" s="1" t="s">
        <v>820</v>
      </c>
      <c r="AM336" s="1" t="s">
        <v>2119</v>
      </c>
      <c r="AN336" s="1" t="s">
        <v>2120</v>
      </c>
      <c r="AO336" s="1" t="s">
        <v>5430</v>
      </c>
      <c r="AP336" s="1" t="s">
        <v>5431</v>
      </c>
      <c r="AQ336" s="1" t="s">
        <v>74</v>
      </c>
      <c r="AR336" s="1" t="s">
        <v>5432</v>
      </c>
      <c r="AS336" s="1" t="s">
        <v>5433</v>
      </c>
      <c r="AT336" s="1" t="s">
        <v>151</v>
      </c>
      <c r="AU336" s="1">
        <v>2017</v>
      </c>
      <c r="AV336" s="1">
        <v>23</v>
      </c>
      <c r="AW336" s="1">
        <v>3</v>
      </c>
      <c r="AX336" s="1" t="s">
        <v>74</v>
      </c>
      <c r="AY336" s="1" t="s">
        <v>74</v>
      </c>
      <c r="AZ336" s="1" t="s">
        <v>74</v>
      </c>
      <c r="BA336" s="1" t="s">
        <v>74</v>
      </c>
      <c r="BB336" s="1">
        <v>913</v>
      </c>
      <c r="BC336" s="1">
        <v>939</v>
      </c>
      <c r="BD336" s="1" t="s">
        <v>74</v>
      </c>
      <c r="BE336" s="1" t="s">
        <v>5434</v>
      </c>
      <c r="BF336" s="1" t="str">
        <f>HYPERLINK("http://dx.doi.org/10.1007/s11948-016-9799-5","http://dx.doi.org/10.1007/s11948-016-9799-5")</f>
        <v>http://dx.doi.org/10.1007/s11948-016-9799-5</v>
      </c>
      <c r="BG336" s="1" t="s">
        <v>74</v>
      </c>
      <c r="BH336" s="1" t="s">
        <v>74</v>
      </c>
      <c r="BI336" s="1">
        <v>27</v>
      </c>
      <c r="BJ336" s="1" t="s">
        <v>5435</v>
      </c>
      <c r="BK336" s="1" t="s">
        <v>520</v>
      </c>
      <c r="BL336" s="1" t="s">
        <v>5436</v>
      </c>
      <c r="BM336" s="1" t="s">
        <v>5437</v>
      </c>
      <c r="BN336" s="1">
        <v>27405936</v>
      </c>
      <c r="BO336" s="1" t="s">
        <v>74</v>
      </c>
      <c r="BP336" s="1" t="s">
        <v>74</v>
      </c>
      <c r="BQ336" s="1" t="s">
        <v>74</v>
      </c>
      <c r="BR336" s="1" t="s">
        <v>4296</v>
      </c>
      <c r="BS336" s="1" t="s">
        <v>5438</v>
      </c>
      <c r="BT336" s="1" t="str">
        <f>HYPERLINK("https%3A%2F%2Fwww.webofscience.com%2Fwos%2Fwoscc%2Ffull-record%2FWOS:000403065800014","View Full Record in Web of Science")</f>
        <v>View Full Record in Web of Science</v>
      </c>
      <c r="BU336" s="1" t="s">
        <v>5876</v>
      </c>
      <c r="BV336" s="1" t="s">
        <v>10653</v>
      </c>
    </row>
    <row r="337" spans="1:75" ht="406" x14ac:dyDescent="0.35">
      <c r="A337" s="1" t="s">
        <v>72</v>
      </c>
      <c r="B337" s="1" t="s">
        <v>5439</v>
      </c>
      <c r="C337" s="1" t="s">
        <v>74</v>
      </c>
      <c r="D337" s="1" t="s">
        <v>74</v>
      </c>
      <c r="E337" s="1" t="s">
        <v>74</v>
      </c>
      <c r="F337" s="1" t="s">
        <v>5440</v>
      </c>
      <c r="G337" s="1" t="s">
        <v>74</v>
      </c>
      <c r="H337" s="1" t="s">
        <v>74</v>
      </c>
      <c r="I337" s="1" t="s">
        <v>5441</v>
      </c>
      <c r="J337" s="1" t="s">
        <v>5442</v>
      </c>
      <c r="K337" s="1" t="s">
        <v>74</v>
      </c>
      <c r="L337" s="1" t="s">
        <v>74</v>
      </c>
      <c r="M337" s="1" t="s">
        <v>78</v>
      </c>
      <c r="N337" s="1" t="s">
        <v>79</v>
      </c>
      <c r="O337" s="1" t="s">
        <v>74</v>
      </c>
      <c r="P337" s="1" t="s">
        <v>74</v>
      </c>
      <c r="Q337" s="1" t="s">
        <v>74</v>
      </c>
      <c r="R337" s="1" t="s">
        <v>74</v>
      </c>
      <c r="S337" s="1" t="s">
        <v>74</v>
      </c>
      <c r="T337" s="1" t="s">
        <v>5443</v>
      </c>
      <c r="U337" s="1" t="s">
        <v>5444</v>
      </c>
      <c r="V337" s="1" t="s">
        <v>5445</v>
      </c>
      <c r="W337" s="1" t="s">
        <v>5446</v>
      </c>
      <c r="X337" s="1" t="s">
        <v>5447</v>
      </c>
      <c r="Y337" s="1" t="s">
        <v>5448</v>
      </c>
      <c r="Z337" s="1" t="s">
        <v>5449</v>
      </c>
      <c r="AA337" s="1" t="s">
        <v>5450</v>
      </c>
      <c r="AB337" s="1" t="s">
        <v>5451</v>
      </c>
      <c r="AC337" s="1" t="s">
        <v>5452</v>
      </c>
      <c r="AD337" s="1" t="s">
        <v>5453</v>
      </c>
      <c r="AE337" s="1" t="s">
        <v>5454</v>
      </c>
      <c r="AF337" s="1" t="s">
        <v>74</v>
      </c>
      <c r="AG337" s="1">
        <v>63</v>
      </c>
      <c r="AH337" s="1">
        <v>14</v>
      </c>
      <c r="AI337" s="1">
        <v>14</v>
      </c>
      <c r="AJ337" s="1">
        <v>0</v>
      </c>
      <c r="AK337" s="1">
        <v>11</v>
      </c>
      <c r="AL337" s="1" t="s">
        <v>5455</v>
      </c>
      <c r="AM337" s="1" t="s">
        <v>5456</v>
      </c>
      <c r="AN337" s="1" t="s">
        <v>5457</v>
      </c>
      <c r="AO337" s="1" t="s">
        <v>5458</v>
      </c>
      <c r="AP337" s="1" t="s">
        <v>74</v>
      </c>
      <c r="AQ337" s="1" t="s">
        <v>74</v>
      </c>
      <c r="AR337" s="1" t="s">
        <v>5459</v>
      </c>
      <c r="AS337" s="1" t="s">
        <v>5460</v>
      </c>
      <c r="AT337" s="1" t="s">
        <v>363</v>
      </c>
      <c r="AU337" s="1">
        <v>2017</v>
      </c>
      <c r="AV337" s="1">
        <v>25</v>
      </c>
      <c r="AW337" s="1">
        <v>3</v>
      </c>
      <c r="AX337" s="1" t="s">
        <v>74</v>
      </c>
      <c r="AY337" s="1" t="s">
        <v>74</v>
      </c>
      <c r="AZ337" s="1" t="s">
        <v>74</v>
      </c>
      <c r="BA337" s="1" t="s">
        <v>74</v>
      </c>
      <c r="BB337" s="1">
        <v>519</v>
      </c>
      <c r="BC337" s="1">
        <v>530</v>
      </c>
      <c r="BD337" s="1" t="s">
        <v>74</v>
      </c>
      <c r="BE337" s="1" t="s">
        <v>5461</v>
      </c>
      <c r="BF337" s="1" t="str">
        <f>HYPERLINK("http://dx.doi.org/10.1109/TASLP.2016.2635445","http://dx.doi.org/10.1109/TASLP.2016.2635445")</f>
        <v>http://dx.doi.org/10.1109/TASLP.2016.2635445</v>
      </c>
      <c r="BG337" s="1" t="s">
        <v>74</v>
      </c>
      <c r="BH337" s="1" t="s">
        <v>74</v>
      </c>
      <c r="BI337" s="1">
        <v>12</v>
      </c>
      <c r="BJ337" s="1" t="s">
        <v>5462</v>
      </c>
      <c r="BK337" s="1" t="s">
        <v>129</v>
      </c>
      <c r="BL337" s="1" t="s">
        <v>5463</v>
      </c>
      <c r="BM337" s="1" t="s">
        <v>5464</v>
      </c>
      <c r="BN337" s="1" t="s">
        <v>74</v>
      </c>
      <c r="BO337" s="1" t="s">
        <v>74</v>
      </c>
      <c r="BP337" s="1" t="s">
        <v>74</v>
      </c>
      <c r="BQ337" s="1" t="s">
        <v>74</v>
      </c>
      <c r="BR337" s="1" t="s">
        <v>4296</v>
      </c>
      <c r="BS337" s="1" t="s">
        <v>5465</v>
      </c>
      <c r="BT337" s="1" t="str">
        <f>HYPERLINK("https%3A%2F%2Fwww.webofscience.com%2Fwos%2Fwoscc%2Ffull-record%2FWOS:000395561200006","View Full Record in Web of Science")</f>
        <v>View Full Record in Web of Science</v>
      </c>
      <c r="BU337" s="1" t="s">
        <v>5876</v>
      </c>
      <c r="BV337" s="1" t="s">
        <v>10653</v>
      </c>
    </row>
    <row r="338" spans="1:75" ht="377" x14ac:dyDescent="0.35">
      <c r="A338" s="1" t="s">
        <v>72</v>
      </c>
      <c r="B338" s="1" t="s">
        <v>1863</v>
      </c>
      <c r="C338" s="1" t="s">
        <v>74</v>
      </c>
      <c r="D338" s="1" t="s">
        <v>74</v>
      </c>
      <c r="E338" s="1" t="s">
        <v>74</v>
      </c>
      <c r="F338" s="1" t="s">
        <v>1864</v>
      </c>
      <c r="G338" s="1" t="s">
        <v>74</v>
      </c>
      <c r="H338" s="1" t="s">
        <v>74</v>
      </c>
      <c r="I338" s="1" t="s">
        <v>1865</v>
      </c>
      <c r="J338" s="1" t="s">
        <v>436</v>
      </c>
      <c r="K338" s="1" t="s">
        <v>74</v>
      </c>
      <c r="L338" s="1" t="s">
        <v>74</v>
      </c>
      <c r="M338" s="1" t="s">
        <v>78</v>
      </c>
      <c r="N338" s="1" t="s">
        <v>79</v>
      </c>
      <c r="O338" s="1" t="s">
        <v>74</v>
      </c>
      <c r="P338" s="1" t="s">
        <v>74</v>
      </c>
      <c r="Q338" s="1" t="s">
        <v>74</v>
      </c>
      <c r="R338" s="1" t="s">
        <v>74</v>
      </c>
      <c r="S338" s="1" t="s">
        <v>74</v>
      </c>
      <c r="T338" s="1" t="s">
        <v>1866</v>
      </c>
      <c r="U338" s="1" t="s">
        <v>1867</v>
      </c>
      <c r="V338" s="1" t="s">
        <v>1868</v>
      </c>
      <c r="W338" s="1" t="s">
        <v>1869</v>
      </c>
      <c r="X338" s="1" t="s">
        <v>1870</v>
      </c>
      <c r="Y338" s="1" t="s">
        <v>1871</v>
      </c>
      <c r="Z338" s="1" t="s">
        <v>1872</v>
      </c>
      <c r="AA338" s="1" t="s">
        <v>74</v>
      </c>
      <c r="AB338" s="1" t="s">
        <v>74</v>
      </c>
      <c r="AC338" s="1" t="s">
        <v>1794</v>
      </c>
      <c r="AD338" s="1" t="s">
        <v>1794</v>
      </c>
      <c r="AE338" s="1" t="s">
        <v>1873</v>
      </c>
      <c r="AF338" s="1" t="s">
        <v>74</v>
      </c>
      <c r="AG338" s="1">
        <v>51</v>
      </c>
      <c r="AH338" s="1">
        <v>46</v>
      </c>
      <c r="AI338" s="1">
        <v>47</v>
      </c>
      <c r="AJ338" s="1">
        <v>5</v>
      </c>
      <c r="AK338" s="1">
        <v>100</v>
      </c>
      <c r="AL338" s="1" t="s">
        <v>446</v>
      </c>
      <c r="AM338" s="1" t="s">
        <v>447</v>
      </c>
      <c r="AN338" s="1" t="s">
        <v>448</v>
      </c>
      <c r="AO338" s="1" t="s">
        <v>449</v>
      </c>
      <c r="AP338" s="1" t="s">
        <v>450</v>
      </c>
      <c r="AQ338" s="1" t="s">
        <v>74</v>
      </c>
      <c r="AR338" s="1" t="s">
        <v>451</v>
      </c>
      <c r="AS338" s="1" t="s">
        <v>452</v>
      </c>
      <c r="AT338" s="1" t="s">
        <v>780</v>
      </c>
      <c r="AU338" s="1">
        <v>2017</v>
      </c>
      <c r="AV338" s="1">
        <v>36</v>
      </c>
      <c r="AW338" s="1">
        <v>1</v>
      </c>
      <c r="AX338" s="1" t="s">
        <v>74</v>
      </c>
      <c r="AY338" s="1" t="s">
        <v>74</v>
      </c>
      <c r="AZ338" s="1" t="s">
        <v>74</v>
      </c>
      <c r="BA338" s="1" t="s">
        <v>74</v>
      </c>
      <c r="BB338" s="1">
        <v>1</v>
      </c>
      <c r="BC338" s="1">
        <v>20</v>
      </c>
      <c r="BD338" s="1" t="s">
        <v>74</v>
      </c>
      <c r="BE338" s="1" t="s">
        <v>1874</v>
      </c>
      <c r="BF338" s="1" t="str">
        <f>HYPERLINK("http://dx.doi.org/10.1287/mksc.2016.0994","http://dx.doi.org/10.1287/mksc.2016.0994")</f>
        <v>http://dx.doi.org/10.1287/mksc.2016.0994</v>
      </c>
      <c r="BG338" s="1" t="s">
        <v>74</v>
      </c>
      <c r="BH338" s="1" t="s">
        <v>74</v>
      </c>
      <c r="BI338" s="1">
        <v>20</v>
      </c>
      <c r="BJ338" s="1" t="s">
        <v>153</v>
      </c>
      <c r="BK338" s="1" t="s">
        <v>101</v>
      </c>
      <c r="BL338" s="1" t="s">
        <v>154</v>
      </c>
      <c r="BM338" s="1" t="s">
        <v>1875</v>
      </c>
      <c r="BN338" s="1" t="s">
        <v>74</v>
      </c>
      <c r="BO338" s="1" t="s">
        <v>74</v>
      </c>
      <c r="BP338" s="1" t="s">
        <v>74</v>
      </c>
      <c r="BQ338" s="1" t="s">
        <v>74</v>
      </c>
      <c r="BR338" s="1" t="s">
        <v>4296</v>
      </c>
      <c r="BS338" s="1" t="s">
        <v>1876</v>
      </c>
      <c r="BT338" s="1" t="str">
        <f>HYPERLINK("https%3A%2F%2Fwww.webofscience.com%2Fwos%2Fwoscc%2Ffull-record%2FWOS:000393684700001","View Full Record in Web of Science")</f>
        <v>View Full Record in Web of Science</v>
      </c>
      <c r="BU338" s="1" t="s">
        <v>5876</v>
      </c>
      <c r="BV338" s="1" t="s">
        <v>6080</v>
      </c>
      <c r="BW338" s="1" t="s">
        <v>6080</v>
      </c>
    </row>
    <row r="339" spans="1:75" x14ac:dyDescent="0.35">
      <c r="A339" t="s">
        <v>72</v>
      </c>
      <c r="B339" t="s">
        <v>5401</v>
      </c>
      <c r="C339" t="s">
        <v>74</v>
      </c>
      <c r="D339" t="s">
        <v>74</v>
      </c>
      <c r="E339" t="s">
        <v>74</v>
      </c>
      <c r="F339" t="s">
        <v>5402</v>
      </c>
      <c r="G339" t="s">
        <v>74</v>
      </c>
      <c r="H339" t="s">
        <v>74</v>
      </c>
      <c r="I339" t="s">
        <v>5403</v>
      </c>
      <c r="J339" t="s">
        <v>240</v>
      </c>
      <c r="K339" t="s">
        <v>74</v>
      </c>
      <c r="L339" t="s">
        <v>74</v>
      </c>
      <c r="M339" t="s">
        <v>78</v>
      </c>
      <c r="N339" t="s">
        <v>79</v>
      </c>
      <c r="O339" t="s">
        <v>74</v>
      </c>
      <c r="P339" t="s">
        <v>74</v>
      </c>
      <c r="Q339" t="s">
        <v>74</v>
      </c>
      <c r="R339" t="s">
        <v>74</v>
      </c>
      <c r="S339" t="s">
        <v>74</v>
      </c>
      <c r="T339" t="s">
        <v>5404</v>
      </c>
      <c r="U339" t="s">
        <v>5405</v>
      </c>
      <c r="V339" t="s">
        <v>5406</v>
      </c>
      <c r="W339" t="s">
        <v>5407</v>
      </c>
      <c r="X339" t="s">
        <v>5408</v>
      </c>
      <c r="Y339" t="s">
        <v>5409</v>
      </c>
      <c r="Z339" t="s">
        <v>5410</v>
      </c>
      <c r="AA339" t="s">
        <v>6431</v>
      </c>
      <c r="AB339" t="s">
        <v>5412</v>
      </c>
      <c r="AC339" t="s">
        <v>74</v>
      </c>
      <c r="AD339" t="s">
        <v>74</v>
      </c>
      <c r="AE339" t="s">
        <v>74</v>
      </c>
      <c r="AF339" t="s">
        <v>74</v>
      </c>
      <c r="AG339">
        <v>42</v>
      </c>
      <c r="AH339">
        <v>49</v>
      </c>
      <c r="AI339">
        <v>49</v>
      </c>
      <c r="AJ339">
        <v>10</v>
      </c>
      <c r="AK339">
        <v>122</v>
      </c>
      <c r="AL339" t="s">
        <v>144</v>
      </c>
      <c r="AM339" t="s">
        <v>145</v>
      </c>
      <c r="AN339" t="s">
        <v>146</v>
      </c>
      <c r="AO339" t="s">
        <v>254</v>
      </c>
      <c r="AP339" t="s">
        <v>255</v>
      </c>
      <c r="AQ339" t="s">
        <v>74</v>
      </c>
      <c r="AR339" t="s">
        <v>256</v>
      </c>
      <c r="AS339" t="s">
        <v>257</v>
      </c>
      <c r="AT339" t="s">
        <v>98</v>
      </c>
      <c r="AU339">
        <v>2017</v>
      </c>
      <c r="AV339">
        <v>81</v>
      </c>
      <c r="AW339">
        <v>4</v>
      </c>
      <c r="AX339" t="s">
        <v>74</v>
      </c>
      <c r="AY339" t="s">
        <v>74</v>
      </c>
      <c r="AZ339" t="s">
        <v>74</v>
      </c>
      <c r="BA339" t="s">
        <v>74</v>
      </c>
      <c r="BB339">
        <v>88</v>
      </c>
      <c r="BC339">
        <v>108</v>
      </c>
      <c r="BD339" t="s">
        <v>74</v>
      </c>
      <c r="BE339" t="s">
        <v>5413</v>
      </c>
      <c r="BF339" t="str">
        <f>HYPERLINK("http://dx.doi.org/10.1509/jm.16.0044","http://dx.doi.org/10.1509/jm.16.0044")</f>
        <v>http://dx.doi.org/10.1509/jm.16.0044</v>
      </c>
      <c r="BG339" t="s">
        <v>74</v>
      </c>
      <c r="BH339" t="s">
        <v>74</v>
      </c>
      <c r="BI339">
        <v>21</v>
      </c>
      <c r="BJ339" t="s">
        <v>153</v>
      </c>
      <c r="BK339" t="s">
        <v>101</v>
      </c>
      <c r="BL339" t="s">
        <v>154</v>
      </c>
      <c r="BM339" t="s">
        <v>5414</v>
      </c>
      <c r="BN339" t="s">
        <v>74</v>
      </c>
      <c r="BO339" t="s">
        <v>74</v>
      </c>
      <c r="BP339" t="s">
        <v>74</v>
      </c>
      <c r="BQ339" t="s">
        <v>74</v>
      </c>
      <c r="BR339" t="s">
        <v>6098</v>
      </c>
      <c r="BS339" t="s">
        <v>5415</v>
      </c>
      <c r="BT339" t="str">
        <f>HYPERLINK("https%3A%2F%2Fwww.webofscience.com%2Fwos%2Fwoscc%2Ffull-record%2FWOS:000407161500005","View Full Record in Web of Science")</f>
        <v>View Full Record in Web of Science</v>
      </c>
      <c r="BU339" t="s">
        <v>6100</v>
      </c>
      <c r="BV339" s="1" t="s">
        <v>6080</v>
      </c>
      <c r="BW339" s="1" t="s">
        <v>6080</v>
      </c>
    </row>
    <row r="340" spans="1:75" x14ac:dyDescent="0.35">
      <c r="A340" t="s">
        <v>72</v>
      </c>
      <c r="B340" t="s">
        <v>6742</v>
      </c>
      <c r="C340" t="s">
        <v>74</v>
      </c>
      <c r="D340" t="s">
        <v>74</v>
      </c>
      <c r="E340" t="s">
        <v>74</v>
      </c>
      <c r="F340" t="s">
        <v>6743</v>
      </c>
      <c r="G340" t="s">
        <v>74</v>
      </c>
      <c r="H340" t="s">
        <v>74</v>
      </c>
      <c r="I340" t="s">
        <v>6744</v>
      </c>
      <c r="J340" t="s">
        <v>6745</v>
      </c>
      <c r="K340" t="s">
        <v>74</v>
      </c>
      <c r="L340" t="s">
        <v>74</v>
      </c>
      <c r="M340" t="s">
        <v>78</v>
      </c>
      <c r="N340" t="s">
        <v>110</v>
      </c>
      <c r="O340" t="s">
        <v>74</v>
      </c>
      <c r="P340" t="s">
        <v>74</v>
      </c>
      <c r="Q340" t="s">
        <v>74</v>
      </c>
      <c r="R340" t="s">
        <v>74</v>
      </c>
      <c r="S340" t="s">
        <v>74</v>
      </c>
      <c r="T340" t="s">
        <v>6746</v>
      </c>
      <c r="U340" t="s">
        <v>6747</v>
      </c>
      <c r="V340" t="s">
        <v>6748</v>
      </c>
      <c r="W340" t="s">
        <v>6749</v>
      </c>
      <c r="X340" t="s">
        <v>6750</v>
      </c>
      <c r="Y340" t="s">
        <v>6751</v>
      </c>
      <c r="Z340" t="s">
        <v>6752</v>
      </c>
      <c r="AA340" t="s">
        <v>74</v>
      </c>
      <c r="AB340" t="s">
        <v>6753</v>
      </c>
      <c r="AC340" t="s">
        <v>74</v>
      </c>
      <c r="AD340" t="s">
        <v>74</v>
      </c>
      <c r="AE340" t="s">
        <v>74</v>
      </c>
      <c r="AF340" t="s">
        <v>74</v>
      </c>
      <c r="AG340">
        <v>120</v>
      </c>
      <c r="AH340">
        <v>10</v>
      </c>
      <c r="AI340">
        <v>10</v>
      </c>
      <c r="AJ340">
        <v>7</v>
      </c>
      <c r="AK340">
        <v>83</v>
      </c>
      <c r="AL340" t="s">
        <v>1180</v>
      </c>
      <c r="AM340" t="s">
        <v>1181</v>
      </c>
      <c r="AN340" t="s">
        <v>1182</v>
      </c>
      <c r="AO340" t="s">
        <v>6754</v>
      </c>
      <c r="AP340" t="s">
        <v>6755</v>
      </c>
      <c r="AQ340" t="s">
        <v>74</v>
      </c>
      <c r="AR340" t="s">
        <v>6756</v>
      </c>
      <c r="AS340" t="s">
        <v>6757</v>
      </c>
      <c r="AT340" t="s">
        <v>177</v>
      </c>
      <c r="AU340">
        <v>2017</v>
      </c>
      <c r="AV340">
        <v>20</v>
      </c>
      <c r="AW340">
        <v>1</v>
      </c>
      <c r="AX340" t="s">
        <v>74</v>
      </c>
      <c r="AY340" t="s">
        <v>74</v>
      </c>
      <c r="AZ340" t="s">
        <v>74</v>
      </c>
      <c r="BA340" t="s">
        <v>74</v>
      </c>
      <c r="BB340">
        <v>59</v>
      </c>
      <c r="BC340">
        <v>80</v>
      </c>
      <c r="BD340" t="s">
        <v>74</v>
      </c>
      <c r="BE340" t="s">
        <v>6758</v>
      </c>
      <c r="BF340" t="str">
        <f>HYPERLINK("http://dx.doi.org/10.1080/10253866.2016.1160897","http://dx.doi.org/10.1080/10253866.2016.1160897")</f>
        <v>http://dx.doi.org/10.1080/10253866.2016.1160897</v>
      </c>
      <c r="BG340" t="s">
        <v>74</v>
      </c>
      <c r="BH340" t="s">
        <v>74</v>
      </c>
      <c r="BI340">
        <v>22</v>
      </c>
      <c r="BJ340" t="s">
        <v>153</v>
      </c>
      <c r="BK340" t="s">
        <v>101</v>
      </c>
      <c r="BL340" t="s">
        <v>154</v>
      </c>
      <c r="BM340" t="s">
        <v>6759</v>
      </c>
      <c r="BN340" t="s">
        <v>74</v>
      </c>
      <c r="BO340" t="s">
        <v>74</v>
      </c>
      <c r="BP340" t="s">
        <v>74</v>
      </c>
      <c r="BQ340" t="s">
        <v>74</v>
      </c>
      <c r="BR340" t="s">
        <v>6098</v>
      </c>
      <c r="BS340" t="s">
        <v>6760</v>
      </c>
      <c r="BT340" t="str">
        <f>HYPERLINK("https%3A%2F%2Fwww.webofscience.com%2Fwos%2Fwoscc%2Ffull-record%2FWOS:000393809200005","View Full Record in Web of Science")</f>
        <v>View Full Record in Web of Science</v>
      </c>
      <c r="BU340" t="s">
        <v>6100</v>
      </c>
      <c r="BV340" s="1" t="s">
        <v>6080</v>
      </c>
      <c r="BW340" s="1" t="s">
        <v>10653</v>
      </c>
    </row>
    <row r="341" spans="1:75" ht="362.5" x14ac:dyDescent="0.35">
      <c r="A341" t="s">
        <v>72</v>
      </c>
      <c r="B341" t="s">
        <v>6932</v>
      </c>
      <c r="C341" t="s">
        <v>74</v>
      </c>
      <c r="D341" t="s">
        <v>74</v>
      </c>
      <c r="E341" t="s">
        <v>74</v>
      </c>
      <c r="F341" t="s">
        <v>6933</v>
      </c>
      <c r="G341" t="s">
        <v>74</v>
      </c>
      <c r="H341" t="s">
        <v>74</v>
      </c>
      <c r="I341" t="s">
        <v>6934</v>
      </c>
      <c r="J341" t="s">
        <v>6394</v>
      </c>
      <c r="K341" t="s">
        <v>74</v>
      </c>
      <c r="L341" t="s">
        <v>74</v>
      </c>
      <c r="M341" t="s">
        <v>78</v>
      </c>
      <c r="N341" t="s">
        <v>79</v>
      </c>
      <c r="O341" t="s">
        <v>74</v>
      </c>
      <c r="P341" t="s">
        <v>74</v>
      </c>
      <c r="Q341" t="s">
        <v>74</v>
      </c>
      <c r="R341" t="s">
        <v>74</v>
      </c>
      <c r="S341" t="s">
        <v>74</v>
      </c>
      <c r="T341" t="s">
        <v>74</v>
      </c>
      <c r="U341" t="s">
        <v>6935</v>
      </c>
      <c r="V341" s="1" t="s">
        <v>6936</v>
      </c>
      <c r="W341" t="s">
        <v>6937</v>
      </c>
      <c r="X341" t="s">
        <v>6938</v>
      </c>
      <c r="Y341" t="s">
        <v>6939</v>
      </c>
      <c r="Z341" t="s">
        <v>6940</v>
      </c>
      <c r="AA341" t="s">
        <v>74</v>
      </c>
      <c r="AB341" t="s">
        <v>74</v>
      </c>
      <c r="AC341" t="s">
        <v>74</v>
      </c>
      <c r="AD341" t="s">
        <v>74</v>
      </c>
      <c r="AE341" t="s">
        <v>74</v>
      </c>
      <c r="AF341" t="s">
        <v>74</v>
      </c>
      <c r="AG341">
        <v>54</v>
      </c>
      <c r="AH341">
        <v>108</v>
      </c>
      <c r="AI341">
        <v>111</v>
      </c>
      <c r="AJ341">
        <v>14</v>
      </c>
      <c r="AK341">
        <v>170</v>
      </c>
      <c r="AL341" t="s">
        <v>1180</v>
      </c>
      <c r="AM341" t="s">
        <v>1181</v>
      </c>
      <c r="AN341" t="s">
        <v>1182</v>
      </c>
      <c r="AO341" t="s">
        <v>6402</v>
      </c>
      <c r="AP341" t="s">
        <v>6403</v>
      </c>
      <c r="AQ341" t="s">
        <v>74</v>
      </c>
      <c r="AR341" t="s">
        <v>6404</v>
      </c>
      <c r="AS341" t="s">
        <v>6405</v>
      </c>
      <c r="AT341" t="s">
        <v>74</v>
      </c>
      <c r="AU341">
        <v>2017</v>
      </c>
      <c r="AV341">
        <v>46</v>
      </c>
      <c r="AW341">
        <v>2</v>
      </c>
      <c r="AX341" t="s">
        <v>74</v>
      </c>
      <c r="AY341" t="s">
        <v>74</v>
      </c>
      <c r="AZ341" t="s">
        <v>74</v>
      </c>
      <c r="BA341" t="s">
        <v>74</v>
      </c>
      <c r="BB341">
        <v>236</v>
      </c>
      <c r="BC341">
        <v>247</v>
      </c>
      <c r="BD341" t="s">
        <v>74</v>
      </c>
      <c r="BE341" t="s">
        <v>6941</v>
      </c>
      <c r="BF341" t="str">
        <f>HYPERLINK("http://dx.doi.org/10.1080/00913367.2017.1297273","http://dx.doi.org/10.1080/00913367.2017.1297273")</f>
        <v>http://dx.doi.org/10.1080/00913367.2017.1297273</v>
      </c>
      <c r="BG341" t="s">
        <v>74</v>
      </c>
      <c r="BH341" t="s">
        <v>74</v>
      </c>
      <c r="BI341">
        <v>12</v>
      </c>
      <c r="BJ341" t="s">
        <v>2010</v>
      </c>
      <c r="BK341" t="s">
        <v>101</v>
      </c>
      <c r="BL341" t="s">
        <v>2011</v>
      </c>
      <c r="BM341" t="s">
        <v>6942</v>
      </c>
      <c r="BN341" t="s">
        <v>74</v>
      </c>
      <c r="BO341" t="s">
        <v>74</v>
      </c>
      <c r="BP341" t="s">
        <v>74</v>
      </c>
      <c r="BQ341" t="s">
        <v>74</v>
      </c>
      <c r="BR341" t="s">
        <v>6098</v>
      </c>
      <c r="BS341" t="s">
        <v>6943</v>
      </c>
      <c r="BT341" t="str">
        <f>HYPERLINK("https%3A%2F%2Fwww.webofscience.com%2Fwos%2Fwoscc%2Ffull-record%2FWOS:000400028600002","View Full Record in Web of Science")</f>
        <v>View Full Record in Web of Science</v>
      </c>
      <c r="BU341" t="s">
        <v>6100</v>
      </c>
      <c r="BV341" s="1" t="s">
        <v>6080</v>
      </c>
      <c r="BW341" s="1" t="s">
        <v>6080</v>
      </c>
    </row>
    <row r="342" spans="1:75" ht="377" x14ac:dyDescent="0.35">
      <c r="A342" t="s">
        <v>72</v>
      </c>
      <c r="B342" t="s">
        <v>7023</v>
      </c>
      <c r="C342" t="s">
        <v>74</v>
      </c>
      <c r="D342" t="s">
        <v>74</v>
      </c>
      <c r="E342" t="s">
        <v>74</v>
      </c>
      <c r="F342" t="s">
        <v>7024</v>
      </c>
      <c r="G342" t="s">
        <v>74</v>
      </c>
      <c r="H342" t="s">
        <v>74</v>
      </c>
      <c r="I342" t="s">
        <v>7025</v>
      </c>
      <c r="J342" t="s">
        <v>7026</v>
      </c>
      <c r="K342" t="s">
        <v>74</v>
      </c>
      <c r="L342" t="s">
        <v>74</v>
      </c>
      <c r="M342" t="s">
        <v>78</v>
      </c>
      <c r="N342" t="s">
        <v>79</v>
      </c>
      <c r="O342" t="s">
        <v>74</v>
      </c>
      <c r="P342" t="s">
        <v>74</v>
      </c>
      <c r="Q342" t="s">
        <v>74</v>
      </c>
      <c r="R342" t="s">
        <v>74</v>
      </c>
      <c r="S342" t="s">
        <v>74</v>
      </c>
      <c r="T342" t="s">
        <v>7027</v>
      </c>
      <c r="U342" t="s">
        <v>74</v>
      </c>
      <c r="V342" s="1" t="s">
        <v>7028</v>
      </c>
      <c r="W342" t="s">
        <v>7029</v>
      </c>
      <c r="X342" t="s">
        <v>74</v>
      </c>
      <c r="Y342" t="s">
        <v>7030</v>
      </c>
      <c r="Z342" t="s">
        <v>7031</v>
      </c>
      <c r="AA342" t="s">
        <v>74</v>
      </c>
      <c r="AB342" t="s">
        <v>74</v>
      </c>
      <c r="AC342" t="s">
        <v>74</v>
      </c>
      <c r="AD342" t="s">
        <v>74</v>
      </c>
      <c r="AE342" t="s">
        <v>74</v>
      </c>
      <c r="AF342" t="s">
        <v>74</v>
      </c>
      <c r="AG342">
        <v>7</v>
      </c>
      <c r="AH342">
        <v>2</v>
      </c>
      <c r="AI342">
        <v>2</v>
      </c>
      <c r="AJ342">
        <v>0</v>
      </c>
      <c r="AK342">
        <v>4</v>
      </c>
      <c r="AL342" t="s">
        <v>446</v>
      </c>
      <c r="AM342" t="s">
        <v>447</v>
      </c>
      <c r="AN342" t="s">
        <v>448</v>
      </c>
      <c r="AO342" t="s">
        <v>7032</v>
      </c>
      <c r="AP342" t="s">
        <v>7033</v>
      </c>
      <c r="AQ342" t="s">
        <v>74</v>
      </c>
      <c r="AR342" t="s">
        <v>7026</v>
      </c>
      <c r="AS342" t="s">
        <v>7034</v>
      </c>
      <c r="AT342" t="s">
        <v>780</v>
      </c>
      <c r="AU342">
        <v>2017</v>
      </c>
      <c r="AV342">
        <v>47</v>
      </c>
      <c r="AW342">
        <v>1</v>
      </c>
      <c r="AX342" t="s">
        <v>74</v>
      </c>
      <c r="AY342" t="s">
        <v>74</v>
      </c>
      <c r="AZ342" t="s">
        <v>74</v>
      </c>
      <c r="BA342" t="s">
        <v>74</v>
      </c>
      <c r="BB342">
        <v>24</v>
      </c>
      <c r="BC342">
        <v>37</v>
      </c>
      <c r="BD342" t="s">
        <v>74</v>
      </c>
      <c r="BE342" t="s">
        <v>7035</v>
      </c>
      <c r="BF342" t="str">
        <f>HYPERLINK("http://dx.doi.org/10.1287/inte.2016.0879","http://dx.doi.org/10.1287/inte.2016.0879")</f>
        <v>http://dx.doi.org/10.1287/inte.2016.0879</v>
      </c>
      <c r="BG342" t="s">
        <v>74</v>
      </c>
      <c r="BH342" t="s">
        <v>74</v>
      </c>
      <c r="BI342">
        <v>14</v>
      </c>
      <c r="BJ342" t="s">
        <v>519</v>
      </c>
      <c r="BK342" t="s">
        <v>520</v>
      </c>
      <c r="BL342" t="s">
        <v>521</v>
      </c>
      <c r="BM342" t="s">
        <v>7036</v>
      </c>
      <c r="BN342" t="s">
        <v>74</v>
      </c>
      <c r="BO342" t="s">
        <v>74</v>
      </c>
      <c r="BP342" t="s">
        <v>74</v>
      </c>
      <c r="BQ342" t="s">
        <v>74</v>
      </c>
      <c r="BR342" t="s">
        <v>6098</v>
      </c>
      <c r="BS342" t="s">
        <v>7037</v>
      </c>
      <c r="BT342" t="str">
        <f>HYPERLINK("https%3A%2F%2Fwww.webofscience.com%2Fwos%2Fwoscc%2Ffull-record%2FWOS:000396484800004","View Full Record in Web of Science")</f>
        <v>View Full Record in Web of Science</v>
      </c>
      <c r="BU342" t="s">
        <v>6100</v>
      </c>
      <c r="BV342" s="1" t="s">
        <v>6080</v>
      </c>
      <c r="BW342" s="1" t="s">
        <v>6080</v>
      </c>
    </row>
    <row r="343" spans="1:75" x14ac:dyDescent="0.35">
      <c r="A343" t="s">
        <v>72</v>
      </c>
      <c r="B343" t="s">
        <v>1427</v>
      </c>
      <c r="C343" t="s">
        <v>74</v>
      </c>
      <c r="D343" t="s">
        <v>74</v>
      </c>
      <c r="E343" t="s">
        <v>74</v>
      </c>
      <c r="F343" t="s">
        <v>1428</v>
      </c>
      <c r="G343" t="s">
        <v>74</v>
      </c>
      <c r="H343" t="s">
        <v>74</v>
      </c>
      <c r="I343" t="s">
        <v>1429</v>
      </c>
      <c r="J343" t="s">
        <v>161</v>
      </c>
      <c r="K343" t="s">
        <v>74</v>
      </c>
      <c r="L343" t="s">
        <v>74</v>
      </c>
      <c r="M343" t="s">
        <v>78</v>
      </c>
      <c r="N343" t="s">
        <v>79</v>
      </c>
      <c r="O343" t="s">
        <v>74</v>
      </c>
      <c r="P343" t="s">
        <v>74</v>
      </c>
      <c r="Q343" t="s">
        <v>74</v>
      </c>
      <c r="R343" t="s">
        <v>74</v>
      </c>
      <c r="S343" t="s">
        <v>74</v>
      </c>
      <c r="T343" t="s">
        <v>1430</v>
      </c>
      <c r="U343" t="s">
        <v>1431</v>
      </c>
      <c r="V343" t="s">
        <v>1432</v>
      </c>
      <c r="W343" t="s">
        <v>1433</v>
      </c>
      <c r="X343" t="s">
        <v>1434</v>
      </c>
      <c r="Y343" t="s">
        <v>1435</v>
      </c>
      <c r="Z343" t="s">
        <v>1436</v>
      </c>
      <c r="AA343" t="s">
        <v>8018</v>
      </c>
      <c r="AB343" t="s">
        <v>1438</v>
      </c>
      <c r="AC343" t="s">
        <v>74</v>
      </c>
      <c r="AD343" t="s">
        <v>74</v>
      </c>
      <c r="AE343" t="s">
        <v>74</v>
      </c>
      <c r="AF343" t="s">
        <v>74</v>
      </c>
      <c r="AG343">
        <v>91</v>
      </c>
      <c r="AH343">
        <v>133</v>
      </c>
      <c r="AI343">
        <v>134</v>
      </c>
      <c r="AJ343">
        <v>28</v>
      </c>
      <c r="AK343">
        <v>294</v>
      </c>
      <c r="AL343" t="s">
        <v>170</v>
      </c>
      <c r="AM343" t="s">
        <v>171</v>
      </c>
      <c r="AN343" t="s">
        <v>172</v>
      </c>
      <c r="AO343" t="s">
        <v>173</v>
      </c>
      <c r="AP343" t="s">
        <v>174</v>
      </c>
      <c r="AQ343" t="s">
        <v>74</v>
      </c>
      <c r="AR343" t="s">
        <v>175</v>
      </c>
      <c r="AS343" t="s">
        <v>176</v>
      </c>
      <c r="AT343" t="s">
        <v>294</v>
      </c>
      <c r="AU343">
        <v>2017</v>
      </c>
      <c r="AV343">
        <v>43</v>
      </c>
      <c r="AW343">
        <v>6</v>
      </c>
      <c r="AX343" t="s">
        <v>74</v>
      </c>
      <c r="AY343" t="s">
        <v>74</v>
      </c>
      <c r="AZ343" t="s">
        <v>74</v>
      </c>
      <c r="BA343" t="s">
        <v>74</v>
      </c>
      <c r="BB343">
        <v>875</v>
      </c>
      <c r="BC343">
        <v>894</v>
      </c>
      <c r="BD343" t="s">
        <v>74</v>
      </c>
      <c r="BE343" t="s">
        <v>1439</v>
      </c>
      <c r="BF343" t="str">
        <f>HYPERLINK("http://dx.doi.org/10.1093/jcr/ucw070","http://dx.doi.org/10.1093/jcr/ucw070")</f>
        <v>http://dx.doi.org/10.1093/jcr/ucw070</v>
      </c>
      <c r="BG343" t="s">
        <v>74</v>
      </c>
      <c r="BH343" t="s">
        <v>74</v>
      </c>
      <c r="BI343">
        <v>20</v>
      </c>
      <c r="BJ343" t="s">
        <v>153</v>
      </c>
      <c r="BK343" t="s">
        <v>101</v>
      </c>
      <c r="BL343" t="s">
        <v>154</v>
      </c>
      <c r="BM343" t="s">
        <v>1440</v>
      </c>
      <c r="BN343" t="s">
        <v>74</v>
      </c>
      <c r="BO343" t="s">
        <v>1165</v>
      </c>
      <c r="BP343" t="s">
        <v>74</v>
      </c>
      <c r="BQ343" t="s">
        <v>74</v>
      </c>
      <c r="BR343" t="s">
        <v>6098</v>
      </c>
      <c r="BS343" t="s">
        <v>1441</v>
      </c>
      <c r="BT343" t="str">
        <f>HYPERLINK("https%3A%2F%2Fwww.webofscience.com%2Fwos%2Fwoscc%2Ffull-record%2FWOS:000398288100001","View Full Record in Web of Science")</f>
        <v>View Full Record in Web of Science</v>
      </c>
      <c r="BU343" t="s">
        <v>6100</v>
      </c>
      <c r="BV343" s="1" t="s">
        <v>6080</v>
      </c>
      <c r="BW343" s="1" t="s">
        <v>6080</v>
      </c>
    </row>
    <row r="344" spans="1:75" x14ac:dyDescent="0.35">
      <c r="A344" t="s">
        <v>72</v>
      </c>
      <c r="B344" t="s">
        <v>8242</v>
      </c>
      <c r="C344" t="s">
        <v>74</v>
      </c>
      <c r="D344" t="s">
        <v>74</v>
      </c>
      <c r="E344" t="s">
        <v>74</v>
      </c>
      <c r="F344" t="s">
        <v>8243</v>
      </c>
      <c r="G344" t="s">
        <v>74</v>
      </c>
      <c r="H344" t="s">
        <v>74</v>
      </c>
      <c r="I344" t="s">
        <v>8244</v>
      </c>
      <c r="J344" t="s">
        <v>8245</v>
      </c>
      <c r="K344" t="s">
        <v>74</v>
      </c>
      <c r="L344" t="s">
        <v>74</v>
      </c>
      <c r="M344" t="s">
        <v>78</v>
      </c>
      <c r="N344" t="s">
        <v>110</v>
      </c>
      <c r="O344" t="s">
        <v>74</v>
      </c>
      <c r="P344" t="s">
        <v>74</v>
      </c>
      <c r="Q344" t="s">
        <v>74</v>
      </c>
      <c r="R344" t="s">
        <v>74</v>
      </c>
      <c r="S344" t="s">
        <v>74</v>
      </c>
      <c r="T344" t="s">
        <v>8246</v>
      </c>
      <c r="U344" t="s">
        <v>8247</v>
      </c>
      <c r="V344" t="s">
        <v>8248</v>
      </c>
      <c r="W344" t="s">
        <v>8249</v>
      </c>
      <c r="X344" t="s">
        <v>8250</v>
      </c>
      <c r="Y344" t="s">
        <v>8251</v>
      </c>
      <c r="Z344" t="s">
        <v>8252</v>
      </c>
      <c r="AA344" t="s">
        <v>8253</v>
      </c>
      <c r="AB344" t="s">
        <v>8254</v>
      </c>
      <c r="AC344" t="s">
        <v>74</v>
      </c>
      <c r="AD344" t="s">
        <v>74</v>
      </c>
      <c r="AE344" t="s">
        <v>74</v>
      </c>
      <c r="AF344" t="s">
        <v>74</v>
      </c>
      <c r="AG344">
        <v>76</v>
      </c>
      <c r="AH344">
        <v>117</v>
      </c>
      <c r="AI344">
        <v>122</v>
      </c>
      <c r="AJ344">
        <v>26</v>
      </c>
      <c r="AK344">
        <v>212</v>
      </c>
      <c r="AL344" t="s">
        <v>1982</v>
      </c>
      <c r="AM344" t="s">
        <v>1983</v>
      </c>
      <c r="AN344" t="s">
        <v>2573</v>
      </c>
      <c r="AO344" t="s">
        <v>8255</v>
      </c>
      <c r="AP344" t="s">
        <v>8256</v>
      </c>
      <c r="AQ344" t="s">
        <v>74</v>
      </c>
      <c r="AR344" t="s">
        <v>8257</v>
      </c>
      <c r="AS344" t="s">
        <v>8258</v>
      </c>
      <c r="AT344" t="s">
        <v>74</v>
      </c>
      <c r="AU344">
        <v>2017</v>
      </c>
      <c r="AV344">
        <v>29</v>
      </c>
      <c r="AW344">
        <v>2</v>
      </c>
      <c r="AX344" t="s">
        <v>74</v>
      </c>
      <c r="AY344" t="s">
        <v>74</v>
      </c>
      <c r="AZ344" t="s">
        <v>259</v>
      </c>
      <c r="BA344" t="s">
        <v>74</v>
      </c>
      <c r="BB344">
        <v>762</v>
      </c>
      <c r="BC344">
        <v>783</v>
      </c>
      <c r="BD344" t="s">
        <v>74</v>
      </c>
      <c r="BE344" t="s">
        <v>8259</v>
      </c>
      <c r="BF344" t="str">
        <f>HYPERLINK("http://dx.doi.org/10.1108/IJCHM-10-2015-0626","http://dx.doi.org/10.1108/IJCHM-10-2015-0626")</f>
        <v>http://dx.doi.org/10.1108/IJCHM-10-2015-0626</v>
      </c>
      <c r="BG344" t="s">
        <v>74</v>
      </c>
      <c r="BH344" t="s">
        <v>74</v>
      </c>
      <c r="BI344">
        <v>22</v>
      </c>
      <c r="BJ344" t="s">
        <v>6387</v>
      </c>
      <c r="BK344" t="s">
        <v>101</v>
      </c>
      <c r="BL344" t="s">
        <v>6388</v>
      </c>
      <c r="BM344" t="s">
        <v>8260</v>
      </c>
      <c r="BN344" t="s">
        <v>74</v>
      </c>
      <c r="BO344" t="s">
        <v>74</v>
      </c>
      <c r="BP344" t="s">
        <v>218</v>
      </c>
      <c r="BQ344" t="s">
        <v>219</v>
      </c>
      <c r="BR344" t="s">
        <v>6098</v>
      </c>
      <c r="BS344" t="s">
        <v>8261</v>
      </c>
      <c r="BT344" t="str">
        <f>HYPERLINK("https%3A%2F%2Fwww.webofscience.com%2Fwos%2Fwoscc%2Ffull-record%2FWOS:000398115300007","View Full Record in Web of Science")</f>
        <v>View Full Record in Web of Science</v>
      </c>
      <c r="BU344" t="s">
        <v>6100</v>
      </c>
      <c r="BV344" s="1" t="s">
        <v>10653</v>
      </c>
    </row>
    <row r="345" spans="1:75" x14ac:dyDescent="0.35">
      <c r="A345" t="s">
        <v>72</v>
      </c>
      <c r="B345" t="s">
        <v>1442</v>
      </c>
      <c r="C345" t="s">
        <v>74</v>
      </c>
      <c r="D345" t="s">
        <v>74</v>
      </c>
      <c r="E345" t="s">
        <v>74</v>
      </c>
      <c r="F345" t="s">
        <v>1443</v>
      </c>
      <c r="G345" t="s">
        <v>74</v>
      </c>
      <c r="H345" t="s">
        <v>74</v>
      </c>
      <c r="I345" t="s">
        <v>1444</v>
      </c>
      <c r="J345" t="s">
        <v>136</v>
      </c>
      <c r="K345" t="s">
        <v>74</v>
      </c>
      <c r="L345" t="s">
        <v>74</v>
      </c>
      <c r="M345" t="s">
        <v>78</v>
      </c>
      <c r="N345" t="s">
        <v>79</v>
      </c>
      <c r="O345" t="s">
        <v>74</v>
      </c>
      <c r="P345" t="s">
        <v>74</v>
      </c>
      <c r="Q345" t="s">
        <v>74</v>
      </c>
      <c r="R345" t="s">
        <v>74</v>
      </c>
      <c r="S345" t="s">
        <v>74</v>
      </c>
      <c r="T345" t="s">
        <v>1445</v>
      </c>
      <c r="U345" t="s">
        <v>1446</v>
      </c>
      <c r="V345" t="s">
        <v>1447</v>
      </c>
      <c r="W345" t="s">
        <v>1448</v>
      </c>
      <c r="X345" t="s">
        <v>1449</v>
      </c>
      <c r="Y345" t="s">
        <v>1450</v>
      </c>
      <c r="Z345" t="s">
        <v>1451</v>
      </c>
      <c r="AA345" t="s">
        <v>74</v>
      </c>
      <c r="AB345" t="s">
        <v>74</v>
      </c>
      <c r="AC345" t="s">
        <v>74</v>
      </c>
      <c r="AD345" t="s">
        <v>74</v>
      </c>
      <c r="AE345" t="s">
        <v>74</v>
      </c>
      <c r="AF345" t="s">
        <v>74</v>
      </c>
      <c r="AG345">
        <v>86</v>
      </c>
      <c r="AH345">
        <v>91</v>
      </c>
      <c r="AI345">
        <v>91</v>
      </c>
      <c r="AJ345">
        <v>16</v>
      </c>
      <c r="AK345">
        <v>154</v>
      </c>
      <c r="AL345" t="s">
        <v>232</v>
      </c>
      <c r="AM345" t="s">
        <v>233</v>
      </c>
      <c r="AN345" t="s">
        <v>234</v>
      </c>
      <c r="AO345" t="s">
        <v>147</v>
      </c>
      <c r="AP345" t="s">
        <v>148</v>
      </c>
      <c r="AQ345" t="s">
        <v>74</v>
      </c>
      <c r="AR345" t="s">
        <v>149</v>
      </c>
      <c r="AS345" t="s">
        <v>150</v>
      </c>
      <c r="AT345" t="s">
        <v>469</v>
      </c>
      <c r="AU345">
        <v>2017</v>
      </c>
      <c r="AV345">
        <v>54</v>
      </c>
      <c r="AW345">
        <v>4</v>
      </c>
      <c r="AX345" t="s">
        <v>74</v>
      </c>
      <c r="AY345" t="s">
        <v>74</v>
      </c>
      <c r="AZ345" t="s">
        <v>74</v>
      </c>
      <c r="BA345" t="s">
        <v>74</v>
      </c>
      <c r="BB345">
        <v>572</v>
      </c>
      <c r="BC345">
        <v>588</v>
      </c>
      <c r="BD345" t="s">
        <v>74</v>
      </c>
      <c r="BE345" t="s">
        <v>1452</v>
      </c>
      <c r="BF345" t="str">
        <f>HYPERLINK("http://dx.doi.org/10.1509/jmr.15.0248","http://dx.doi.org/10.1509/jmr.15.0248")</f>
        <v>http://dx.doi.org/10.1509/jmr.15.0248</v>
      </c>
      <c r="BG345" t="s">
        <v>74</v>
      </c>
      <c r="BH345" t="s">
        <v>74</v>
      </c>
      <c r="BI345">
        <v>17</v>
      </c>
      <c r="BJ345" t="s">
        <v>153</v>
      </c>
      <c r="BK345" t="s">
        <v>101</v>
      </c>
      <c r="BL345" t="s">
        <v>154</v>
      </c>
      <c r="BM345" t="s">
        <v>1453</v>
      </c>
      <c r="BN345" t="s">
        <v>74</v>
      </c>
      <c r="BO345" t="s">
        <v>74</v>
      </c>
      <c r="BP345" t="s">
        <v>74</v>
      </c>
      <c r="BQ345" t="s">
        <v>74</v>
      </c>
      <c r="BR345" t="s">
        <v>6098</v>
      </c>
      <c r="BS345" t="s">
        <v>1454</v>
      </c>
      <c r="BT345" t="str">
        <f>HYPERLINK("https%3A%2F%2Fwww.webofscience.com%2Fwos%2Fwoscc%2Ffull-record%2FWOS:000410784500005","View Full Record in Web of Science")</f>
        <v>View Full Record in Web of Science</v>
      </c>
      <c r="BU345" t="s">
        <v>6100</v>
      </c>
      <c r="BV345" s="1" t="s">
        <v>6080</v>
      </c>
      <c r="BW345" s="1" t="s">
        <v>6080</v>
      </c>
    </row>
    <row r="346" spans="1:75" x14ac:dyDescent="0.35">
      <c r="A346" t="s">
        <v>72</v>
      </c>
      <c r="B346" t="s">
        <v>9152</v>
      </c>
      <c r="C346" t="s">
        <v>74</v>
      </c>
      <c r="D346" t="s">
        <v>74</v>
      </c>
      <c r="E346" t="s">
        <v>74</v>
      </c>
      <c r="F346" t="s">
        <v>9153</v>
      </c>
      <c r="G346" t="s">
        <v>74</v>
      </c>
      <c r="H346" t="s">
        <v>74</v>
      </c>
      <c r="I346" t="s">
        <v>9154</v>
      </c>
      <c r="J346" t="s">
        <v>9155</v>
      </c>
      <c r="K346" t="s">
        <v>74</v>
      </c>
      <c r="L346" t="s">
        <v>74</v>
      </c>
      <c r="M346" t="s">
        <v>78</v>
      </c>
      <c r="N346" t="s">
        <v>79</v>
      </c>
      <c r="O346" t="s">
        <v>74</v>
      </c>
      <c r="P346" t="s">
        <v>74</v>
      </c>
      <c r="Q346" t="s">
        <v>74</v>
      </c>
      <c r="R346" t="s">
        <v>74</v>
      </c>
      <c r="S346" t="s">
        <v>74</v>
      </c>
      <c r="T346" t="s">
        <v>9156</v>
      </c>
      <c r="U346" t="s">
        <v>9157</v>
      </c>
      <c r="V346" t="s">
        <v>9158</v>
      </c>
      <c r="W346" t="s">
        <v>9159</v>
      </c>
      <c r="X346" t="s">
        <v>9160</v>
      </c>
      <c r="Y346" t="s">
        <v>9161</v>
      </c>
      <c r="Z346" t="s">
        <v>9162</v>
      </c>
      <c r="AA346" t="s">
        <v>74</v>
      </c>
      <c r="AB346" t="s">
        <v>9163</v>
      </c>
      <c r="AC346" t="s">
        <v>74</v>
      </c>
      <c r="AD346" t="s">
        <v>74</v>
      </c>
      <c r="AE346" t="s">
        <v>74</v>
      </c>
      <c r="AF346" t="s">
        <v>74</v>
      </c>
      <c r="AG346">
        <v>30</v>
      </c>
      <c r="AH346">
        <v>7</v>
      </c>
      <c r="AI346">
        <v>7</v>
      </c>
      <c r="AJ346">
        <v>2</v>
      </c>
      <c r="AK346">
        <v>21</v>
      </c>
      <c r="AL346" t="s">
        <v>9164</v>
      </c>
      <c r="AM346" t="s">
        <v>9165</v>
      </c>
      <c r="AN346" t="s">
        <v>9166</v>
      </c>
      <c r="AO346" t="s">
        <v>9167</v>
      </c>
      <c r="AP346" t="s">
        <v>74</v>
      </c>
      <c r="AQ346" t="s">
        <v>74</v>
      </c>
      <c r="AR346" t="s">
        <v>9168</v>
      </c>
      <c r="AS346" t="s">
        <v>9169</v>
      </c>
      <c r="AT346" t="s">
        <v>9170</v>
      </c>
      <c r="AU346">
        <v>2017</v>
      </c>
      <c r="AV346">
        <v>4</v>
      </c>
      <c r="AW346">
        <v>1</v>
      </c>
      <c r="AX346" t="s">
        <v>74</v>
      </c>
      <c r="AY346" t="s">
        <v>74</v>
      </c>
      <c r="AZ346" t="s">
        <v>74</v>
      </c>
      <c r="BA346" t="s">
        <v>74</v>
      </c>
      <c r="BB346" t="s">
        <v>74</v>
      </c>
      <c r="BC346" t="s">
        <v>74</v>
      </c>
      <c r="BD346">
        <v>1368114</v>
      </c>
      <c r="BE346" t="s">
        <v>9171</v>
      </c>
      <c r="BF346" t="str">
        <f>HYPERLINK("http://dx.doi.org/10.1080/23311975.2017.1368114","http://dx.doi.org/10.1080/23311975.2017.1368114")</f>
        <v>http://dx.doi.org/10.1080/23311975.2017.1368114</v>
      </c>
      <c r="BG346" t="s">
        <v>74</v>
      </c>
      <c r="BH346" t="s">
        <v>74</v>
      </c>
      <c r="BI346">
        <v>20</v>
      </c>
      <c r="BJ346" t="s">
        <v>153</v>
      </c>
      <c r="BK346" t="s">
        <v>3880</v>
      </c>
      <c r="BL346" t="s">
        <v>154</v>
      </c>
      <c r="BM346" t="s">
        <v>9172</v>
      </c>
      <c r="BN346" t="s">
        <v>74</v>
      </c>
      <c r="BO346" t="s">
        <v>9173</v>
      </c>
      <c r="BP346" t="s">
        <v>74</v>
      </c>
      <c r="BQ346" t="s">
        <v>74</v>
      </c>
      <c r="BR346" t="s">
        <v>6098</v>
      </c>
      <c r="BS346" t="s">
        <v>9174</v>
      </c>
      <c r="BT346" t="str">
        <f>HYPERLINK("https%3A%2F%2Fwww.webofscience.com%2Fwos%2Fwoscc%2Ffull-record%2FWOS:000408569900001","View Full Record in Web of Science")</f>
        <v>View Full Record in Web of Science</v>
      </c>
      <c r="BU346" t="s">
        <v>6100</v>
      </c>
      <c r="BV346" s="1" t="s">
        <v>10653</v>
      </c>
    </row>
    <row r="347" spans="1:75" x14ac:dyDescent="0.35">
      <c r="A347" t="s">
        <v>72</v>
      </c>
      <c r="B347" t="s">
        <v>1335</v>
      </c>
      <c r="C347" t="s">
        <v>74</v>
      </c>
      <c r="D347" t="s">
        <v>74</v>
      </c>
      <c r="E347" t="s">
        <v>74</v>
      </c>
      <c r="F347" t="s">
        <v>1336</v>
      </c>
      <c r="G347" t="s">
        <v>74</v>
      </c>
      <c r="H347" t="s">
        <v>74</v>
      </c>
      <c r="I347" t="s">
        <v>1337</v>
      </c>
      <c r="J347" t="s">
        <v>788</v>
      </c>
      <c r="K347" t="s">
        <v>74</v>
      </c>
      <c r="L347" t="s">
        <v>74</v>
      </c>
      <c r="M347" t="s">
        <v>78</v>
      </c>
      <c r="N347" t="s">
        <v>79</v>
      </c>
      <c r="O347" t="s">
        <v>74</v>
      </c>
      <c r="P347" t="s">
        <v>74</v>
      </c>
      <c r="Q347" t="s">
        <v>74</v>
      </c>
      <c r="R347" t="s">
        <v>74</v>
      </c>
      <c r="S347" t="s">
        <v>74</v>
      </c>
      <c r="T347" t="s">
        <v>1338</v>
      </c>
      <c r="U347" t="s">
        <v>1339</v>
      </c>
      <c r="V347" t="s">
        <v>1340</v>
      </c>
      <c r="W347" t="s">
        <v>1341</v>
      </c>
      <c r="X347" t="s">
        <v>1342</v>
      </c>
      <c r="Y347" t="s">
        <v>1343</v>
      </c>
      <c r="Z347" t="s">
        <v>1344</v>
      </c>
      <c r="AA347" t="s">
        <v>74</v>
      </c>
      <c r="AB347" t="s">
        <v>1345</v>
      </c>
      <c r="AC347" t="s">
        <v>74</v>
      </c>
      <c r="AD347" t="s">
        <v>74</v>
      </c>
      <c r="AE347" t="s">
        <v>74</v>
      </c>
      <c r="AF347" t="s">
        <v>74</v>
      </c>
      <c r="AG347">
        <v>34</v>
      </c>
      <c r="AH347">
        <v>31</v>
      </c>
      <c r="AI347">
        <v>32</v>
      </c>
      <c r="AJ347">
        <v>6</v>
      </c>
      <c r="AK347">
        <v>72</v>
      </c>
      <c r="AL347" t="s">
        <v>854</v>
      </c>
      <c r="AM347" t="s">
        <v>410</v>
      </c>
      <c r="AN347" t="s">
        <v>855</v>
      </c>
      <c r="AO347" t="s">
        <v>800</v>
      </c>
      <c r="AP347" t="s">
        <v>801</v>
      </c>
      <c r="AQ347" t="s">
        <v>74</v>
      </c>
      <c r="AR347" t="s">
        <v>802</v>
      </c>
      <c r="AS347" t="s">
        <v>803</v>
      </c>
      <c r="AT347" t="s">
        <v>363</v>
      </c>
      <c r="AU347">
        <v>2017</v>
      </c>
      <c r="AV347">
        <v>34</v>
      </c>
      <c r="AW347">
        <v>1</v>
      </c>
      <c r="AX347" t="s">
        <v>74</v>
      </c>
      <c r="AY347" t="s">
        <v>74</v>
      </c>
      <c r="AZ347" t="s">
        <v>74</v>
      </c>
      <c r="BA347" t="s">
        <v>74</v>
      </c>
      <c r="BB347">
        <v>265</v>
      </c>
      <c r="BC347">
        <v>285</v>
      </c>
      <c r="BD347" t="s">
        <v>74</v>
      </c>
      <c r="BE347" t="s">
        <v>1346</v>
      </c>
      <c r="BF347" t="str">
        <f>HYPERLINK("http://dx.doi.org/10.1016/j.ijresmar.2016.05.007","http://dx.doi.org/10.1016/j.ijresmar.2016.05.007")</f>
        <v>http://dx.doi.org/10.1016/j.ijresmar.2016.05.007</v>
      </c>
      <c r="BG347" t="s">
        <v>74</v>
      </c>
      <c r="BH347" t="s">
        <v>74</v>
      </c>
      <c r="BI347">
        <v>21</v>
      </c>
      <c r="BJ347" t="s">
        <v>153</v>
      </c>
      <c r="BK347" t="s">
        <v>101</v>
      </c>
      <c r="BL347" t="s">
        <v>154</v>
      </c>
      <c r="BM347" t="s">
        <v>1347</v>
      </c>
      <c r="BN347" t="s">
        <v>74</v>
      </c>
      <c r="BO347" t="s">
        <v>74</v>
      </c>
      <c r="BP347" t="s">
        <v>74</v>
      </c>
      <c r="BQ347" t="s">
        <v>74</v>
      </c>
      <c r="BR347" t="s">
        <v>6098</v>
      </c>
      <c r="BS347" t="s">
        <v>1348</v>
      </c>
      <c r="BT347" t="str">
        <f>HYPERLINK("https%3A%2F%2Fwww.webofscience.com%2Fwos%2Fwoscc%2Ffull-record%2FWOS:000399844500015","View Full Record in Web of Science")</f>
        <v>View Full Record in Web of Science</v>
      </c>
      <c r="BU347" t="s">
        <v>6100</v>
      </c>
      <c r="BV347" s="1" t="s">
        <v>6080</v>
      </c>
      <c r="BW347" s="1" t="s">
        <v>6080</v>
      </c>
    </row>
    <row r="348" spans="1:75" x14ac:dyDescent="0.35">
      <c r="A348" t="s">
        <v>72</v>
      </c>
      <c r="B348" t="s">
        <v>9369</v>
      </c>
      <c r="C348" t="s">
        <v>74</v>
      </c>
      <c r="D348" t="s">
        <v>74</v>
      </c>
      <c r="E348" t="s">
        <v>74</v>
      </c>
      <c r="F348" t="s">
        <v>9370</v>
      </c>
      <c r="G348" t="s">
        <v>74</v>
      </c>
      <c r="H348" t="s">
        <v>74</v>
      </c>
      <c r="I348" t="s">
        <v>9371</v>
      </c>
      <c r="J348" t="s">
        <v>6372</v>
      </c>
      <c r="K348" t="s">
        <v>74</v>
      </c>
      <c r="L348" t="s">
        <v>74</v>
      </c>
      <c r="M348" t="s">
        <v>78</v>
      </c>
      <c r="N348" t="s">
        <v>79</v>
      </c>
      <c r="O348" t="s">
        <v>74</v>
      </c>
      <c r="P348" t="s">
        <v>74</v>
      </c>
      <c r="Q348" t="s">
        <v>74</v>
      </c>
      <c r="R348" t="s">
        <v>74</v>
      </c>
      <c r="S348" t="s">
        <v>74</v>
      </c>
      <c r="T348" t="s">
        <v>9372</v>
      </c>
      <c r="U348" t="s">
        <v>9373</v>
      </c>
      <c r="V348" t="s">
        <v>9374</v>
      </c>
      <c r="W348" t="s">
        <v>9375</v>
      </c>
      <c r="X348" t="s">
        <v>9376</v>
      </c>
      <c r="Y348" t="s">
        <v>9377</v>
      </c>
      <c r="Z348" t="s">
        <v>8164</v>
      </c>
      <c r="AA348" t="s">
        <v>9378</v>
      </c>
      <c r="AB348" t="s">
        <v>9379</v>
      </c>
      <c r="AC348" t="s">
        <v>74</v>
      </c>
      <c r="AD348" t="s">
        <v>74</v>
      </c>
      <c r="AE348" t="s">
        <v>74</v>
      </c>
      <c r="AF348" t="s">
        <v>74</v>
      </c>
      <c r="AG348">
        <v>22</v>
      </c>
      <c r="AH348">
        <v>22</v>
      </c>
      <c r="AI348">
        <v>22</v>
      </c>
      <c r="AJ348">
        <v>0</v>
      </c>
      <c r="AK348">
        <v>16</v>
      </c>
      <c r="AL348" t="s">
        <v>409</v>
      </c>
      <c r="AM348" t="s">
        <v>410</v>
      </c>
      <c r="AN348" t="s">
        <v>411</v>
      </c>
      <c r="AO348" t="s">
        <v>6382</v>
      </c>
      <c r="AP348" t="s">
        <v>6383</v>
      </c>
      <c r="AQ348" t="s">
        <v>74</v>
      </c>
      <c r="AR348" t="s">
        <v>6384</v>
      </c>
      <c r="AS348" t="s">
        <v>6385</v>
      </c>
      <c r="AT348" t="s">
        <v>281</v>
      </c>
      <c r="AU348">
        <v>2017</v>
      </c>
      <c r="AV348">
        <v>24</v>
      </c>
      <c r="AW348" t="s">
        <v>74</v>
      </c>
      <c r="AX348" t="s">
        <v>74</v>
      </c>
      <c r="AY348" t="s">
        <v>74</v>
      </c>
      <c r="AZ348" t="s">
        <v>74</v>
      </c>
      <c r="BA348" t="s">
        <v>74</v>
      </c>
      <c r="BB348">
        <v>151</v>
      </c>
      <c r="BC348">
        <v>154</v>
      </c>
      <c r="BD348" t="s">
        <v>74</v>
      </c>
      <c r="BE348" t="s">
        <v>9380</v>
      </c>
      <c r="BF348" t="str">
        <f>HYPERLINK("http://dx.doi.org/10.1016/j.tmp.2017.08.006","http://dx.doi.org/10.1016/j.tmp.2017.08.006")</f>
        <v>http://dx.doi.org/10.1016/j.tmp.2017.08.006</v>
      </c>
      <c r="BG348" t="s">
        <v>74</v>
      </c>
      <c r="BH348" t="s">
        <v>74</v>
      </c>
      <c r="BI348">
        <v>4</v>
      </c>
      <c r="BJ348" t="s">
        <v>6387</v>
      </c>
      <c r="BK348" t="s">
        <v>101</v>
      </c>
      <c r="BL348" t="s">
        <v>6388</v>
      </c>
      <c r="BM348" t="s">
        <v>9381</v>
      </c>
      <c r="BN348" t="s">
        <v>74</v>
      </c>
      <c r="BO348" t="s">
        <v>828</v>
      </c>
      <c r="BP348" t="s">
        <v>74</v>
      </c>
      <c r="BQ348" t="s">
        <v>74</v>
      </c>
      <c r="BR348" t="s">
        <v>6098</v>
      </c>
      <c r="BS348" t="s">
        <v>9382</v>
      </c>
      <c r="BT348" t="str">
        <f>HYPERLINK("https%3A%2F%2Fwww.webofscience.com%2Fwos%2Fwoscc%2Ffull-record%2FWOS:000417279300017","View Full Record in Web of Science")</f>
        <v>View Full Record in Web of Science</v>
      </c>
      <c r="BU348" t="s">
        <v>6100</v>
      </c>
      <c r="BV348" s="1" t="s">
        <v>10653</v>
      </c>
    </row>
    <row r="349" spans="1:75" x14ac:dyDescent="0.35">
      <c r="A349" t="s">
        <v>72</v>
      </c>
      <c r="B349" t="s">
        <v>10289</v>
      </c>
      <c r="C349" t="s">
        <v>74</v>
      </c>
      <c r="D349" t="s">
        <v>74</v>
      </c>
      <c r="E349" t="s">
        <v>74</v>
      </c>
      <c r="F349" t="s">
        <v>10290</v>
      </c>
      <c r="G349" t="s">
        <v>74</v>
      </c>
      <c r="H349" t="s">
        <v>74</v>
      </c>
      <c r="I349" t="s">
        <v>10291</v>
      </c>
      <c r="J349" t="s">
        <v>8566</v>
      </c>
      <c r="K349" t="s">
        <v>74</v>
      </c>
      <c r="L349" t="s">
        <v>74</v>
      </c>
      <c r="M349" t="s">
        <v>78</v>
      </c>
      <c r="N349" t="s">
        <v>110</v>
      </c>
      <c r="O349" t="s">
        <v>74</v>
      </c>
      <c r="P349" t="s">
        <v>74</v>
      </c>
      <c r="Q349" t="s">
        <v>74</v>
      </c>
      <c r="R349" t="s">
        <v>74</v>
      </c>
      <c r="S349" t="s">
        <v>74</v>
      </c>
      <c r="T349" t="s">
        <v>10292</v>
      </c>
      <c r="U349" t="s">
        <v>10293</v>
      </c>
      <c r="V349" t="s">
        <v>10294</v>
      </c>
      <c r="W349" t="s">
        <v>10295</v>
      </c>
      <c r="X349" t="s">
        <v>10296</v>
      </c>
      <c r="Y349" t="s">
        <v>10297</v>
      </c>
      <c r="Z349" t="s">
        <v>10298</v>
      </c>
      <c r="AA349" t="s">
        <v>10299</v>
      </c>
      <c r="AB349" t="s">
        <v>74</v>
      </c>
      <c r="AC349" t="s">
        <v>10300</v>
      </c>
      <c r="AD349" t="s">
        <v>9722</v>
      </c>
      <c r="AE349" t="s">
        <v>10301</v>
      </c>
      <c r="AF349" t="s">
        <v>74</v>
      </c>
      <c r="AG349">
        <v>56</v>
      </c>
      <c r="AH349">
        <v>43</v>
      </c>
      <c r="AI349">
        <v>44</v>
      </c>
      <c r="AJ349">
        <v>9</v>
      </c>
      <c r="AK349">
        <v>125</v>
      </c>
      <c r="AL349" t="s">
        <v>409</v>
      </c>
      <c r="AM349" t="s">
        <v>410</v>
      </c>
      <c r="AN349" t="s">
        <v>411</v>
      </c>
      <c r="AO349" t="s">
        <v>8574</v>
      </c>
      <c r="AP349" t="s">
        <v>8575</v>
      </c>
      <c r="AQ349" t="s">
        <v>74</v>
      </c>
      <c r="AR349" t="s">
        <v>8576</v>
      </c>
      <c r="AS349" t="s">
        <v>8577</v>
      </c>
      <c r="AT349" t="s">
        <v>330</v>
      </c>
      <c r="AU349">
        <v>2017</v>
      </c>
      <c r="AV349">
        <v>22</v>
      </c>
      <c r="AW349" t="s">
        <v>74</v>
      </c>
      <c r="AX349" t="s">
        <v>74</v>
      </c>
      <c r="AY349" t="s">
        <v>74</v>
      </c>
      <c r="AZ349" t="s">
        <v>74</v>
      </c>
      <c r="BA349" t="s">
        <v>74</v>
      </c>
      <c r="BB349">
        <v>42</v>
      </c>
      <c r="BC349">
        <v>52</v>
      </c>
      <c r="BD349" t="s">
        <v>74</v>
      </c>
      <c r="BE349" t="s">
        <v>10302</v>
      </c>
      <c r="BF349" t="str">
        <f>HYPERLINK("http://dx.doi.org/10.1016/j.elerap.2017.03.001","http://dx.doi.org/10.1016/j.elerap.2017.03.001")</f>
        <v>http://dx.doi.org/10.1016/j.elerap.2017.03.001</v>
      </c>
      <c r="BG349" t="s">
        <v>74</v>
      </c>
      <c r="BH349" t="s">
        <v>74</v>
      </c>
      <c r="BI349">
        <v>11</v>
      </c>
      <c r="BJ349" t="s">
        <v>8579</v>
      </c>
      <c r="BK349" t="s">
        <v>520</v>
      </c>
      <c r="BL349" t="s">
        <v>3857</v>
      </c>
      <c r="BM349" t="s">
        <v>10303</v>
      </c>
      <c r="BN349" t="s">
        <v>74</v>
      </c>
      <c r="BO349" t="s">
        <v>74</v>
      </c>
      <c r="BP349" t="s">
        <v>74</v>
      </c>
      <c r="BQ349" t="s">
        <v>74</v>
      </c>
      <c r="BR349" t="s">
        <v>6098</v>
      </c>
      <c r="BS349" t="s">
        <v>10304</v>
      </c>
      <c r="BT349" t="str">
        <f>HYPERLINK("https%3A%2F%2Fwww.webofscience.com%2Fwos%2Fwoscc%2Ffull-record%2FWOS:000398927700004","View Full Record in Web of Science")</f>
        <v>View Full Record in Web of Science</v>
      </c>
      <c r="BU349" t="s">
        <v>6100</v>
      </c>
      <c r="BV349" s="1" t="s">
        <v>6080</v>
      </c>
      <c r="BW349" s="1" t="s">
        <v>6080</v>
      </c>
    </row>
    <row r="350" spans="1:75" x14ac:dyDescent="0.35">
      <c r="A350" t="s">
        <v>72</v>
      </c>
      <c r="B350" t="s">
        <v>10563</v>
      </c>
      <c r="C350" t="s">
        <v>74</v>
      </c>
      <c r="D350" t="s">
        <v>74</v>
      </c>
      <c r="E350" t="s">
        <v>74</v>
      </c>
      <c r="F350" t="s">
        <v>10564</v>
      </c>
      <c r="G350" t="s">
        <v>74</v>
      </c>
      <c r="H350" t="s">
        <v>74</v>
      </c>
      <c r="I350" t="s">
        <v>10565</v>
      </c>
      <c r="J350" t="s">
        <v>9941</v>
      </c>
      <c r="K350" t="s">
        <v>74</v>
      </c>
      <c r="L350" t="s">
        <v>74</v>
      </c>
      <c r="M350" t="s">
        <v>78</v>
      </c>
      <c r="N350" t="s">
        <v>79</v>
      </c>
      <c r="O350" t="s">
        <v>74</v>
      </c>
      <c r="P350" t="s">
        <v>74</v>
      </c>
      <c r="Q350" t="s">
        <v>74</v>
      </c>
      <c r="R350" t="s">
        <v>74</v>
      </c>
      <c r="S350" t="s">
        <v>74</v>
      </c>
      <c r="T350" t="s">
        <v>10566</v>
      </c>
      <c r="U350" t="s">
        <v>10567</v>
      </c>
      <c r="V350" t="s">
        <v>10568</v>
      </c>
      <c r="W350" t="s">
        <v>10569</v>
      </c>
      <c r="X350" t="s">
        <v>10570</v>
      </c>
      <c r="Y350" t="s">
        <v>10571</v>
      </c>
      <c r="Z350" t="s">
        <v>10572</v>
      </c>
      <c r="AA350" t="s">
        <v>10573</v>
      </c>
      <c r="AB350" t="s">
        <v>10574</v>
      </c>
      <c r="AC350" t="s">
        <v>10575</v>
      </c>
      <c r="AD350" t="s">
        <v>10575</v>
      </c>
      <c r="AE350" t="s">
        <v>10576</v>
      </c>
      <c r="AF350" t="s">
        <v>74</v>
      </c>
      <c r="AG350">
        <v>58</v>
      </c>
      <c r="AH350">
        <v>41</v>
      </c>
      <c r="AI350">
        <v>41</v>
      </c>
      <c r="AJ350">
        <v>2</v>
      </c>
      <c r="AK350">
        <v>18</v>
      </c>
      <c r="AL350" t="s">
        <v>854</v>
      </c>
      <c r="AM350" t="s">
        <v>410</v>
      </c>
      <c r="AN350" t="s">
        <v>855</v>
      </c>
      <c r="AO350" t="s">
        <v>9949</v>
      </c>
      <c r="AP350" t="s">
        <v>9950</v>
      </c>
      <c r="AQ350" t="s">
        <v>74</v>
      </c>
      <c r="AR350" t="s">
        <v>9951</v>
      </c>
      <c r="AS350" t="s">
        <v>9952</v>
      </c>
      <c r="AT350" t="s">
        <v>517</v>
      </c>
      <c r="AU350">
        <v>2017</v>
      </c>
      <c r="AV350">
        <v>32</v>
      </c>
      <c r="AW350" t="s">
        <v>74</v>
      </c>
      <c r="AX350" t="s">
        <v>74</v>
      </c>
      <c r="AY350" t="s">
        <v>74</v>
      </c>
      <c r="AZ350" t="s">
        <v>74</v>
      </c>
      <c r="BA350" t="s">
        <v>74</v>
      </c>
      <c r="BB350">
        <v>124</v>
      </c>
      <c r="BC350">
        <v>135</v>
      </c>
      <c r="BD350" t="s">
        <v>74</v>
      </c>
      <c r="BE350" t="s">
        <v>10577</v>
      </c>
      <c r="BF350" t="str">
        <f>HYPERLINK("http://dx.doi.org/10.1016/j.jhtm.2017.06.003","http://dx.doi.org/10.1016/j.jhtm.2017.06.003")</f>
        <v>http://dx.doi.org/10.1016/j.jhtm.2017.06.003</v>
      </c>
      <c r="BG350" t="s">
        <v>74</v>
      </c>
      <c r="BH350" t="s">
        <v>74</v>
      </c>
      <c r="BI350">
        <v>12</v>
      </c>
      <c r="BJ350" t="s">
        <v>6387</v>
      </c>
      <c r="BK350" t="s">
        <v>101</v>
      </c>
      <c r="BL350" t="s">
        <v>6388</v>
      </c>
      <c r="BM350" t="s">
        <v>10578</v>
      </c>
      <c r="BN350" t="s">
        <v>74</v>
      </c>
      <c r="BO350" t="s">
        <v>828</v>
      </c>
      <c r="BP350" t="s">
        <v>74</v>
      </c>
      <c r="BQ350" t="s">
        <v>74</v>
      </c>
      <c r="BR350" t="s">
        <v>6098</v>
      </c>
      <c r="BS350" t="s">
        <v>10579</v>
      </c>
      <c r="BT350" t="str">
        <f>HYPERLINK("https%3A%2F%2Fwww.webofscience.com%2Fwos%2Fwoscc%2Ffull-record%2FWOS:000416093700013","View Full Record in Web of Science")</f>
        <v>View Full Record in Web of Science</v>
      </c>
      <c r="BU350" t="s">
        <v>6100</v>
      </c>
      <c r="BV350" s="1" t="s">
        <v>10653</v>
      </c>
    </row>
    <row r="351" spans="1:75" ht="406" x14ac:dyDescent="0.35">
      <c r="A351" s="1" t="s">
        <v>72</v>
      </c>
      <c r="B351" s="1" t="s">
        <v>106</v>
      </c>
      <c r="C351" s="1" t="s">
        <v>74</v>
      </c>
      <c r="D351" s="1" t="s">
        <v>74</v>
      </c>
      <c r="E351" s="1" t="s">
        <v>74</v>
      </c>
      <c r="F351" s="1" t="s">
        <v>107</v>
      </c>
      <c r="G351" s="1" t="s">
        <v>74</v>
      </c>
      <c r="H351" s="1" t="s">
        <v>74</v>
      </c>
      <c r="I351" s="1" t="s">
        <v>108</v>
      </c>
      <c r="J351" s="1" t="s">
        <v>109</v>
      </c>
      <c r="K351" s="1" t="s">
        <v>74</v>
      </c>
      <c r="L351" s="1" t="s">
        <v>74</v>
      </c>
      <c r="M351" s="1" t="s">
        <v>78</v>
      </c>
      <c r="N351" s="1" t="s">
        <v>110</v>
      </c>
      <c r="O351" s="1" t="s">
        <v>74</v>
      </c>
      <c r="P351" s="1" t="s">
        <v>74</v>
      </c>
      <c r="Q351" s="1" t="s">
        <v>74</v>
      </c>
      <c r="R351" s="1" t="s">
        <v>74</v>
      </c>
      <c r="S351" s="1" t="s">
        <v>74</v>
      </c>
      <c r="T351" s="1" t="s">
        <v>111</v>
      </c>
      <c r="U351" s="1" t="s">
        <v>112</v>
      </c>
      <c r="V351" s="1" t="s">
        <v>113</v>
      </c>
      <c r="W351" s="1" t="s">
        <v>114</v>
      </c>
      <c r="X351" s="1" t="s">
        <v>115</v>
      </c>
      <c r="Y351" s="1" t="s">
        <v>116</v>
      </c>
      <c r="Z351" s="1" t="s">
        <v>117</v>
      </c>
      <c r="AA351" s="1" t="s">
        <v>118</v>
      </c>
      <c r="AB351" s="1" t="s">
        <v>119</v>
      </c>
      <c r="AC351" s="1" t="s">
        <v>74</v>
      </c>
      <c r="AD351" s="1" t="s">
        <v>74</v>
      </c>
      <c r="AE351" s="1" t="s">
        <v>74</v>
      </c>
      <c r="AF351" s="1" t="s">
        <v>74</v>
      </c>
      <c r="AG351" s="1">
        <v>80</v>
      </c>
      <c r="AH351" s="1">
        <v>56</v>
      </c>
      <c r="AI351" s="1">
        <v>58</v>
      </c>
      <c r="AJ351" s="1">
        <v>3</v>
      </c>
      <c r="AK351" s="1">
        <v>28</v>
      </c>
      <c r="AL351" s="1" t="s">
        <v>120</v>
      </c>
      <c r="AM351" s="1" t="s">
        <v>121</v>
      </c>
      <c r="AN351" s="1" t="s">
        <v>122</v>
      </c>
      <c r="AO351" s="1" t="s">
        <v>74</v>
      </c>
      <c r="AP351" s="1" t="s">
        <v>123</v>
      </c>
      <c r="AQ351" s="1" t="s">
        <v>74</v>
      </c>
      <c r="AR351" s="1" t="s">
        <v>124</v>
      </c>
      <c r="AS351" s="1" t="s">
        <v>125</v>
      </c>
      <c r="AT351" s="1" t="s">
        <v>126</v>
      </c>
      <c r="AU351" s="1">
        <v>2018</v>
      </c>
      <c r="AV351" s="1">
        <v>15</v>
      </c>
      <c r="AW351" s="1" t="s">
        <v>74</v>
      </c>
      <c r="AX351" s="1" t="s">
        <v>74</v>
      </c>
      <c r="AY351" s="1" t="s">
        <v>74</v>
      </c>
      <c r="AZ351" s="1" t="s">
        <v>74</v>
      </c>
      <c r="BA351" s="1" t="s">
        <v>74</v>
      </c>
      <c r="BB351" s="1" t="s">
        <v>74</v>
      </c>
      <c r="BC351" s="1" t="s">
        <v>74</v>
      </c>
      <c r="BD351" s="1">
        <v>2</v>
      </c>
      <c r="BE351" s="1" t="s">
        <v>127</v>
      </c>
      <c r="BF351" s="1" t="str">
        <f>HYPERLINK("http://dx.doi.org/10.1186/s12976-017-0074-5","http://dx.doi.org/10.1186/s12976-017-0074-5")</f>
        <v>http://dx.doi.org/10.1186/s12976-017-0074-5</v>
      </c>
      <c r="BG351" s="1" t="s">
        <v>74</v>
      </c>
      <c r="BH351" s="1" t="s">
        <v>74</v>
      </c>
      <c r="BI351" s="1">
        <v>27</v>
      </c>
      <c r="BJ351" s="1" t="s">
        <v>128</v>
      </c>
      <c r="BK351" s="1" t="s">
        <v>129</v>
      </c>
      <c r="BL351" s="1" t="s">
        <v>128</v>
      </c>
      <c r="BM351" s="1" t="s">
        <v>130</v>
      </c>
      <c r="BN351" s="1">
        <v>29386017</v>
      </c>
      <c r="BO351" s="1" t="s">
        <v>131</v>
      </c>
      <c r="BP351" s="1" t="s">
        <v>74</v>
      </c>
      <c r="BQ351" s="1" t="s">
        <v>74</v>
      </c>
      <c r="BR351" s="1" t="s">
        <v>104</v>
      </c>
      <c r="BS351" s="1" t="s">
        <v>132</v>
      </c>
      <c r="BT351" s="1" t="str">
        <f>HYPERLINK("https%3A%2F%2Fwww.webofscience.com%2Fwos%2Fwoscc%2Ffull-record%2FWOS:000424229600001","View Full Record in Web of Science")</f>
        <v>View Full Record in Web of Science</v>
      </c>
      <c r="BU351" s="1" t="s">
        <v>2040</v>
      </c>
      <c r="BV351" s="1" t="s">
        <v>10653</v>
      </c>
    </row>
    <row r="352" spans="1:75" ht="232" x14ac:dyDescent="0.35">
      <c r="A352" s="1" t="s">
        <v>72</v>
      </c>
      <c r="B352" s="1" t="s">
        <v>298</v>
      </c>
      <c r="C352" s="1" t="s">
        <v>74</v>
      </c>
      <c r="D352" s="1" t="s">
        <v>74</v>
      </c>
      <c r="E352" s="1" t="s">
        <v>74</v>
      </c>
      <c r="F352" s="1" t="s">
        <v>299</v>
      </c>
      <c r="G352" s="1" t="s">
        <v>74</v>
      </c>
      <c r="H352" s="1" t="s">
        <v>74</v>
      </c>
      <c r="I352" s="1" t="s">
        <v>300</v>
      </c>
      <c r="J352" s="1" t="s">
        <v>301</v>
      </c>
      <c r="K352" s="1" t="s">
        <v>74</v>
      </c>
      <c r="L352" s="1" t="s">
        <v>74</v>
      </c>
      <c r="M352" s="1" t="s">
        <v>78</v>
      </c>
      <c r="N352" s="1" t="s">
        <v>79</v>
      </c>
      <c r="O352" s="1" t="s">
        <v>74</v>
      </c>
      <c r="P352" s="1" t="s">
        <v>74</v>
      </c>
      <c r="Q352" s="1" t="s">
        <v>74</v>
      </c>
      <c r="R352" s="1" t="s">
        <v>74</v>
      </c>
      <c r="S352" s="1" t="s">
        <v>74</v>
      </c>
      <c r="T352" s="1" t="s">
        <v>302</v>
      </c>
      <c r="U352" s="1" t="s">
        <v>74</v>
      </c>
      <c r="V352" s="1" t="s">
        <v>303</v>
      </c>
      <c r="W352" s="1" t="s">
        <v>304</v>
      </c>
      <c r="X352" s="1" t="s">
        <v>305</v>
      </c>
      <c r="Y352" s="1" t="s">
        <v>272</v>
      </c>
      <c r="Z352" s="1" t="s">
        <v>273</v>
      </c>
      <c r="AA352" s="1" t="s">
        <v>74</v>
      </c>
      <c r="AB352" s="1" t="s">
        <v>74</v>
      </c>
      <c r="AC352" s="1" t="s">
        <v>74</v>
      </c>
      <c r="AD352" s="1" t="s">
        <v>74</v>
      </c>
      <c r="AE352" s="1" t="s">
        <v>74</v>
      </c>
      <c r="AF352" s="1" t="s">
        <v>74</v>
      </c>
      <c r="AG352" s="1">
        <v>19</v>
      </c>
      <c r="AH352" s="1">
        <v>24</v>
      </c>
      <c r="AI352" s="1">
        <v>24</v>
      </c>
      <c r="AJ352" s="1">
        <v>1</v>
      </c>
      <c r="AK352" s="1">
        <v>19</v>
      </c>
      <c r="AL352" s="1" t="s">
        <v>144</v>
      </c>
      <c r="AM352" s="1" t="s">
        <v>145</v>
      </c>
      <c r="AN352" s="1" t="s">
        <v>146</v>
      </c>
      <c r="AO352" s="1" t="s">
        <v>306</v>
      </c>
      <c r="AP352" s="1" t="s">
        <v>307</v>
      </c>
      <c r="AQ352" s="1" t="s">
        <v>74</v>
      </c>
      <c r="AR352" s="1" t="s">
        <v>308</v>
      </c>
      <c r="AS352" s="1" t="s">
        <v>309</v>
      </c>
      <c r="AT352" s="1" t="s">
        <v>98</v>
      </c>
      <c r="AU352" s="1">
        <v>2018</v>
      </c>
      <c r="AV352" s="1">
        <v>29</v>
      </c>
      <c r="AW352" s="1">
        <v>7</v>
      </c>
      <c r="AX352" s="1" t="s">
        <v>74</v>
      </c>
      <c r="AY352" s="1" t="s">
        <v>74</v>
      </c>
      <c r="AZ352" s="1" t="s">
        <v>74</v>
      </c>
      <c r="BA352" s="1" t="s">
        <v>74</v>
      </c>
      <c r="BB352" s="1">
        <v>1178</v>
      </c>
      <c r="BC352" s="1">
        <v>1184</v>
      </c>
      <c r="BD352" s="1" t="s">
        <v>74</v>
      </c>
      <c r="BE352" s="1" t="s">
        <v>310</v>
      </c>
      <c r="BF352" s="1" t="str">
        <f>HYPERLINK("http://dx.doi.org/10.1177/0956797618759465","http://dx.doi.org/10.1177/0956797618759465")</f>
        <v>http://dx.doi.org/10.1177/0956797618759465</v>
      </c>
      <c r="BG352" s="1" t="s">
        <v>74</v>
      </c>
      <c r="BH352" s="1" t="s">
        <v>74</v>
      </c>
      <c r="BI352" s="1">
        <v>7</v>
      </c>
      <c r="BJ352" s="1" t="s">
        <v>311</v>
      </c>
      <c r="BK352" s="1" t="s">
        <v>101</v>
      </c>
      <c r="BL352" s="1" t="s">
        <v>102</v>
      </c>
      <c r="BM352" s="1" t="s">
        <v>312</v>
      </c>
      <c r="BN352" s="1">
        <v>29671695</v>
      </c>
      <c r="BO352" s="1" t="s">
        <v>74</v>
      </c>
      <c r="BP352" s="1" t="s">
        <v>74</v>
      </c>
      <c r="BQ352" s="1" t="s">
        <v>74</v>
      </c>
      <c r="BR352" s="1" t="s">
        <v>104</v>
      </c>
      <c r="BS352" s="1" t="s">
        <v>313</v>
      </c>
      <c r="BT352" s="1" t="str">
        <f>HYPERLINK("https%3A%2F%2Fwww.webofscience.com%2Fwos%2Fwoscc%2Ffull-record%2FWOS:000439608800014","View Full Record in Web of Science")</f>
        <v>View Full Record in Web of Science</v>
      </c>
      <c r="BU352" s="1" t="s">
        <v>2040</v>
      </c>
      <c r="BV352" s="1" t="s">
        <v>10653</v>
      </c>
    </row>
    <row r="353" spans="1:75" ht="319" x14ac:dyDescent="0.35">
      <c r="A353" s="1" t="s">
        <v>72</v>
      </c>
      <c r="B353" s="1" t="s">
        <v>664</v>
      </c>
      <c r="C353" s="1" t="s">
        <v>74</v>
      </c>
      <c r="D353" s="1" t="s">
        <v>74</v>
      </c>
      <c r="E353" s="1" t="s">
        <v>74</v>
      </c>
      <c r="F353" s="1" t="s">
        <v>665</v>
      </c>
      <c r="G353" s="1" t="s">
        <v>74</v>
      </c>
      <c r="H353" s="1" t="s">
        <v>74</v>
      </c>
      <c r="I353" s="1" t="s">
        <v>666</v>
      </c>
      <c r="J353" s="1" t="s">
        <v>667</v>
      </c>
      <c r="K353" s="1" t="s">
        <v>74</v>
      </c>
      <c r="L353" s="1" t="s">
        <v>74</v>
      </c>
      <c r="M353" s="1" t="s">
        <v>78</v>
      </c>
      <c r="N353" s="1" t="s">
        <v>79</v>
      </c>
      <c r="O353" s="1" t="s">
        <v>74</v>
      </c>
      <c r="P353" s="1" t="s">
        <v>74</v>
      </c>
      <c r="Q353" s="1" t="s">
        <v>74</v>
      </c>
      <c r="R353" s="1" t="s">
        <v>74</v>
      </c>
      <c r="S353" s="1" t="s">
        <v>74</v>
      </c>
      <c r="T353" s="1" t="s">
        <v>668</v>
      </c>
      <c r="U353" s="1" t="s">
        <v>669</v>
      </c>
      <c r="V353" s="1" t="s">
        <v>670</v>
      </c>
      <c r="W353" s="1" t="s">
        <v>671</v>
      </c>
      <c r="X353" s="1" t="s">
        <v>672</v>
      </c>
      <c r="Y353" s="1" t="s">
        <v>673</v>
      </c>
      <c r="Z353" s="1" t="s">
        <v>674</v>
      </c>
      <c r="AA353" s="1" t="s">
        <v>74</v>
      </c>
      <c r="AB353" s="1" t="s">
        <v>675</v>
      </c>
      <c r="AC353" s="1" t="s">
        <v>676</v>
      </c>
      <c r="AD353" s="1" t="s">
        <v>677</v>
      </c>
      <c r="AE353" s="1" t="s">
        <v>678</v>
      </c>
      <c r="AF353" s="1" t="s">
        <v>74</v>
      </c>
      <c r="AG353" s="1">
        <v>53</v>
      </c>
      <c r="AH353" s="1">
        <v>264</v>
      </c>
      <c r="AI353" s="1">
        <v>269</v>
      </c>
      <c r="AJ353" s="1">
        <v>24</v>
      </c>
      <c r="AK353" s="1">
        <v>95</v>
      </c>
      <c r="AL353" s="1" t="s">
        <v>679</v>
      </c>
      <c r="AM353" s="1" t="s">
        <v>92</v>
      </c>
      <c r="AN353" s="1" t="s">
        <v>680</v>
      </c>
      <c r="AO353" s="1" t="s">
        <v>681</v>
      </c>
      <c r="AP353" s="1" t="s">
        <v>682</v>
      </c>
      <c r="AQ353" s="1" t="s">
        <v>74</v>
      </c>
      <c r="AR353" s="1" t="s">
        <v>683</v>
      </c>
      <c r="AS353" s="1" t="s">
        <v>684</v>
      </c>
      <c r="AT353" s="1" t="s">
        <v>685</v>
      </c>
      <c r="AU353" s="1">
        <v>2018</v>
      </c>
      <c r="AV353" s="1">
        <v>115</v>
      </c>
      <c r="AW353" s="1">
        <v>16</v>
      </c>
      <c r="AX353" s="1" t="s">
        <v>74</v>
      </c>
      <c r="AY353" s="1" t="s">
        <v>74</v>
      </c>
      <c r="AZ353" s="1" t="s">
        <v>74</v>
      </c>
      <c r="BA353" s="1" t="s">
        <v>74</v>
      </c>
      <c r="BB353" s="1" t="s">
        <v>686</v>
      </c>
      <c r="BC353" s="1" t="s">
        <v>687</v>
      </c>
      <c r="BD353" s="1" t="s">
        <v>74</v>
      </c>
      <c r="BE353" s="1" t="s">
        <v>688</v>
      </c>
      <c r="BF353" s="1" t="str">
        <f>HYPERLINK("http://dx.doi.org/10.1073/pnas.1720347115","http://dx.doi.org/10.1073/pnas.1720347115")</f>
        <v>http://dx.doi.org/10.1073/pnas.1720347115</v>
      </c>
      <c r="BG353" s="1" t="s">
        <v>74</v>
      </c>
      <c r="BH353" s="1" t="s">
        <v>74</v>
      </c>
      <c r="BI353" s="1">
        <v>10</v>
      </c>
      <c r="BJ353" s="1" t="s">
        <v>561</v>
      </c>
      <c r="BK353" s="1" t="s">
        <v>520</v>
      </c>
      <c r="BL353" s="1" t="s">
        <v>562</v>
      </c>
      <c r="BM353" s="1" t="s">
        <v>689</v>
      </c>
      <c r="BN353" s="1">
        <v>29615513</v>
      </c>
      <c r="BO353" s="1" t="s">
        <v>690</v>
      </c>
      <c r="BP353" s="1" t="s">
        <v>218</v>
      </c>
      <c r="BQ353" s="1" t="s">
        <v>219</v>
      </c>
      <c r="BR353" s="1" t="s">
        <v>104</v>
      </c>
      <c r="BS353" s="1" t="s">
        <v>691</v>
      </c>
      <c r="BT353" s="1" t="str">
        <f>HYPERLINK("https%3A%2F%2Fwww.webofscience.com%2Fwos%2Fwoscc%2Ffull-record%2FWOS:000430191900008","View Full Record in Web of Science")</f>
        <v>View Full Record in Web of Science</v>
      </c>
      <c r="BU353" s="1" t="s">
        <v>2040</v>
      </c>
      <c r="BV353" s="1" t="s">
        <v>10653</v>
      </c>
    </row>
    <row r="354" spans="1:75" ht="304.5" x14ac:dyDescent="0.35">
      <c r="A354" s="1" t="s">
        <v>72</v>
      </c>
      <c r="B354" s="1" t="s">
        <v>934</v>
      </c>
      <c r="C354" s="1" t="s">
        <v>74</v>
      </c>
      <c r="D354" s="1" t="s">
        <v>74</v>
      </c>
      <c r="E354" s="1" t="s">
        <v>74</v>
      </c>
      <c r="F354" s="1" t="s">
        <v>935</v>
      </c>
      <c r="G354" s="1" t="s">
        <v>74</v>
      </c>
      <c r="H354" s="1" t="s">
        <v>74</v>
      </c>
      <c r="I354" s="1" t="s">
        <v>936</v>
      </c>
      <c r="J354" s="1" t="s">
        <v>161</v>
      </c>
      <c r="K354" s="1" t="s">
        <v>74</v>
      </c>
      <c r="L354" s="1" t="s">
        <v>74</v>
      </c>
      <c r="M354" s="1" t="s">
        <v>78</v>
      </c>
      <c r="N354" s="1" t="s">
        <v>79</v>
      </c>
      <c r="O354" s="1" t="s">
        <v>74</v>
      </c>
      <c r="P354" s="1" t="s">
        <v>74</v>
      </c>
      <c r="Q354" s="1" t="s">
        <v>74</v>
      </c>
      <c r="R354" s="1" t="s">
        <v>74</v>
      </c>
      <c r="S354" s="1" t="s">
        <v>74</v>
      </c>
      <c r="T354" s="1" t="s">
        <v>937</v>
      </c>
      <c r="U354" s="1" t="s">
        <v>938</v>
      </c>
      <c r="V354" s="1" t="s">
        <v>939</v>
      </c>
      <c r="W354" s="1" t="s">
        <v>940</v>
      </c>
      <c r="X354" s="1" t="s">
        <v>941</v>
      </c>
      <c r="Y354" s="1" t="s">
        <v>942</v>
      </c>
      <c r="Z354" s="1" t="s">
        <v>943</v>
      </c>
      <c r="AA354" s="1" t="s">
        <v>74</v>
      </c>
      <c r="AB354" s="1" t="s">
        <v>944</v>
      </c>
      <c r="AC354" s="1" t="s">
        <v>74</v>
      </c>
      <c r="AD354" s="1" t="s">
        <v>74</v>
      </c>
      <c r="AE354" s="1" t="s">
        <v>74</v>
      </c>
      <c r="AF354" s="1" t="s">
        <v>74</v>
      </c>
      <c r="AG354" s="1">
        <v>274</v>
      </c>
      <c r="AH354" s="1">
        <v>234</v>
      </c>
      <c r="AI354" s="1">
        <v>239</v>
      </c>
      <c r="AJ354" s="1">
        <v>57</v>
      </c>
      <c r="AK354" s="1">
        <v>302</v>
      </c>
      <c r="AL354" s="1" t="s">
        <v>170</v>
      </c>
      <c r="AM354" s="1" t="s">
        <v>171</v>
      </c>
      <c r="AN354" s="1" t="s">
        <v>172</v>
      </c>
      <c r="AO354" s="1" t="s">
        <v>173</v>
      </c>
      <c r="AP354" s="1" t="s">
        <v>174</v>
      </c>
      <c r="AQ354" s="1" t="s">
        <v>74</v>
      </c>
      <c r="AR354" s="1" t="s">
        <v>175</v>
      </c>
      <c r="AS354" s="1" t="s">
        <v>176</v>
      </c>
      <c r="AT354" s="1" t="s">
        <v>294</v>
      </c>
      <c r="AU354" s="1">
        <v>2018</v>
      </c>
      <c r="AV354" s="1">
        <v>44</v>
      </c>
      <c r="AW354" s="1">
        <v>6</v>
      </c>
      <c r="AX354" s="1" t="s">
        <v>74</v>
      </c>
      <c r="AY354" s="1" t="s">
        <v>74</v>
      </c>
      <c r="AZ354" s="1" t="s">
        <v>74</v>
      </c>
      <c r="BA354" s="1" t="s">
        <v>74</v>
      </c>
      <c r="BB354" s="1">
        <v>1274</v>
      </c>
      <c r="BC354" s="1">
        <v>1306</v>
      </c>
      <c r="BD354" s="1" t="s">
        <v>74</v>
      </c>
      <c r="BE354" s="1" t="s">
        <v>945</v>
      </c>
      <c r="BF354" s="1" t="str">
        <f>HYPERLINK("http://dx.doi.org/10.1093/jcr/ucx104","http://dx.doi.org/10.1093/jcr/ucx104")</f>
        <v>http://dx.doi.org/10.1093/jcr/ucx104</v>
      </c>
      <c r="BG354" s="1" t="s">
        <v>74</v>
      </c>
      <c r="BH354" s="1" t="s">
        <v>74</v>
      </c>
      <c r="BI354" s="1">
        <v>33</v>
      </c>
      <c r="BJ354" s="1" t="s">
        <v>153</v>
      </c>
      <c r="BK354" s="1" t="s">
        <v>101</v>
      </c>
      <c r="BL354" s="1" t="s">
        <v>154</v>
      </c>
      <c r="BM354" s="1" t="s">
        <v>946</v>
      </c>
      <c r="BN354" s="1" t="s">
        <v>74</v>
      </c>
      <c r="BO354" s="1" t="s">
        <v>74</v>
      </c>
      <c r="BP354" s="1" t="s">
        <v>218</v>
      </c>
      <c r="BQ354" s="1" t="s">
        <v>219</v>
      </c>
      <c r="BR354" s="1" t="s">
        <v>104</v>
      </c>
      <c r="BS354" s="1" t="s">
        <v>947</v>
      </c>
      <c r="BT354" s="1" t="str">
        <f>HYPERLINK("https%3A%2F%2Fwww.webofscience.com%2Fwos%2Fwoscc%2Ffull-record%2FWOS:000432334000006","View Full Record in Web of Science")</f>
        <v>View Full Record in Web of Science</v>
      </c>
      <c r="BU354" s="1" t="s">
        <v>2040</v>
      </c>
      <c r="BV354" s="1" t="s">
        <v>6080</v>
      </c>
      <c r="BW354" s="1" t="s">
        <v>10653</v>
      </c>
    </row>
    <row r="355" spans="1:75" ht="406" x14ac:dyDescent="0.35">
      <c r="A355" s="1" t="s">
        <v>72</v>
      </c>
      <c r="B355" s="1" t="s">
        <v>963</v>
      </c>
      <c r="C355" s="1" t="s">
        <v>74</v>
      </c>
      <c r="D355" s="1" t="s">
        <v>74</v>
      </c>
      <c r="E355" s="1" t="s">
        <v>74</v>
      </c>
      <c r="F355" s="1" t="s">
        <v>964</v>
      </c>
      <c r="G355" s="1" t="s">
        <v>74</v>
      </c>
      <c r="H355" s="1" t="s">
        <v>74</v>
      </c>
      <c r="I355" s="1" t="s">
        <v>965</v>
      </c>
      <c r="J355" s="1" t="s">
        <v>240</v>
      </c>
      <c r="K355" s="1" t="s">
        <v>74</v>
      </c>
      <c r="L355" s="1" t="s">
        <v>74</v>
      </c>
      <c r="M355" s="1" t="s">
        <v>78</v>
      </c>
      <c r="N355" s="1" t="s">
        <v>79</v>
      </c>
      <c r="O355" s="1" t="s">
        <v>74</v>
      </c>
      <c r="P355" s="1" t="s">
        <v>74</v>
      </c>
      <c r="Q355" s="1" t="s">
        <v>74</v>
      </c>
      <c r="R355" s="1" t="s">
        <v>74</v>
      </c>
      <c r="S355" s="1" t="s">
        <v>74</v>
      </c>
      <c r="T355" s="1" t="s">
        <v>966</v>
      </c>
      <c r="U355" s="1" t="s">
        <v>967</v>
      </c>
      <c r="V355" s="1" t="s">
        <v>968</v>
      </c>
      <c r="W355" s="1" t="s">
        <v>969</v>
      </c>
      <c r="X355" s="1" t="s">
        <v>970</v>
      </c>
      <c r="Y355" s="1" t="s">
        <v>971</v>
      </c>
      <c r="Z355" s="1" t="s">
        <v>972</v>
      </c>
      <c r="AA355" s="1" t="s">
        <v>973</v>
      </c>
      <c r="AB355" s="1" t="s">
        <v>974</v>
      </c>
      <c r="AC355" s="1" t="s">
        <v>74</v>
      </c>
      <c r="AD355" s="1" t="s">
        <v>74</v>
      </c>
      <c r="AE355" s="1" t="s">
        <v>74</v>
      </c>
      <c r="AF355" s="1" t="s">
        <v>74</v>
      </c>
      <c r="AG355" s="1">
        <v>76</v>
      </c>
      <c r="AH355" s="1">
        <v>51</v>
      </c>
      <c r="AI355" s="1">
        <v>51</v>
      </c>
      <c r="AJ355" s="1">
        <v>21</v>
      </c>
      <c r="AK355" s="1">
        <v>146</v>
      </c>
      <c r="AL355" s="1" t="s">
        <v>144</v>
      </c>
      <c r="AM355" s="1" t="s">
        <v>145</v>
      </c>
      <c r="AN355" s="1" t="s">
        <v>146</v>
      </c>
      <c r="AO355" s="1" t="s">
        <v>254</v>
      </c>
      <c r="AP355" s="1" t="s">
        <v>255</v>
      </c>
      <c r="AQ355" s="1" t="s">
        <v>74</v>
      </c>
      <c r="AR355" s="1" t="s">
        <v>256</v>
      </c>
      <c r="AS355" s="1" t="s">
        <v>257</v>
      </c>
      <c r="AT355" s="1" t="s">
        <v>258</v>
      </c>
      <c r="AU355" s="1">
        <v>2018</v>
      </c>
      <c r="AV355" s="1">
        <v>82</v>
      </c>
      <c r="AW355" s="1">
        <v>6</v>
      </c>
      <c r="AX355" s="1" t="s">
        <v>74</v>
      </c>
      <c r="AY355" s="1" t="s">
        <v>74</v>
      </c>
      <c r="AZ355" s="1" t="s">
        <v>74</v>
      </c>
      <c r="BA355" s="1" t="s">
        <v>74</v>
      </c>
      <c r="BB355" s="1">
        <v>89</v>
      </c>
      <c r="BC355" s="1">
        <v>108</v>
      </c>
      <c r="BD355" s="1" t="s">
        <v>74</v>
      </c>
      <c r="BE355" s="1" t="s">
        <v>975</v>
      </c>
      <c r="BF355" s="1" t="str">
        <f>HYPERLINK("http://dx.doi.org/10.1177/0022242918805411","http://dx.doi.org/10.1177/0022242918805411")</f>
        <v>http://dx.doi.org/10.1177/0022242918805411</v>
      </c>
      <c r="BG355" s="1" t="s">
        <v>74</v>
      </c>
      <c r="BH355" s="1" t="s">
        <v>74</v>
      </c>
      <c r="BI355" s="1">
        <v>20</v>
      </c>
      <c r="BJ355" s="1" t="s">
        <v>153</v>
      </c>
      <c r="BK355" s="1" t="s">
        <v>101</v>
      </c>
      <c r="BL355" s="1" t="s">
        <v>154</v>
      </c>
      <c r="BM355" s="1" t="s">
        <v>976</v>
      </c>
      <c r="BN355" s="1" t="s">
        <v>74</v>
      </c>
      <c r="BO355" s="1" t="s">
        <v>74</v>
      </c>
      <c r="BP355" s="1" t="s">
        <v>74</v>
      </c>
      <c r="BQ355" s="1" t="s">
        <v>74</v>
      </c>
      <c r="BR355" s="1" t="s">
        <v>104</v>
      </c>
      <c r="BS355" s="1" t="s">
        <v>977</v>
      </c>
      <c r="BT355" s="1" t="str">
        <f>HYPERLINK("https%3A%2F%2Fwww.webofscience.com%2Fwos%2Fwoscc%2Ffull-record%2FWOS:000450439500006","View Full Record in Web of Science")</f>
        <v>View Full Record in Web of Science</v>
      </c>
      <c r="BU355" s="1" t="s">
        <v>2040</v>
      </c>
      <c r="BV355" s="1" t="s">
        <v>6080</v>
      </c>
      <c r="BW355" s="1" t="s">
        <v>6080</v>
      </c>
    </row>
    <row r="356" spans="1:75" ht="333.5" x14ac:dyDescent="0.35">
      <c r="A356" s="1" t="s">
        <v>72</v>
      </c>
      <c r="B356" s="1" t="s">
        <v>1078</v>
      </c>
      <c r="C356" s="1" t="s">
        <v>74</v>
      </c>
      <c r="D356" s="1" t="s">
        <v>74</v>
      </c>
      <c r="E356" s="1" t="s">
        <v>74</v>
      </c>
      <c r="F356" s="1" t="s">
        <v>1079</v>
      </c>
      <c r="G356" s="1" t="s">
        <v>74</v>
      </c>
      <c r="H356" s="1" t="s">
        <v>74</v>
      </c>
      <c r="I356" s="1" t="s">
        <v>1080</v>
      </c>
      <c r="J356" s="1" t="s">
        <v>240</v>
      </c>
      <c r="K356" s="1" t="s">
        <v>74</v>
      </c>
      <c r="L356" s="1" t="s">
        <v>74</v>
      </c>
      <c r="M356" s="1" t="s">
        <v>78</v>
      </c>
      <c r="N356" s="1" t="s">
        <v>79</v>
      </c>
      <c r="O356" s="1" t="s">
        <v>74</v>
      </c>
      <c r="P356" s="1" t="s">
        <v>74</v>
      </c>
      <c r="Q356" s="1" t="s">
        <v>74</v>
      </c>
      <c r="R356" s="1" t="s">
        <v>74</v>
      </c>
      <c r="S356" s="1" t="s">
        <v>74</v>
      </c>
      <c r="T356" s="1" t="s">
        <v>1081</v>
      </c>
      <c r="U356" s="1" t="s">
        <v>1082</v>
      </c>
      <c r="V356" s="1" t="s">
        <v>1083</v>
      </c>
      <c r="W356" s="1" t="s">
        <v>1084</v>
      </c>
      <c r="X356" s="1" t="s">
        <v>1085</v>
      </c>
      <c r="Y356" s="1" t="s">
        <v>1086</v>
      </c>
      <c r="Z356" s="1" t="s">
        <v>1087</v>
      </c>
      <c r="AA356" s="1" t="s">
        <v>1088</v>
      </c>
      <c r="AB356" s="1" t="s">
        <v>74</v>
      </c>
      <c r="AC356" s="1" t="s">
        <v>1089</v>
      </c>
      <c r="AD356" s="1" t="s">
        <v>1089</v>
      </c>
      <c r="AE356" s="1" t="s">
        <v>1090</v>
      </c>
      <c r="AF356" s="1" t="s">
        <v>74</v>
      </c>
      <c r="AG356" s="1">
        <v>54</v>
      </c>
      <c r="AH356" s="1">
        <v>35</v>
      </c>
      <c r="AI356" s="1">
        <v>35</v>
      </c>
      <c r="AJ356" s="1">
        <v>37</v>
      </c>
      <c r="AK356" s="1">
        <v>245</v>
      </c>
      <c r="AL356" s="1" t="s">
        <v>232</v>
      </c>
      <c r="AM356" s="1" t="s">
        <v>233</v>
      </c>
      <c r="AN356" s="1" t="s">
        <v>234</v>
      </c>
      <c r="AO356" s="1" t="s">
        <v>254</v>
      </c>
      <c r="AP356" s="1" t="s">
        <v>255</v>
      </c>
      <c r="AQ356" s="1" t="s">
        <v>74</v>
      </c>
      <c r="AR356" s="1" t="s">
        <v>256</v>
      </c>
      <c r="AS356" s="1" t="s">
        <v>257</v>
      </c>
      <c r="AT356" s="1" t="s">
        <v>98</v>
      </c>
      <c r="AU356" s="1">
        <v>2018</v>
      </c>
      <c r="AV356" s="1">
        <v>82</v>
      </c>
      <c r="AW356" s="1">
        <v>4</v>
      </c>
      <c r="AX356" s="1" t="s">
        <v>74</v>
      </c>
      <c r="AY356" s="1" t="s">
        <v>74</v>
      </c>
      <c r="AZ356" s="1" t="s">
        <v>74</v>
      </c>
      <c r="BA356" s="1" t="s">
        <v>74</v>
      </c>
      <c r="BB356" s="1">
        <v>86</v>
      </c>
      <c r="BC356" s="1">
        <v>101</v>
      </c>
      <c r="BD356" s="1" t="s">
        <v>74</v>
      </c>
      <c r="BE356" s="1" t="s">
        <v>1091</v>
      </c>
      <c r="BF356" s="1" t="str">
        <f>HYPERLINK("http://dx.doi.org/10.1509/jm.16.0048","http://dx.doi.org/10.1509/jm.16.0048")</f>
        <v>http://dx.doi.org/10.1509/jm.16.0048</v>
      </c>
      <c r="BG356" s="1" t="s">
        <v>74</v>
      </c>
      <c r="BH356" s="1" t="s">
        <v>74</v>
      </c>
      <c r="BI356" s="1">
        <v>16</v>
      </c>
      <c r="BJ356" s="1" t="s">
        <v>153</v>
      </c>
      <c r="BK356" s="1" t="s">
        <v>101</v>
      </c>
      <c r="BL356" s="1" t="s">
        <v>154</v>
      </c>
      <c r="BM356" s="1" t="s">
        <v>1092</v>
      </c>
      <c r="BN356" s="1" t="s">
        <v>74</v>
      </c>
      <c r="BO356" s="1" t="s">
        <v>74</v>
      </c>
      <c r="BP356" s="1" t="s">
        <v>74</v>
      </c>
      <c r="BQ356" s="1" t="s">
        <v>74</v>
      </c>
      <c r="BR356" s="1" t="s">
        <v>104</v>
      </c>
      <c r="BS356" s="1" t="s">
        <v>1093</v>
      </c>
      <c r="BT356" s="1" t="str">
        <f>HYPERLINK("https%3A%2F%2Fwww.webofscience.com%2Fwos%2Fwoscc%2Ffull-record%2FWOS:000434798700008","View Full Record in Web of Science")</f>
        <v>View Full Record in Web of Science</v>
      </c>
      <c r="BU356" s="1" t="s">
        <v>2040</v>
      </c>
      <c r="BV356" s="1" t="s">
        <v>6080</v>
      </c>
      <c r="BW356" s="1" t="s">
        <v>6080</v>
      </c>
    </row>
    <row r="357" spans="1:75" ht="348" x14ac:dyDescent="0.35">
      <c r="A357" s="1" t="s">
        <v>72</v>
      </c>
      <c r="B357" s="1" t="s">
        <v>1234</v>
      </c>
      <c r="C357" s="1" t="s">
        <v>74</v>
      </c>
      <c r="D357" s="1" t="s">
        <v>74</v>
      </c>
      <c r="E357" s="1" t="s">
        <v>74</v>
      </c>
      <c r="F357" s="1" t="s">
        <v>1235</v>
      </c>
      <c r="G357" s="1" t="s">
        <v>74</v>
      </c>
      <c r="H357" s="1" t="s">
        <v>74</v>
      </c>
      <c r="I357" s="1" t="s">
        <v>1236</v>
      </c>
      <c r="J357" s="1" t="s">
        <v>136</v>
      </c>
      <c r="K357" s="1" t="s">
        <v>74</v>
      </c>
      <c r="L357" s="1" t="s">
        <v>74</v>
      </c>
      <c r="M357" s="1" t="s">
        <v>78</v>
      </c>
      <c r="N357" s="1" t="s">
        <v>79</v>
      </c>
      <c r="O357" s="1" t="s">
        <v>74</v>
      </c>
      <c r="P357" s="1" t="s">
        <v>74</v>
      </c>
      <c r="Q357" s="1" t="s">
        <v>74</v>
      </c>
      <c r="R357" s="1" t="s">
        <v>74</v>
      </c>
      <c r="S357" s="1" t="s">
        <v>74</v>
      </c>
      <c r="T357" s="1" t="s">
        <v>1237</v>
      </c>
      <c r="U357" s="1" t="s">
        <v>1238</v>
      </c>
      <c r="V357" s="1" t="s">
        <v>1239</v>
      </c>
      <c r="W357" s="1" t="s">
        <v>1240</v>
      </c>
      <c r="X357" s="1" t="s">
        <v>1241</v>
      </c>
      <c r="Y357" s="1" t="s">
        <v>1242</v>
      </c>
      <c r="Z357" s="1" t="s">
        <v>1243</v>
      </c>
      <c r="AA357" s="1" t="s">
        <v>74</v>
      </c>
      <c r="AB357" s="1" t="s">
        <v>74</v>
      </c>
      <c r="AC357" s="1" t="s">
        <v>1244</v>
      </c>
      <c r="AD357" s="1" t="s">
        <v>1244</v>
      </c>
      <c r="AE357" s="1" t="s">
        <v>1245</v>
      </c>
      <c r="AF357" s="1" t="s">
        <v>74</v>
      </c>
      <c r="AG357" s="1">
        <v>52</v>
      </c>
      <c r="AH357" s="1">
        <v>16</v>
      </c>
      <c r="AI357" s="1">
        <v>16</v>
      </c>
      <c r="AJ357" s="1">
        <v>5</v>
      </c>
      <c r="AK357" s="1">
        <v>65</v>
      </c>
      <c r="AL357" s="1" t="s">
        <v>144</v>
      </c>
      <c r="AM357" s="1" t="s">
        <v>145</v>
      </c>
      <c r="AN357" s="1" t="s">
        <v>146</v>
      </c>
      <c r="AO357" s="1" t="s">
        <v>147</v>
      </c>
      <c r="AP357" s="1" t="s">
        <v>148</v>
      </c>
      <c r="AQ357" s="1" t="s">
        <v>74</v>
      </c>
      <c r="AR357" s="1" t="s">
        <v>149</v>
      </c>
      <c r="AS357" s="1" t="s">
        <v>150</v>
      </c>
      <c r="AT357" s="1" t="s">
        <v>281</v>
      </c>
      <c r="AU357" s="1">
        <v>2018</v>
      </c>
      <c r="AV357" s="1">
        <v>55</v>
      </c>
      <c r="AW357" s="1">
        <v>5</v>
      </c>
      <c r="AX357" s="1" t="s">
        <v>74</v>
      </c>
      <c r="AY357" s="1" t="s">
        <v>74</v>
      </c>
      <c r="AZ357" s="1" t="s">
        <v>74</v>
      </c>
      <c r="BA357" s="1" t="s">
        <v>74</v>
      </c>
      <c r="BB357" s="1">
        <v>617</v>
      </c>
      <c r="BC357" s="1">
        <v>635</v>
      </c>
      <c r="BD357" s="1" t="s">
        <v>74</v>
      </c>
      <c r="BE357" s="1" t="s">
        <v>1246</v>
      </c>
      <c r="BF357" s="1" t="str">
        <f>HYPERLINK("http://dx.doi.org/10.1177/0022243718802843","http://dx.doi.org/10.1177/0022243718802843")</f>
        <v>http://dx.doi.org/10.1177/0022243718802843</v>
      </c>
      <c r="BG357" s="1" t="s">
        <v>74</v>
      </c>
      <c r="BH357" s="1" t="s">
        <v>74</v>
      </c>
      <c r="BI357" s="1">
        <v>19</v>
      </c>
      <c r="BJ357" s="1" t="s">
        <v>153</v>
      </c>
      <c r="BK357" s="1" t="s">
        <v>101</v>
      </c>
      <c r="BL357" s="1" t="s">
        <v>154</v>
      </c>
      <c r="BM357" s="1" t="s">
        <v>1247</v>
      </c>
      <c r="BN357" s="1" t="s">
        <v>74</v>
      </c>
      <c r="BO357" s="1" t="s">
        <v>74</v>
      </c>
      <c r="BP357" s="1" t="s">
        <v>74</v>
      </c>
      <c r="BQ357" s="1" t="s">
        <v>74</v>
      </c>
      <c r="BR357" s="1" t="s">
        <v>104</v>
      </c>
      <c r="BS357" s="1" t="s">
        <v>1248</v>
      </c>
      <c r="BT357" s="1" t="str">
        <f>HYPERLINK("https%3A%2F%2Fwww.webofscience.com%2Fwos%2Fwoscc%2Ffull-record%2FWOS:000451780300001","View Full Record in Web of Science")</f>
        <v>View Full Record in Web of Science</v>
      </c>
      <c r="BU357" s="1" t="s">
        <v>2040</v>
      </c>
      <c r="BV357" s="1" t="s">
        <v>6080</v>
      </c>
      <c r="BW357" s="1" t="s">
        <v>6080</v>
      </c>
    </row>
    <row r="358" spans="1:75" ht="391.5" x14ac:dyDescent="0.35">
      <c r="A358" s="1" t="s">
        <v>72</v>
      </c>
      <c r="B358" s="1" t="s">
        <v>1455</v>
      </c>
      <c r="C358" s="1" t="s">
        <v>74</v>
      </c>
      <c r="D358" s="1" t="s">
        <v>74</v>
      </c>
      <c r="E358" s="1" t="s">
        <v>74</v>
      </c>
      <c r="F358" s="1" t="s">
        <v>1456</v>
      </c>
      <c r="G358" s="1" t="s">
        <v>74</v>
      </c>
      <c r="H358" s="1" t="s">
        <v>74</v>
      </c>
      <c r="I358" s="1" t="s">
        <v>1457</v>
      </c>
      <c r="J358" s="1" t="s">
        <v>136</v>
      </c>
      <c r="K358" s="1" t="s">
        <v>74</v>
      </c>
      <c r="L358" s="1" t="s">
        <v>74</v>
      </c>
      <c r="M358" s="1" t="s">
        <v>78</v>
      </c>
      <c r="N358" s="1" t="s">
        <v>79</v>
      </c>
      <c r="O358" s="1" t="s">
        <v>74</v>
      </c>
      <c r="P358" s="1" t="s">
        <v>74</v>
      </c>
      <c r="Q358" s="1" t="s">
        <v>74</v>
      </c>
      <c r="R358" s="1" t="s">
        <v>74</v>
      </c>
      <c r="S358" s="1" t="s">
        <v>74</v>
      </c>
      <c r="T358" s="1" t="s">
        <v>1458</v>
      </c>
      <c r="U358" s="1" t="s">
        <v>1459</v>
      </c>
      <c r="V358" s="1" t="s">
        <v>1460</v>
      </c>
      <c r="W358" s="1" t="s">
        <v>1461</v>
      </c>
      <c r="X358" s="1" t="s">
        <v>1462</v>
      </c>
      <c r="Y358" s="1" t="s">
        <v>1450</v>
      </c>
      <c r="Z358" s="1" t="s">
        <v>1463</v>
      </c>
      <c r="AA358" s="1" t="s">
        <v>74</v>
      </c>
      <c r="AB358" s="1" t="s">
        <v>1464</v>
      </c>
      <c r="AC358" s="1" t="s">
        <v>1465</v>
      </c>
      <c r="AD358" s="1" t="s">
        <v>1466</v>
      </c>
      <c r="AE358" s="1" t="s">
        <v>1467</v>
      </c>
      <c r="AF358" s="1" t="s">
        <v>74</v>
      </c>
      <c r="AG358" s="1">
        <v>83</v>
      </c>
      <c r="AH358" s="1">
        <v>72</v>
      </c>
      <c r="AI358" s="1">
        <v>72</v>
      </c>
      <c r="AJ358" s="1">
        <v>17</v>
      </c>
      <c r="AK358" s="1">
        <v>129</v>
      </c>
      <c r="AL358" s="1" t="s">
        <v>144</v>
      </c>
      <c r="AM358" s="1" t="s">
        <v>145</v>
      </c>
      <c r="AN358" s="1" t="s">
        <v>146</v>
      </c>
      <c r="AO358" s="1" t="s">
        <v>147</v>
      </c>
      <c r="AP358" s="1" t="s">
        <v>148</v>
      </c>
      <c r="AQ358" s="1" t="s">
        <v>74</v>
      </c>
      <c r="AR358" s="1" t="s">
        <v>149</v>
      </c>
      <c r="AS358" s="1" t="s">
        <v>150</v>
      </c>
      <c r="AT358" s="1" t="s">
        <v>469</v>
      </c>
      <c r="AU358" s="1">
        <v>2018</v>
      </c>
      <c r="AV358" s="1">
        <v>55</v>
      </c>
      <c r="AW358" s="1">
        <v>4</v>
      </c>
      <c r="AX358" s="1" t="s">
        <v>74</v>
      </c>
      <c r="AY358" s="1" t="s">
        <v>74</v>
      </c>
      <c r="AZ358" s="1" t="s">
        <v>74</v>
      </c>
      <c r="BA358" s="1" t="s">
        <v>74</v>
      </c>
      <c r="BB358" s="1">
        <v>541</v>
      </c>
      <c r="BC358" s="1">
        <v>555</v>
      </c>
      <c r="BD358" s="1" t="s">
        <v>74</v>
      </c>
      <c r="BE358" s="1" t="s">
        <v>1468</v>
      </c>
      <c r="BF358" s="1" t="str">
        <f>HYPERLINK("http://dx.doi.org/10.1509/jmr.16.0118","http://dx.doi.org/10.1509/jmr.16.0118")</f>
        <v>http://dx.doi.org/10.1509/jmr.16.0118</v>
      </c>
      <c r="BG358" s="1" t="s">
        <v>74</v>
      </c>
      <c r="BH358" s="1" t="s">
        <v>74</v>
      </c>
      <c r="BI358" s="1">
        <v>15</v>
      </c>
      <c r="BJ358" s="1" t="s">
        <v>153</v>
      </c>
      <c r="BK358" s="1" t="s">
        <v>101</v>
      </c>
      <c r="BL358" s="1" t="s">
        <v>154</v>
      </c>
      <c r="BM358" s="1" t="s">
        <v>1469</v>
      </c>
      <c r="BN358" s="1" t="s">
        <v>74</v>
      </c>
      <c r="BO358" s="1" t="s">
        <v>367</v>
      </c>
      <c r="BP358" s="1" t="s">
        <v>74</v>
      </c>
      <c r="BQ358" s="1" t="s">
        <v>74</v>
      </c>
      <c r="BR358" s="1" t="s">
        <v>104</v>
      </c>
      <c r="BS358" s="1" t="s">
        <v>1470</v>
      </c>
      <c r="BT358" s="1" t="str">
        <f>HYPERLINK("https%3A%2F%2Fwww.webofscience.com%2Fwos%2Fwoscc%2Ffull-record%2FWOS:000439284200006","View Full Record in Web of Science")</f>
        <v>View Full Record in Web of Science</v>
      </c>
      <c r="BU358" s="1" t="s">
        <v>2040</v>
      </c>
      <c r="BV358" s="1" t="s">
        <v>6080</v>
      </c>
      <c r="BW358" s="1" t="s">
        <v>6080</v>
      </c>
    </row>
    <row r="359" spans="1:75" ht="409.5" x14ac:dyDescent="0.35">
      <c r="A359" s="1" t="s">
        <v>72</v>
      </c>
      <c r="B359" s="1" t="s">
        <v>1637</v>
      </c>
      <c r="C359" s="1" t="s">
        <v>74</v>
      </c>
      <c r="D359" s="1" t="s">
        <v>74</v>
      </c>
      <c r="E359" s="1" t="s">
        <v>74</v>
      </c>
      <c r="F359" s="1" t="s">
        <v>1638</v>
      </c>
      <c r="G359" s="1" t="s">
        <v>74</v>
      </c>
      <c r="H359" s="1" t="s">
        <v>74</v>
      </c>
      <c r="I359" s="1" t="s">
        <v>1639</v>
      </c>
      <c r="J359" s="1" t="s">
        <v>1640</v>
      </c>
      <c r="K359" s="1" t="s">
        <v>74</v>
      </c>
      <c r="L359" s="1" t="s">
        <v>74</v>
      </c>
      <c r="M359" s="1" t="s">
        <v>78</v>
      </c>
      <c r="N359" s="1" t="s">
        <v>79</v>
      </c>
      <c r="O359" s="1" t="s">
        <v>74</v>
      </c>
      <c r="P359" s="1" t="s">
        <v>74</v>
      </c>
      <c r="Q359" s="1" t="s">
        <v>74</v>
      </c>
      <c r="R359" s="1" t="s">
        <v>74</v>
      </c>
      <c r="S359" s="1" t="s">
        <v>74</v>
      </c>
      <c r="T359" s="1" t="s">
        <v>1641</v>
      </c>
      <c r="U359" s="1" t="s">
        <v>1642</v>
      </c>
      <c r="V359" s="1" t="s">
        <v>1643</v>
      </c>
      <c r="W359" s="1" t="s">
        <v>1644</v>
      </c>
      <c r="X359" s="1" t="s">
        <v>916</v>
      </c>
      <c r="Y359" s="1" t="s">
        <v>1645</v>
      </c>
      <c r="Z359" s="1" t="s">
        <v>1646</v>
      </c>
      <c r="AA359" s="1" t="s">
        <v>74</v>
      </c>
      <c r="AB359" s="1" t="s">
        <v>74</v>
      </c>
      <c r="AC359" s="1" t="s">
        <v>74</v>
      </c>
      <c r="AD359" s="1" t="s">
        <v>74</v>
      </c>
      <c r="AE359" s="1" t="s">
        <v>74</v>
      </c>
      <c r="AF359" s="1" t="s">
        <v>74</v>
      </c>
      <c r="AG359" s="1">
        <v>56</v>
      </c>
      <c r="AH359" s="1">
        <v>31</v>
      </c>
      <c r="AI359" s="1">
        <v>31</v>
      </c>
      <c r="AJ359" s="1">
        <v>5</v>
      </c>
      <c r="AK359" s="1">
        <v>22</v>
      </c>
      <c r="AL359" s="1" t="s">
        <v>820</v>
      </c>
      <c r="AM359" s="1" t="s">
        <v>325</v>
      </c>
      <c r="AN359" s="1" t="s">
        <v>821</v>
      </c>
      <c r="AO359" s="1" t="s">
        <v>1647</v>
      </c>
      <c r="AP359" s="1" t="s">
        <v>1648</v>
      </c>
      <c r="AQ359" s="1" t="s">
        <v>74</v>
      </c>
      <c r="AR359" s="1" t="s">
        <v>1649</v>
      </c>
      <c r="AS359" s="1" t="s">
        <v>1650</v>
      </c>
      <c r="AT359" s="1" t="s">
        <v>469</v>
      </c>
      <c r="AU359" s="1">
        <v>2018</v>
      </c>
      <c r="AV359" s="1">
        <v>50</v>
      </c>
      <c r="AW359" s="1">
        <v>4</v>
      </c>
      <c r="AX359" s="1" t="s">
        <v>74</v>
      </c>
      <c r="AY359" s="1" t="s">
        <v>74</v>
      </c>
      <c r="AZ359" s="1" t="s">
        <v>74</v>
      </c>
      <c r="BA359" s="1" t="s">
        <v>74</v>
      </c>
      <c r="BB359" s="1">
        <v>1327</v>
      </c>
      <c r="BC359" s="1">
        <v>1344</v>
      </c>
      <c r="BD359" s="1" t="s">
        <v>74</v>
      </c>
      <c r="BE359" s="1" t="s">
        <v>1651</v>
      </c>
      <c r="BF359" s="1" t="str">
        <f>HYPERLINK("http://dx.doi.org/10.3758/s13428-017-0975-6","http://dx.doi.org/10.3758/s13428-017-0975-6")</f>
        <v>http://dx.doi.org/10.3758/s13428-017-0975-6</v>
      </c>
      <c r="BG359" s="1" t="s">
        <v>74</v>
      </c>
      <c r="BH359" s="1" t="s">
        <v>74</v>
      </c>
      <c r="BI359" s="1">
        <v>18</v>
      </c>
      <c r="BJ359" s="1" t="s">
        <v>1652</v>
      </c>
      <c r="BK359" s="1" t="s">
        <v>101</v>
      </c>
      <c r="BL359" s="1" t="s">
        <v>102</v>
      </c>
      <c r="BM359" s="1" t="s">
        <v>1653</v>
      </c>
      <c r="BN359" s="1">
        <v>29052167</v>
      </c>
      <c r="BO359" s="1" t="s">
        <v>334</v>
      </c>
      <c r="BP359" s="1" t="s">
        <v>74</v>
      </c>
      <c r="BQ359" s="1" t="s">
        <v>74</v>
      </c>
      <c r="BR359" s="1" t="s">
        <v>104</v>
      </c>
      <c r="BS359" s="1" t="s">
        <v>1654</v>
      </c>
      <c r="BT359" s="1" t="str">
        <f>HYPERLINK("https%3A%2F%2Fwww.webofscience.com%2Fwos%2Fwoscc%2Ffull-record%2FWOS:000440459100002","View Full Record in Web of Science")</f>
        <v>View Full Record in Web of Science</v>
      </c>
      <c r="BU359" s="1" t="s">
        <v>2040</v>
      </c>
      <c r="BV359" s="1" t="s">
        <v>10653</v>
      </c>
    </row>
    <row r="360" spans="1:75" ht="348" x14ac:dyDescent="0.35">
      <c r="A360" s="1" t="s">
        <v>72</v>
      </c>
      <c r="B360" s="1" t="s">
        <v>1895</v>
      </c>
      <c r="C360" s="1" t="s">
        <v>74</v>
      </c>
      <c r="D360" s="1" t="s">
        <v>74</v>
      </c>
      <c r="E360" s="1" t="s">
        <v>74</v>
      </c>
      <c r="F360" s="1" t="s">
        <v>1896</v>
      </c>
      <c r="G360" s="1" t="s">
        <v>74</v>
      </c>
      <c r="H360" s="1" t="s">
        <v>74</v>
      </c>
      <c r="I360" s="1" t="s">
        <v>1897</v>
      </c>
      <c r="J360" s="1" t="s">
        <v>1685</v>
      </c>
      <c r="K360" s="1" t="s">
        <v>74</v>
      </c>
      <c r="L360" s="1" t="s">
        <v>74</v>
      </c>
      <c r="M360" s="1" t="s">
        <v>78</v>
      </c>
      <c r="N360" s="1" t="s">
        <v>79</v>
      </c>
      <c r="O360" s="1" t="s">
        <v>74</v>
      </c>
      <c r="P360" s="1" t="s">
        <v>74</v>
      </c>
      <c r="Q360" s="1" t="s">
        <v>74</v>
      </c>
      <c r="R360" s="1" t="s">
        <v>74</v>
      </c>
      <c r="S360" s="1" t="s">
        <v>74</v>
      </c>
      <c r="T360" s="1" t="s">
        <v>74</v>
      </c>
      <c r="U360" s="1" t="s">
        <v>74</v>
      </c>
      <c r="V360" s="1" t="s">
        <v>1898</v>
      </c>
      <c r="W360" s="1" t="s">
        <v>1899</v>
      </c>
      <c r="X360" s="1" t="s">
        <v>1900</v>
      </c>
      <c r="Y360" s="1" t="s">
        <v>1901</v>
      </c>
      <c r="Z360" s="1" t="s">
        <v>1902</v>
      </c>
      <c r="AA360" s="1" t="s">
        <v>74</v>
      </c>
      <c r="AB360" s="1" t="s">
        <v>1903</v>
      </c>
      <c r="AC360" s="1" t="s">
        <v>74</v>
      </c>
      <c r="AD360" s="1" t="s">
        <v>74</v>
      </c>
      <c r="AE360" s="1" t="s">
        <v>74</v>
      </c>
      <c r="AF360" s="1" t="s">
        <v>74</v>
      </c>
      <c r="AG360" s="1">
        <v>34</v>
      </c>
      <c r="AH360" s="1">
        <v>2252</v>
      </c>
      <c r="AI360" s="1">
        <v>2311</v>
      </c>
      <c r="AJ360" s="1">
        <v>143</v>
      </c>
      <c r="AK360" s="1">
        <v>1007</v>
      </c>
      <c r="AL360" s="1" t="s">
        <v>1694</v>
      </c>
      <c r="AM360" s="1" t="s">
        <v>92</v>
      </c>
      <c r="AN360" s="1" t="s">
        <v>1695</v>
      </c>
      <c r="AO360" s="1" t="s">
        <v>1696</v>
      </c>
      <c r="AP360" s="1" t="s">
        <v>1697</v>
      </c>
      <c r="AQ360" s="1" t="s">
        <v>74</v>
      </c>
      <c r="AR360" s="1" t="s">
        <v>1685</v>
      </c>
      <c r="AS360" s="1" t="s">
        <v>1698</v>
      </c>
      <c r="AT360" s="1" t="s">
        <v>1904</v>
      </c>
      <c r="AU360" s="1">
        <v>2018</v>
      </c>
      <c r="AV360" s="1">
        <v>359</v>
      </c>
      <c r="AW360" s="1">
        <v>6380</v>
      </c>
      <c r="AX360" s="1" t="s">
        <v>74</v>
      </c>
      <c r="AY360" s="1" t="s">
        <v>74</v>
      </c>
      <c r="AZ360" s="1" t="s">
        <v>74</v>
      </c>
      <c r="BA360" s="1" t="s">
        <v>74</v>
      </c>
      <c r="BB360" s="1">
        <v>1146</v>
      </c>
      <c r="BC360" s="1" t="s">
        <v>876</v>
      </c>
      <c r="BD360" s="1" t="s">
        <v>74</v>
      </c>
      <c r="BE360" s="1" t="s">
        <v>1905</v>
      </c>
      <c r="BF360" s="1" t="str">
        <f>HYPERLINK("http://dx.doi.org/10.1126/science.aap9559","http://dx.doi.org/10.1126/science.aap9559")</f>
        <v>http://dx.doi.org/10.1126/science.aap9559</v>
      </c>
      <c r="BG360" s="1" t="s">
        <v>74</v>
      </c>
      <c r="BH360" s="1" t="s">
        <v>74</v>
      </c>
      <c r="BI360" s="1">
        <v>6</v>
      </c>
      <c r="BJ360" s="1" t="s">
        <v>561</v>
      </c>
      <c r="BK360" s="1" t="s">
        <v>520</v>
      </c>
      <c r="BL360" s="1" t="s">
        <v>562</v>
      </c>
      <c r="BM360" s="1" t="s">
        <v>1906</v>
      </c>
      <c r="BN360" s="1">
        <v>29590045</v>
      </c>
      <c r="BO360" s="1" t="s">
        <v>74</v>
      </c>
      <c r="BP360" s="1" t="s">
        <v>218</v>
      </c>
      <c r="BQ360" s="1" t="s">
        <v>219</v>
      </c>
      <c r="BR360" s="1" t="s">
        <v>104</v>
      </c>
      <c r="BS360" s="1" t="s">
        <v>1907</v>
      </c>
      <c r="BT360" s="1" t="str">
        <f>HYPERLINK("https%3A%2F%2Fwww.webofscience.com%2Fwos%2Fwoscc%2Ffull-record%2FWOS:000426835900044","View Full Record in Web of Science")</f>
        <v>View Full Record in Web of Science</v>
      </c>
      <c r="BU360" s="1" t="s">
        <v>2040</v>
      </c>
      <c r="BV360" s="1" t="s">
        <v>10653</v>
      </c>
    </row>
    <row r="361" spans="1:75" ht="409.5" x14ac:dyDescent="0.35">
      <c r="A361" s="1" t="s">
        <v>72</v>
      </c>
      <c r="B361" s="1" t="s">
        <v>1923</v>
      </c>
      <c r="C361" s="1" t="s">
        <v>74</v>
      </c>
      <c r="D361" s="1" t="s">
        <v>74</v>
      </c>
      <c r="E361" s="1" t="s">
        <v>74</v>
      </c>
      <c r="F361" s="1" t="s">
        <v>1924</v>
      </c>
      <c r="G361" s="1" t="s">
        <v>74</v>
      </c>
      <c r="H361" s="1" t="s">
        <v>74</v>
      </c>
      <c r="I361" s="1" t="s">
        <v>1925</v>
      </c>
      <c r="J361" s="1" t="s">
        <v>436</v>
      </c>
      <c r="K361" s="1" t="s">
        <v>74</v>
      </c>
      <c r="L361" s="1" t="s">
        <v>74</v>
      </c>
      <c r="M361" s="1" t="s">
        <v>78</v>
      </c>
      <c r="N361" s="1" t="s">
        <v>79</v>
      </c>
      <c r="O361" s="1" t="s">
        <v>74</v>
      </c>
      <c r="P361" s="1" t="s">
        <v>74</v>
      </c>
      <c r="Q361" s="1" t="s">
        <v>74</v>
      </c>
      <c r="R361" s="1" t="s">
        <v>74</v>
      </c>
      <c r="S361" s="1" t="s">
        <v>74</v>
      </c>
      <c r="T361" s="1" t="s">
        <v>1926</v>
      </c>
      <c r="U361" s="1" t="s">
        <v>1927</v>
      </c>
      <c r="V361" s="1" t="s">
        <v>1928</v>
      </c>
      <c r="W361" s="1" t="s">
        <v>1929</v>
      </c>
      <c r="X361" s="1" t="s">
        <v>1930</v>
      </c>
      <c r="Y361" s="1" t="s">
        <v>1931</v>
      </c>
      <c r="Z361" s="1" t="s">
        <v>1932</v>
      </c>
      <c r="AA361" s="1" t="s">
        <v>74</v>
      </c>
      <c r="AB361" s="1" t="s">
        <v>74</v>
      </c>
      <c r="AC361" s="1" t="s">
        <v>74</v>
      </c>
      <c r="AD361" s="1" t="s">
        <v>74</v>
      </c>
      <c r="AE361" s="1" t="s">
        <v>74</v>
      </c>
      <c r="AF361" s="1" t="s">
        <v>74</v>
      </c>
      <c r="AG361" s="1">
        <v>49</v>
      </c>
      <c r="AH361" s="1">
        <v>12</v>
      </c>
      <c r="AI361" s="1">
        <v>12</v>
      </c>
      <c r="AJ361" s="1">
        <v>3</v>
      </c>
      <c r="AK361" s="1">
        <v>23</v>
      </c>
      <c r="AL361" s="1" t="s">
        <v>446</v>
      </c>
      <c r="AM361" s="1" t="s">
        <v>447</v>
      </c>
      <c r="AN361" s="1" t="s">
        <v>448</v>
      </c>
      <c r="AO361" s="1" t="s">
        <v>449</v>
      </c>
      <c r="AP361" s="1" t="s">
        <v>450</v>
      </c>
      <c r="AQ361" s="1" t="s">
        <v>74</v>
      </c>
      <c r="AR361" s="1" t="s">
        <v>451</v>
      </c>
      <c r="AS361" s="1" t="s">
        <v>452</v>
      </c>
      <c r="AT361" s="1" t="s">
        <v>760</v>
      </c>
      <c r="AU361" s="1">
        <v>2018</v>
      </c>
      <c r="AV361" s="1">
        <v>37</v>
      </c>
      <c r="AW361" s="1">
        <v>3</v>
      </c>
      <c r="AX361" s="1" t="s">
        <v>74</v>
      </c>
      <c r="AY361" s="1" t="s">
        <v>74</v>
      </c>
      <c r="AZ361" s="1" t="s">
        <v>74</v>
      </c>
      <c r="BA361" s="1" t="s">
        <v>74</v>
      </c>
      <c r="BB361" s="1">
        <v>333</v>
      </c>
      <c r="BC361" s="1">
        <v>355</v>
      </c>
      <c r="BD361" s="1" t="s">
        <v>74</v>
      </c>
      <c r="BE361" s="1" t="s">
        <v>1933</v>
      </c>
      <c r="BF361" s="1" t="str">
        <f>HYPERLINK("http://dx.doi.org/10.1287/mksc.2017.1079","http://dx.doi.org/10.1287/mksc.2017.1079")</f>
        <v>http://dx.doi.org/10.1287/mksc.2017.1079</v>
      </c>
      <c r="BG361" s="1" t="s">
        <v>74</v>
      </c>
      <c r="BH361" s="1" t="s">
        <v>74</v>
      </c>
      <c r="BI361" s="1">
        <v>23</v>
      </c>
      <c r="BJ361" s="1" t="s">
        <v>153</v>
      </c>
      <c r="BK361" s="1" t="s">
        <v>101</v>
      </c>
      <c r="BL361" s="1" t="s">
        <v>154</v>
      </c>
      <c r="BM361" s="1" t="s">
        <v>1934</v>
      </c>
      <c r="BN361" s="1" t="s">
        <v>74</v>
      </c>
      <c r="BO361" s="1" t="s">
        <v>74</v>
      </c>
      <c r="BP361" s="1" t="s">
        <v>74</v>
      </c>
      <c r="BQ361" s="1" t="s">
        <v>74</v>
      </c>
      <c r="BR361" s="1" t="s">
        <v>104</v>
      </c>
      <c r="BS361" s="1" t="s">
        <v>1935</v>
      </c>
      <c r="BT361" s="1" t="str">
        <f>HYPERLINK("https%3A%2F%2Fwww.webofscience.com%2Fwos%2Fwoscc%2Ffull-record%2FWOS:000439017700001","View Full Record in Web of Science")</f>
        <v>View Full Record in Web of Science</v>
      </c>
      <c r="BU361" s="1" t="s">
        <v>2040</v>
      </c>
      <c r="BV361" s="1" t="s">
        <v>6080</v>
      </c>
      <c r="BW361" s="1" t="s">
        <v>6080</v>
      </c>
    </row>
    <row r="362" spans="1:75" ht="391.5" x14ac:dyDescent="0.35">
      <c r="A362" s="1" t="s">
        <v>72</v>
      </c>
      <c r="B362" s="1" t="s">
        <v>1455</v>
      </c>
      <c r="C362" s="1" t="s">
        <v>74</v>
      </c>
      <c r="D362" s="1" t="s">
        <v>74</v>
      </c>
      <c r="E362" s="1" t="s">
        <v>74</v>
      </c>
      <c r="F362" s="1" t="s">
        <v>1456</v>
      </c>
      <c r="G362" s="1" t="s">
        <v>74</v>
      </c>
      <c r="H362" s="1" t="s">
        <v>74</v>
      </c>
      <c r="I362" s="1" t="s">
        <v>1457</v>
      </c>
      <c r="J362" s="1" t="s">
        <v>136</v>
      </c>
      <c r="K362" s="1" t="s">
        <v>74</v>
      </c>
      <c r="L362" s="1" t="s">
        <v>74</v>
      </c>
      <c r="M362" s="1" t="s">
        <v>78</v>
      </c>
      <c r="N362" s="1" t="s">
        <v>79</v>
      </c>
      <c r="O362" s="1" t="s">
        <v>74</v>
      </c>
      <c r="P362" s="1" t="s">
        <v>74</v>
      </c>
      <c r="Q362" s="1" t="s">
        <v>74</v>
      </c>
      <c r="R362" s="1" t="s">
        <v>74</v>
      </c>
      <c r="S362" s="1" t="s">
        <v>74</v>
      </c>
      <c r="T362" s="1" t="s">
        <v>1458</v>
      </c>
      <c r="U362" s="1" t="s">
        <v>1459</v>
      </c>
      <c r="V362" s="1" t="s">
        <v>1460</v>
      </c>
      <c r="W362" s="1" t="s">
        <v>1461</v>
      </c>
      <c r="X362" s="1" t="s">
        <v>1462</v>
      </c>
      <c r="Y362" s="1" t="s">
        <v>1450</v>
      </c>
      <c r="Z362" s="1" t="s">
        <v>1463</v>
      </c>
      <c r="AA362" s="1" t="s">
        <v>74</v>
      </c>
      <c r="AB362" s="1" t="s">
        <v>1464</v>
      </c>
      <c r="AC362" s="1" t="s">
        <v>1465</v>
      </c>
      <c r="AD362" s="1" t="s">
        <v>1466</v>
      </c>
      <c r="AE362" s="1" t="s">
        <v>1467</v>
      </c>
      <c r="AF362" s="1" t="s">
        <v>74</v>
      </c>
      <c r="AG362" s="1">
        <v>83</v>
      </c>
      <c r="AH362" s="1">
        <v>72</v>
      </c>
      <c r="AI362" s="1">
        <v>72</v>
      </c>
      <c r="AJ362" s="1">
        <v>17</v>
      </c>
      <c r="AK362" s="1">
        <v>129</v>
      </c>
      <c r="AL362" s="1" t="s">
        <v>144</v>
      </c>
      <c r="AM362" s="1" t="s">
        <v>145</v>
      </c>
      <c r="AN362" s="1" t="s">
        <v>146</v>
      </c>
      <c r="AO362" s="1" t="s">
        <v>147</v>
      </c>
      <c r="AP362" s="1" t="s">
        <v>148</v>
      </c>
      <c r="AQ362" s="1" t="s">
        <v>74</v>
      </c>
      <c r="AR362" s="1" t="s">
        <v>149</v>
      </c>
      <c r="AS362" s="1" t="s">
        <v>150</v>
      </c>
      <c r="AT362" s="1" t="s">
        <v>469</v>
      </c>
      <c r="AU362" s="1">
        <v>2018</v>
      </c>
      <c r="AV362" s="1">
        <v>55</v>
      </c>
      <c r="AW362" s="1">
        <v>4</v>
      </c>
      <c r="AX362" s="1" t="s">
        <v>74</v>
      </c>
      <c r="AY362" s="1" t="s">
        <v>74</v>
      </c>
      <c r="AZ362" s="1" t="s">
        <v>74</v>
      </c>
      <c r="BA362" s="1" t="s">
        <v>74</v>
      </c>
      <c r="BB362" s="1">
        <v>541</v>
      </c>
      <c r="BC362" s="1">
        <v>555</v>
      </c>
      <c r="BD362" s="1" t="s">
        <v>74</v>
      </c>
      <c r="BE362" s="1" t="s">
        <v>1468</v>
      </c>
      <c r="BF362" s="1" t="str">
        <f>HYPERLINK("http://dx.doi.org/10.1509/jmr.16.0118","http://dx.doi.org/10.1509/jmr.16.0118")</f>
        <v>http://dx.doi.org/10.1509/jmr.16.0118</v>
      </c>
      <c r="BG362" s="1" t="s">
        <v>74</v>
      </c>
      <c r="BH362" s="1" t="s">
        <v>74</v>
      </c>
      <c r="BI362" s="1">
        <v>15</v>
      </c>
      <c r="BJ362" s="1" t="s">
        <v>153</v>
      </c>
      <c r="BK362" s="1" t="s">
        <v>101</v>
      </c>
      <c r="BL362" s="1" t="s">
        <v>154</v>
      </c>
      <c r="BM362" s="1" t="s">
        <v>1469</v>
      </c>
      <c r="BN362" s="1" t="s">
        <v>74</v>
      </c>
      <c r="BO362" s="1" t="s">
        <v>367</v>
      </c>
      <c r="BP362" s="1" t="s">
        <v>74</v>
      </c>
      <c r="BQ362" s="1" t="s">
        <v>74</v>
      </c>
      <c r="BR362" s="1" t="s">
        <v>104</v>
      </c>
      <c r="BS362" s="1" t="s">
        <v>1470</v>
      </c>
      <c r="BT362" s="1" t="str">
        <f>HYPERLINK("https%3A%2F%2Fwww.webofscience.com%2Fwos%2Fwoscc%2Ffull-record%2FWOS:000439284200006","View Full Record in Web of Science")</f>
        <v>View Full Record in Web of Science</v>
      </c>
      <c r="BU362" s="1" t="s">
        <v>3776</v>
      </c>
      <c r="BV362" s="1" t="s">
        <v>6080</v>
      </c>
      <c r="BW362" s="1" t="s">
        <v>6080</v>
      </c>
    </row>
    <row r="363" spans="1:75" ht="409.5" x14ac:dyDescent="0.35">
      <c r="A363" s="1" t="s">
        <v>72</v>
      </c>
      <c r="B363" s="1" t="s">
        <v>5243</v>
      </c>
      <c r="C363" s="1" t="s">
        <v>74</v>
      </c>
      <c r="D363" s="1" t="s">
        <v>74</v>
      </c>
      <c r="E363" s="1" t="s">
        <v>74</v>
      </c>
      <c r="F363" s="1" t="s">
        <v>5244</v>
      </c>
      <c r="G363" s="1" t="s">
        <v>74</v>
      </c>
      <c r="H363" s="1" t="s">
        <v>74</v>
      </c>
      <c r="I363" s="1" t="s">
        <v>5245</v>
      </c>
      <c r="J363" s="1" t="s">
        <v>788</v>
      </c>
      <c r="K363" s="1" t="s">
        <v>74</v>
      </c>
      <c r="L363" s="1" t="s">
        <v>74</v>
      </c>
      <c r="M363" s="1" t="s">
        <v>78</v>
      </c>
      <c r="N363" s="1" t="s">
        <v>79</v>
      </c>
      <c r="O363" s="1" t="s">
        <v>74</v>
      </c>
      <c r="P363" s="1" t="s">
        <v>74</v>
      </c>
      <c r="Q363" s="1" t="s">
        <v>74</v>
      </c>
      <c r="R363" s="1" t="s">
        <v>74</v>
      </c>
      <c r="S363" s="1" t="s">
        <v>74</v>
      </c>
      <c r="T363" s="1" t="s">
        <v>5246</v>
      </c>
      <c r="U363" s="1" t="s">
        <v>5247</v>
      </c>
      <c r="V363" s="1" t="s">
        <v>5248</v>
      </c>
      <c r="W363" s="1" t="s">
        <v>5249</v>
      </c>
      <c r="X363" s="1" t="s">
        <v>5250</v>
      </c>
      <c r="Y363" s="1" t="s">
        <v>5251</v>
      </c>
      <c r="Z363" s="1" t="s">
        <v>5252</v>
      </c>
      <c r="AA363" s="1" t="s">
        <v>74</v>
      </c>
      <c r="AB363" s="1" t="s">
        <v>5253</v>
      </c>
      <c r="AC363" s="1" t="s">
        <v>74</v>
      </c>
      <c r="AD363" s="1" t="s">
        <v>74</v>
      </c>
      <c r="AE363" s="1" t="s">
        <v>74</v>
      </c>
      <c r="AF363" s="1" t="s">
        <v>74</v>
      </c>
      <c r="AG363" s="1">
        <v>60</v>
      </c>
      <c r="AH363" s="1">
        <v>49</v>
      </c>
      <c r="AI363" s="1">
        <v>49</v>
      </c>
      <c r="AJ363" s="1">
        <v>10</v>
      </c>
      <c r="AK363" s="1">
        <v>72</v>
      </c>
      <c r="AL363" s="1" t="s">
        <v>409</v>
      </c>
      <c r="AM363" s="1" t="s">
        <v>410</v>
      </c>
      <c r="AN363" s="1" t="s">
        <v>411</v>
      </c>
      <c r="AO363" s="1" t="s">
        <v>800</v>
      </c>
      <c r="AP363" s="1" t="s">
        <v>801</v>
      </c>
      <c r="AQ363" s="1" t="s">
        <v>74</v>
      </c>
      <c r="AR363" s="1" t="s">
        <v>802</v>
      </c>
      <c r="AS363" s="1" t="s">
        <v>803</v>
      </c>
      <c r="AT363" s="1" t="s">
        <v>348</v>
      </c>
      <c r="AU363" s="1">
        <v>2018</v>
      </c>
      <c r="AV363" s="1">
        <v>35</v>
      </c>
      <c r="AW363" s="1">
        <v>4</v>
      </c>
      <c r="AX363" s="1" t="s">
        <v>74</v>
      </c>
      <c r="AY363" s="1" t="s">
        <v>74</v>
      </c>
      <c r="AZ363" s="1" t="s">
        <v>74</v>
      </c>
      <c r="BA363" s="1" t="s">
        <v>74</v>
      </c>
      <c r="BB363" s="1">
        <v>538</v>
      </c>
      <c r="BC363" s="1">
        <v>556</v>
      </c>
      <c r="BD363" s="1" t="s">
        <v>74</v>
      </c>
      <c r="BE363" s="1" t="s">
        <v>5254</v>
      </c>
      <c r="BF363" s="1" t="str">
        <f>HYPERLINK("http://dx.doi.org/10.1016/j.ijresmar.2018.08.002","http://dx.doi.org/10.1016/j.ijresmar.2018.08.002")</f>
        <v>http://dx.doi.org/10.1016/j.ijresmar.2018.08.002</v>
      </c>
      <c r="BG363" s="1" t="s">
        <v>74</v>
      </c>
      <c r="BH363" s="1" t="s">
        <v>74</v>
      </c>
      <c r="BI363" s="1">
        <v>19</v>
      </c>
      <c r="BJ363" s="1" t="s">
        <v>153</v>
      </c>
      <c r="BK363" s="1" t="s">
        <v>101</v>
      </c>
      <c r="BL363" s="1" t="s">
        <v>154</v>
      </c>
      <c r="BM363" s="1" t="s">
        <v>5255</v>
      </c>
      <c r="BN363" s="1" t="s">
        <v>74</v>
      </c>
      <c r="BO363" s="1" t="s">
        <v>74</v>
      </c>
      <c r="BP363" s="1" t="s">
        <v>74</v>
      </c>
      <c r="BQ363" s="1" t="s">
        <v>74</v>
      </c>
      <c r="BR363" s="1" t="s">
        <v>4296</v>
      </c>
      <c r="BS363" s="1" t="s">
        <v>5256</v>
      </c>
      <c r="BT363" s="1" t="str">
        <f>HYPERLINK("https%3A%2F%2Fwww.webofscience.com%2Fwos%2Fwoscc%2Ffull-record%2FWOS:000460857400003","View Full Record in Web of Science")</f>
        <v>View Full Record in Web of Science</v>
      </c>
      <c r="BU363" s="1" t="s">
        <v>5876</v>
      </c>
      <c r="BV363" s="1" t="s">
        <v>6080</v>
      </c>
      <c r="BW363" s="1" t="s">
        <v>6080</v>
      </c>
    </row>
    <row r="364" spans="1:75" ht="362.5" x14ac:dyDescent="0.35">
      <c r="A364" s="1" t="s">
        <v>72</v>
      </c>
      <c r="B364" s="1" t="s">
        <v>5257</v>
      </c>
      <c r="C364" s="1" t="s">
        <v>74</v>
      </c>
      <c r="D364" s="1" t="s">
        <v>74</v>
      </c>
      <c r="E364" s="1" t="s">
        <v>74</v>
      </c>
      <c r="F364" s="1" t="s">
        <v>5258</v>
      </c>
      <c r="G364" s="1" t="s">
        <v>74</v>
      </c>
      <c r="H364" s="1" t="s">
        <v>74</v>
      </c>
      <c r="I364" s="1" t="s">
        <v>5259</v>
      </c>
      <c r="J364" s="1" t="s">
        <v>436</v>
      </c>
      <c r="K364" s="1" t="s">
        <v>74</v>
      </c>
      <c r="L364" s="1" t="s">
        <v>74</v>
      </c>
      <c r="M364" s="1" t="s">
        <v>78</v>
      </c>
      <c r="N364" s="1" t="s">
        <v>79</v>
      </c>
      <c r="O364" s="1" t="s">
        <v>74</v>
      </c>
      <c r="P364" s="1" t="s">
        <v>74</v>
      </c>
      <c r="Q364" s="1" t="s">
        <v>74</v>
      </c>
      <c r="R364" s="1" t="s">
        <v>74</v>
      </c>
      <c r="S364" s="1" t="s">
        <v>74</v>
      </c>
      <c r="T364" s="1" t="s">
        <v>5260</v>
      </c>
      <c r="U364" s="1" t="s">
        <v>5261</v>
      </c>
      <c r="V364" s="1" t="s">
        <v>5262</v>
      </c>
      <c r="W364" s="1" t="s">
        <v>5263</v>
      </c>
      <c r="X364" s="1" t="s">
        <v>5264</v>
      </c>
      <c r="Y364" s="1" t="s">
        <v>5265</v>
      </c>
      <c r="Z364" s="1" t="s">
        <v>5266</v>
      </c>
      <c r="AA364" s="1" t="s">
        <v>4605</v>
      </c>
      <c r="AB364" s="1" t="s">
        <v>5267</v>
      </c>
      <c r="AC364" s="1" t="s">
        <v>74</v>
      </c>
      <c r="AD364" s="1" t="s">
        <v>74</v>
      </c>
      <c r="AE364" s="1" t="s">
        <v>74</v>
      </c>
      <c r="AF364" s="1" t="s">
        <v>74</v>
      </c>
      <c r="AG364" s="1">
        <v>62</v>
      </c>
      <c r="AH364" s="1">
        <v>36</v>
      </c>
      <c r="AI364" s="1">
        <v>36</v>
      </c>
      <c r="AJ364" s="1">
        <v>8</v>
      </c>
      <c r="AK364" s="1">
        <v>64</v>
      </c>
      <c r="AL364" s="1" t="s">
        <v>446</v>
      </c>
      <c r="AM364" s="1" t="s">
        <v>447</v>
      </c>
      <c r="AN364" s="1" t="s">
        <v>448</v>
      </c>
      <c r="AO364" s="1" t="s">
        <v>449</v>
      </c>
      <c r="AP364" s="1" t="s">
        <v>450</v>
      </c>
      <c r="AQ364" s="1" t="s">
        <v>74</v>
      </c>
      <c r="AR364" s="1" t="s">
        <v>451</v>
      </c>
      <c r="AS364" s="1" t="s">
        <v>452</v>
      </c>
      <c r="AT364" s="1" t="s">
        <v>453</v>
      </c>
      <c r="AU364" s="1">
        <v>2018</v>
      </c>
      <c r="AV364" s="1">
        <v>37</v>
      </c>
      <c r="AW364" s="1">
        <v>6</v>
      </c>
      <c r="AX364" s="1" t="s">
        <v>74</v>
      </c>
      <c r="AY364" s="1" t="s">
        <v>74</v>
      </c>
      <c r="AZ364" s="1" t="s">
        <v>74</v>
      </c>
      <c r="BA364" s="1" t="s">
        <v>74</v>
      </c>
      <c r="BB364" s="1">
        <v>930</v>
      </c>
      <c r="BC364" s="1">
        <v>952</v>
      </c>
      <c r="BD364" s="1" t="s">
        <v>74</v>
      </c>
      <c r="BE364" s="1" t="s">
        <v>5268</v>
      </c>
      <c r="BF364" s="1" t="str">
        <f>HYPERLINK("http://dx.doi.org/10.1287/mksc.2018.1112","http://dx.doi.org/10.1287/mksc.2018.1112")</f>
        <v>http://dx.doi.org/10.1287/mksc.2018.1112</v>
      </c>
      <c r="BG364" s="1" t="s">
        <v>74</v>
      </c>
      <c r="BH364" s="1" t="s">
        <v>74</v>
      </c>
      <c r="BI364" s="1">
        <v>23</v>
      </c>
      <c r="BJ364" s="1" t="s">
        <v>153</v>
      </c>
      <c r="BK364" s="1" t="s">
        <v>101</v>
      </c>
      <c r="BL364" s="1" t="s">
        <v>154</v>
      </c>
      <c r="BM364" s="1" t="s">
        <v>4242</v>
      </c>
      <c r="BN364" s="1" t="s">
        <v>74</v>
      </c>
      <c r="BO364" s="1" t="s">
        <v>74</v>
      </c>
      <c r="BP364" s="1" t="s">
        <v>74</v>
      </c>
      <c r="BQ364" s="1" t="s">
        <v>74</v>
      </c>
      <c r="BR364" s="1" t="s">
        <v>4296</v>
      </c>
      <c r="BS364" s="1" t="s">
        <v>5269</v>
      </c>
      <c r="BT364" s="1" t="str">
        <f>HYPERLINK("https%3A%2F%2Fwww.webofscience.com%2Fwos%2Fwoscc%2Ffull-record%2FWOS:000454415700004","View Full Record in Web of Science")</f>
        <v>View Full Record in Web of Science</v>
      </c>
      <c r="BU364" s="1" t="s">
        <v>5876</v>
      </c>
      <c r="BV364" s="1" t="s">
        <v>6080</v>
      </c>
      <c r="BW364" s="1" t="s">
        <v>6080</v>
      </c>
    </row>
    <row r="365" spans="1:75" ht="409.5" x14ac:dyDescent="0.35">
      <c r="A365" s="1" t="s">
        <v>72</v>
      </c>
      <c r="B365" s="1" t="s">
        <v>1637</v>
      </c>
      <c r="C365" s="1" t="s">
        <v>74</v>
      </c>
      <c r="D365" s="1" t="s">
        <v>74</v>
      </c>
      <c r="E365" s="1" t="s">
        <v>74</v>
      </c>
      <c r="F365" s="1" t="s">
        <v>1638</v>
      </c>
      <c r="G365" s="1" t="s">
        <v>74</v>
      </c>
      <c r="H365" s="1" t="s">
        <v>74</v>
      </c>
      <c r="I365" s="1" t="s">
        <v>1639</v>
      </c>
      <c r="J365" s="1" t="s">
        <v>1640</v>
      </c>
      <c r="K365" s="1" t="s">
        <v>74</v>
      </c>
      <c r="L365" s="1" t="s">
        <v>74</v>
      </c>
      <c r="M365" s="1" t="s">
        <v>78</v>
      </c>
      <c r="N365" s="1" t="s">
        <v>79</v>
      </c>
      <c r="O365" s="1" t="s">
        <v>74</v>
      </c>
      <c r="P365" s="1" t="s">
        <v>74</v>
      </c>
      <c r="Q365" s="1" t="s">
        <v>74</v>
      </c>
      <c r="R365" s="1" t="s">
        <v>74</v>
      </c>
      <c r="S365" s="1" t="s">
        <v>74</v>
      </c>
      <c r="T365" s="1" t="s">
        <v>1641</v>
      </c>
      <c r="U365" s="1" t="s">
        <v>1642</v>
      </c>
      <c r="V365" s="1" t="s">
        <v>1643</v>
      </c>
      <c r="W365" s="1" t="s">
        <v>1644</v>
      </c>
      <c r="X365" s="1" t="s">
        <v>916</v>
      </c>
      <c r="Y365" s="1" t="s">
        <v>1645</v>
      </c>
      <c r="Z365" s="1" t="s">
        <v>1646</v>
      </c>
      <c r="AA365" s="1" t="s">
        <v>74</v>
      </c>
      <c r="AB365" s="1" t="s">
        <v>74</v>
      </c>
      <c r="AC365" s="1" t="s">
        <v>74</v>
      </c>
      <c r="AD365" s="1" t="s">
        <v>74</v>
      </c>
      <c r="AE365" s="1" t="s">
        <v>74</v>
      </c>
      <c r="AF365" s="1" t="s">
        <v>74</v>
      </c>
      <c r="AG365" s="1">
        <v>56</v>
      </c>
      <c r="AH365" s="1">
        <v>31</v>
      </c>
      <c r="AI365" s="1">
        <v>31</v>
      </c>
      <c r="AJ365" s="1">
        <v>6</v>
      </c>
      <c r="AK365" s="1">
        <v>23</v>
      </c>
      <c r="AL365" s="1" t="s">
        <v>820</v>
      </c>
      <c r="AM365" s="1" t="s">
        <v>325</v>
      </c>
      <c r="AN365" s="1" t="s">
        <v>821</v>
      </c>
      <c r="AO365" s="1" t="s">
        <v>1647</v>
      </c>
      <c r="AP365" s="1" t="s">
        <v>1648</v>
      </c>
      <c r="AQ365" s="1" t="s">
        <v>74</v>
      </c>
      <c r="AR365" s="1" t="s">
        <v>1649</v>
      </c>
      <c r="AS365" s="1" t="s">
        <v>1650</v>
      </c>
      <c r="AT365" s="1" t="s">
        <v>469</v>
      </c>
      <c r="AU365" s="1">
        <v>2018</v>
      </c>
      <c r="AV365" s="1">
        <v>50</v>
      </c>
      <c r="AW365" s="1">
        <v>4</v>
      </c>
      <c r="AX365" s="1" t="s">
        <v>74</v>
      </c>
      <c r="AY365" s="1" t="s">
        <v>74</v>
      </c>
      <c r="AZ365" s="1" t="s">
        <v>74</v>
      </c>
      <c r="BA365" s="1" t="s">
        <v>74</v>
      </c>
      <c r="BB365" s="1">
        <v>1327</v>
      </c>
      <c r="BC365" s="1">
        <v>1344</v>
      </c>
      <c r="BD365" s="1" t="s">
        <v>74</v>
      </c>
      <c r="BE365" s="1" t="s">
        <v>1651</v>
      </c>
      <c r="BF365" s="1" t="str">
        <f>HYPERLINK("http://dx.doi.org/10.3758/s13428-017-0975-6","http://dx.doi.org/10.3758/s13428-017-0975-6")</f>
        <v>http://dx.doi.org/10.3758/s13428-017-0975-6</v>
      </c>
      <c r="BG365" s="1" t="s">
        <v>74</v>
      </c>
      <c r="BH365" s="1" t="s">
        <v>74</v>
      </c>
      <c r="BI365" s="1">
        <v>18</v>
      </c>
      <c r="BJ365" s="1" t="s">
        <v>1652</v>
      </c>
      <c r="BK365" s="1" t="s">
        <v>101</v>
      </c>
      <c r="BL365" s="1" t="s">
        <v>102</v>
      </c>
      <c r="BM365" s="1" t="s">
        <v>1653</v>
      </c>
      <c r="BN365" s="1">
        <v>29052167</v>
      </c>
      <c r="BO365" s="1" t="s">
        <v>334</v>
      </c>
      <c r="BP365" s="1" t="s">
        <v>74</v>
      </c>
      <c r="BQ365" s="1" t="s">
        <v>74</v>
      </c>
      <c r="BR365" s="1" t="s">
        <v>4296</v>
      </c>
      <c r="BS365" s="1" t="s">
        <v>1654</v>
      </c>
      <c r="BT365" s="1" t="str">
        <f>HYPERLINK("https%3A%2F%2Fwww.webofscience.com%2Fwos%2Fwoscc%2Ffull-record%2FWOS:000440459100002","View Full Record in Web of Science")</f>
        <v>View Full Record in Web of Science</v>
      </c>
      <c r="BU365" s="1" t="s">
        <v>5876</v>
      </c>
      <c r="BV365" s="1" t="s">
        <v>10653</v>
      </c>
    </row>
    <row r="366" spans="1:75" ht="304.5" x14ac:dyDescent="0.35">
      <c r="A366" s="1" t="s">
        <v>72</v>
      </c>
      <c r="B366" s="1" t="s">
        <v>5270</v>
      </c>
      <c r="C366" s="1" t="s">
        <v>74</v>
      </c>
      <c r="D366" s="1" t="s">
        <v>74</v>
      </c>
      <c r="E366" s="1" t="s">
        <v>74</v>
      </c>
      <c r="F366" s="1" t="s">
        <v>5271</v>
      </c>
      <c r="G366" s="1" t="s">
        <v>74</v>
      </c>
      <c r="H366" s="1" t="s">
        <v>74</v>
      </c>
      <c r="I366" s="1" t="s">
        <v>5272</v>
      </c>
      <c r="J366" s="1" t="s">
        <v>810</v>
      </c>
      <c r="K366" s="1" t="s">
        <v>74</v>
      </c>
      <c r="L366" s="1" t="s">
        <v>74</v>
      </c>
      <c r="M366" s="1" t="s">
        <v>78</v>
      </c>
      <c r="N366" s="1" t="s">
        <v>110</v>
      </c>
      <c r="O366" s="1" t="s">
        <v>74</v>
      </c>
      <c r="P366" s="1" t="s">
        <v>74</v>
      </c>
      <c r="Q366" s="1" t="s">
        <v>74</v>
      </c>
      <c r="R366" s="1" t="s">
        <v>74</v>
      </c>
      <c r="S366" s="1" t="s">
        <v>74</v>
      </c>
      <c r="T366" s="1" t="s">
        <v>5273</v>
      </c>
      <c r="U366" s="1" t="s">
        <v>5274</v>
      </c>
      <c r="V366" s="1" t="s">
        <v>5275</v>
      </c>
      <c r="W366" s="1" t="s">
        <v>5276</v>
      </c>
      <c r="X366" s="1" t="s">
        <v>5277</v>
      </c>
      <c r="Y366" s="1" t="s">
        <v>5278</v>
      </c>
      <c r="Z366" s="1" t="s">
        <v>5279</v>
      </c>
      <c r="AA366" s="1" t="s">
        <v>5280</v>
      </c>
      <c r="AB366" s="1" t="s">
        <v>74</v>
      </c>
      <c r="AC366" s="1" t="s">
        <v>74</v>
      </c>
      <c r="AD366" s="1" t="s">
        <v>74</v>
      </c>
      <c r="AE366" s="1" t="s">
        <v>74</v>
      </c>
      <c r="AF366" s="1" t="s">
        <v>74</v>
      </c>
      <c r="AG366" s="1">
        <v>201</v>
      </c>
      <c r="AH366" s="1">
        <v>97</v>
      </c>
      <c r="AI366" s="1">
        <v>101</v>
      </c>
      <c r="AJ366" s="1">
        <v>15</v>
      </c>
      <c r="AK366" s="1">
        <v>199</v>
      </c>
      <c r="AL366" s="1" t="s">
        <v>820</v>
      </c>
      <c r="AM366" s="1" t="s">
        <v>325</v>
      </c>
      <c r="AN366" s="1" t="s">
        <v>1604</v>
      </c>
      <c r="AO366" s="1" t="s">
        <v>822</v>
      </c>
      <c r="AP366" s="1" t="s">
        <v>823</v>
      </c>
      <c r="AQ366" s="1" t="s">
        <v>74</v>
      </c>
      <c r="AR366" s="1" t="s">
        <v>824</v>
      </c>
      <c r="AS366" s="1" t="s">
        <v>825</v>
      </c>
      <c r="AT366" s="1" t="s">
        <v>98</v>
      </c>
      <c r="AU366" s="1">
        <v>2018</v>
      </c>
      <c r="AV366" s="1">
        <v>46</v>
      </c>
      <c r="AW366" s="1">
        <v>4</v>
      </c>
      <c r="AX366" s="1" t="s">
        <v>74</v>
      </c>
      <c r="AY366" s="1" t="s">
        <v>74</v>
      </c>
      <c r="AZ366" s="1" t="s">
        <v>74</v>
      </c>
      <c r="BA366" s="1" t="s">
        <v>74</v>
      </c>
      <c r="BB366" s="1">
        <v>557</v>
      </c>
      <c r="BC366" s="1">
        <v>590</v>
      </c>
      <c r="BD366" s="1" t="s">
        <v>74</v>
      </c>
      <c r="BE366" s="1" t="s">
        <v>5281</v>
      </c>
      <c r="BF366" s="1" t="str">
        <f>HYPERLINK("http://dx.doi.org/10.1007/s11747-018-0581-x","http://dx.doi.org/10.1007/s11747-018-0581-x")</f>
        <v>http://dx.doi.org/10.1007/s11747-018-0581-x</v>
      </c>
      <c r="BG366" s="1" t="s">
        <v>74</v>
      </c>
      <c r="BH366" s="1" t="s">
        <v>74</v>
      </c>
      <c r="BI366" s="1">
        <v>34</v>
      </c>
      <c r="BJ366" s="1" t="s">
        <v>153</v>
      </c>
      <c r="BK366" s="1" t="s">
        <v>101</v>
      </c>
      <c r="BL366" s="1" t="s">
        <v>154</v>
      </c>
      <c r="BM366" s="1" t="s">
        <v>5282</v>
      </c>
      <c r="BN366" s="1" t="s">
        <v>74</v>
      </c>
      <c r="BO366" s="1" t="s">
        <v>74</v>
      </c>
      <c r="BP366" s="1" t="s">
        <v>74</v>
      </c>
      <c r="BQ366" s="1" t="s">
        <v>74</v>
      </c>
      <c r="BR366" s="1" t="s">
        <v>4296</v>
      </c>
      <c r="BS366" s="1" t="s">
        <v>5283</v>
      </c>
      <c r="BT366" s="1" t="str">
        <f>HYPERLINK("https%3A%2F%2Fwww.webofscience.com%2Fwos%2Fwoscc%2Ffull-record%2FWOS:000435923000001","View Full Record in Web of Science")</f>
        <v>View Full Record in Web of Science</v>
      </c>
      <c r="BU366" s="1" t="s">
        <v>5876</v>
      </c>
      <c r="BV366" s="1" t="s">
        <v>6080</v>
      </c>
      <c r="BW366" s="1" t="s">
        <v>6080</v>
      </c>
    </row>
    <row r="367" spans="1:75" ht="333.5" x14ac:dyDescent="0.35">
      <c r="A367" s="1" t="s">
        <v>72</v>
      </c>
      <c r="B367" s="1" t="s">
        <v>1078</v>
      </c>
      <c r="C367" s="1" t="s">
        <v>74</v>
      </c>
      <c r="D367" s="1" t="s">
        <v>74</v>
      </c>
      <c r="E367" s="1" t="s">
        <v>74</v>
      </c>
      <c r="F367" s="1" t="s">
        <v>1079</v>
      </c>
      <c r="G367" s="1" t="s">
        <v>74</v>
      </c>
      <c r="H367" s="1" t="s">
        <v>74</v>
      </c>
      <c r="I367" s="1" t="s">
        <v>1080</v>
      </c>
      <c r="J367" s="1" t="s">
        <v>240</v>
      </c>
      <c r="K367" s="1" t="s">
        <v>74</v>
      </c>
      <c r="L367" s="1" t="s">
        <v>74</v>
      </c>
      <c r="M367" s="1" t="s">
        <v>78</v>
      </c>
      <c r="N367" s="1" t="s">
        <v>79</v>
      </c>
      <c r="O367" s="1" t="s">
        <v>74</v>
      </c>
      <c r="P367" s="1" t="s">
        <v>74</v>
      </c>
      <c r="Q367" s="1" t="s">
        <v>74</v>
      </c>
      <c r="R367" s="1" t="s">
        <v>74</v>
      </c>
      <c r="S367" s="1" t="s">
        <v>74</v>
      </c>
      <c r="T367" s="1" t="s">
        <v>1081</v>
      </c>
      <c r="U367" s="1" t="s">
        <v>1082</v>
      </c>
      <c r="V367" s="1" t="s">
        <v>1083</v>
      </c>
      <c r="W367" s="1" t="s">
        <v>1084</v>
      </c>
      <c r="X367" s="1" t="s">
        <v>1085</v>
      </c>
      <c r="Y367" s="1" t="s">
        <v>1086</v>
      </c>
      <c r="Z367" s="1" t="s">
        <v>1087</v>
      </c>
      <c r="AA367" s="1" t="s">
        <v>1088</v>
      </c>
      <c r="AB367" s="1" t="s">
        <v>74</v>
      </c>
      <c r="AC367" s="1" t="s">
        <v>1089</v>
      </c>
      <c r="AD367" s="1" t="s">
        <v>1089</v>
      </c>
      <c r="AE367" s="1" t="s">
        <v>1090</v>
      </c>
      <c r="AF367" s="1" t="s">
        <v>74</v>
      </c>
      <c r="AG367" s="1">
        <v>54</v>
      </c>
      <c r="AH367" s="1">
        <v>37</v>
      </c>
      <c r="AI367" s="1">
        <v>37</v>
      </c>
      <c r="AJ367" s="1">
        <v>41</v>
      </c>
      <c r="AK367" s="1">
        <v>252</v>
      </c>
      <c r="AL367" s="1" t="s">
        <v>232</v>
      </c>
      <c r="AM367" s="1" t="s">
        <v>233</v>
      </c>
      <c r="AN367" s="1" t="s">
        <v>234</v>
      </c>
      <c r="AO367" s="1" t="s">
        <v>254</v>
      </c>
      <c r="AP367" s="1" t="s">
        <v>255</v>
      </c>
      <c r="AQ367" s="1" t="s">
        <v>74</v>
      </c>
      <c r="AR367" s="1" t="s">
        <v>256</v>
      </c>
      <c r="AS367" s="1" t="s">
        <v>257</v>
      </c>
      <c r="AT367" s="1" t="s">
        <v>98</v>
      </c>
      <c r="AU367" s="1">
        <v>2018</v>
      </c>
      <c r="AV367" s="1">
        <v>82</v>
      </c>
      <c r="AW367" s="1">
        <v>4</v>
      </c>
      <c r="AX367" s="1" t="s">
        <v>74</v>
      </c>
      <c r="AY367" s="1" t="s">
        <v>74</v>
      </c>
      <c r="AZ367" s="1" t="s">
        <v>74</v>
      </c>
      <c r="BA367" s="1" t="s">
        <v>74</v>
      </c>
      <c r="BB367" s="1">
        <v>86</v>
      </c>
      <c r="BC367" s="1">
        <v>101</v>
      </c>
      <c r="BD367" s="1" t="s">
        <v>74</v>
      </c>
      <c r="BE367" s="1" t="s">
        <v>1091</v>
      </c>
      <c r="BF367" s="1" t="str">
        <f>HYPERLINK("http://dx.doi.org/10.1509/jm.16.0048","http://dx.doi.org/10.1509/jm.16.0048")</f>
        <v>http://dx.doi.org/10.1509/jm.16.0048</v>
      </c>
      <c r="BG367" s="1" t="s">
        <v>74</v>
      </c>
      <c r="BH367" s="1" t="s">
        <v>74</v>
      </c>
      <c r="BI367" s="1">
        <v>16</v>
      </c>
      <c r="BJ367" s="1" t="s">
        <v>153</v>
      </c>
      <c r="BK367" s="1" t="s">
        <v>101</v>
      </c>
      <c r="BL367" s="1" t="s">
        <v>154</v>
      </c>
      <c r="BM367" s="1" t="s">
        <v>1092</v>
      </c>
      <c r="BN367" s="1" t="s">
        <v>74</v>
      </c>
      <c r="BO367" s="1" t="s">
        <v>74</v>
      </c>
      <c r="BP367" s="1" t="s">
        <v>74</v>
      </c>
      <c r="BQ367" s="1" t="s">
        <v>74</v>
      </c>
      <c r="BR367" s="1" t="s">
        <v>4296</v>
      </c>
      <c r="BS367" s="1" t="s">
        <v>1093</v>
      </c>
      <c r="BT367" s="1" t="str">
        <f>HYPERLINK("https%3A%2F%2Fwww.webofscience.com%2Fwos%2Fwoscc%2Ffull-record%2FWOS:000434798700008","View Full Record in Web of Science")</f>
        <v>View Full Record in Web of Science</v>
      </c>
      <c r="BU367" s="1" t="s">
        <v>5876</v>
      </c>
      <c r="BV367" s="1" t="s">
        <v>6080</v>
      </c>
      <c r="BW367" s="1" t="s">
        <v>6080</v>
      </c>
    </row>
    <row r="368" spans="1:75" ht="362.5" x14ac:dyDescent="0.35">
      <c r="A368" s="1" t="s">
        <v>72</v>
      </c>
      <c r="B368" s="1" t="s">
        <v>5284</v>
      </c>
      <c r="C368" s="1" t="s">
        <v>74</v>
      </c>
      <c r="D368" s="1" t="s">
        <v>74</v>
      </c>
      <c r="E368" s="1" t="s">
        <v>74</v>
      </c>
      <c r="F368" s="1" t="s">
        <v>5285</v>
      </c>
      <c r="G368" s="1" t="s">
        <v>74</v>
      </c>
      <c r="H368" s="1" t="s">
        <v>74</v>
      </c>
      <c r="I368" s="1" t="s">
        <v>5286</v>
      </c>
      <c r="J368" s="1" t="s">
        <v>5287</v>
      </c>
      <c r="K368" s="1" t="s">
        <v>74</v>
      </c>
      <c r="L368" s="1" t="s">
        <v>74</v>
      </c>
      <c r="M368" s="1" t="s">
        <v>78</v>
      </c>
      <c r="N368" s="1" t="s">
        <v>79</v>
      </c>
      <c r="O368" s="1" t="s">
        <v>74</v>
      </c>
      <c r="P368" s="1" t="s">
        <v>74</v>
      </c>
      <c r="Q368" s="1" t="s">
        <v>74</v>
      </c>
      <c r="R368" s="1" t="s">
        <v>74</v>
      </c>
      <c r="S368" s="1" t="s">
        <v>74</v>
      </c>
      <c r="T368" s="1" t="s">
        <v>74</v>
      </c>
      <c r="U368" s="1" t="s">
        <v>5288</v>
      </c>
      <c r="V368" s="1" t="s">
        <v>5289</v>
      </c>
      <c r="W368" s="1" t="s">
        <v>5290</v>
      </c>
      <c r="X368" s="1" t="s">
        <v>5291</v>
      </c>
      <c r="Y368" s="1" t="s">
        <v>5292</v>
      </c>
      <c r="Z368" s="1" t="s">
        <v>5293</v>
      </c>
      <c r="AA368" s="1" t="s">
        <v>5294</v>
      </c>
      <c r="AB368" s="1" t="s">
        <v>5295</v>
      </c>
      <c r="AC368" s="1" t="s">
        <v>5296</v>
      </c>
      <c r="AD368" s="1" t="s">
        <v>5297</v>
      </c>
      <c r="AE368" s="1" t="s">
        <v>5298</v>
      </c>
      <c r="AF368" s="1" t="s">
        <v>74</v>
      </c>
      <c r="AG368" s="1">
        <v>62</v>
      </c>
      <c r="AH368" s="1">
        <v>38</v>
      </c>
      <c r="AI368" s="1">
        <v>39</v>
      </c>
      <c r="AJ368" s="1">
        <v>1</v>
      </c>
      <c r="AK368" s="1">
        <v>39</v>
      </c>
      <c r="AL368" s="1" t="s">
        <v>1033</v>
      </c>
      <c r="AM368" s="1" t="s">
        <v>1034</v>
      </c>
      <c r="AN368" s="1" t="s">
        <v>1035</v>
      </c>
      <c r="AO368" s="1" t="s">
        <v>5299</v>
      </c>
      <c r="AP368" s="1" t="s">
        <v>74</v>
      </c>
      <c r="AQ368" s="1" t="s">
        <v>74</v>
      </c>
      <c r="AR368" s="1" t="s">
        <v>5300</v>
      </c>
      <c r="AS368" s="1" t="s">
        <v>5301</v>
      </c>
      <c r="AT368" s="1" t="s">
        <v>5302</v>
      </c>
      <c r="AU368" s="1">
        <v>2018</v>
      </c>
      <c r="AV368" s="1">
        <v>8</v>
      </c>
      <c r="AW368" s="1" t="s">
        <v>74</v>
      </c>
      <c r="AX368" s="1" t="s">
        <v>74</v>
      </c>
      <c r="AY368" s="1" t="s">
        <v>74</v>
      </c>
      <c r="AZ368" s="1" t="s">
        <v>74</v>
      </c>
      <c r="BA368" s="1" t="s">
        <v>74</v>
      </c>
      <c r="BB368" s="1" t="s">
        <v>74</v>
      </c>
      <c r="BC368" s="1" t="s">
        <v>74</v>
      </c>
      <c r="BD368" s="1">
        <v>8673</v>
      </c>
      <c r="BE368" s="1" t="s">
        <v>5303</v>
      </c>
      <c r="BF368" s="1" t="str">
        <f>HYPERLINK("http://dx.doi.org/10.1038/s41598-018-26951-y","http://dx.doi.org/10.1038/s41598-018-26951-y")</f>
        <v>http://dx.doi.org/10.1038/s41598-018-26951-y</v>
      </c>
      <c r="BG368" s="1" t="s">
        <v>74</v>
      </c>
      <c r="BH368" s="1" t="s">
        <v>74</v>
      </c>
      <c r="BI368" s="1">
        <v>16</v>
      </c>
      <c r="BJ368" s="1" t="s">
        <v>561</v>
      </c>
      <c r="BK368" s="1" t="s">
        <v>520</v>
      </c>
      <c r="BL368" s="1" t="s">
        <v>562</v>
      </c>
      <c r="BM368" s="1" t="s">
        <v>5304</v>
      </c>
      <c r="BN368" s="1">
        <v>29875364</v>
      </c>
      <c r="BO368" s="1" t="s">
        <v>5305</v>
      </c>
      <c r="BP368" s="1" t="s">
        <v>74</v>
      </c>
      <c r="BQ368" s="1" t="s">
        <v>74</v>
      </c>
      <c r="BR368" s="1" t="s">
        <v>4296</v>
      </c>
      <c r="BS368" s="1" t="s">
        <v>5306</v>
      </c>
      <c r="BT368" s="1" t="str">
        <f>HYPERLINK("https%3A%2F%2Fwww.webofscience.com%2Fwos%2Fwoscc%2Ffull-record%2FWOS:000434252000009","View Full Record in Web of Science")</f>
        <v>View Full Record in Web of Science</v>
      </c>
      <c r="BU368" s="1" t="s">
        <v>5876</v>
      </c>
      <c r="BV368" s="1" t="s">
        <v>10653</v>
      </c>
    </row>
    <row r="369" spans="1:75" ht="304.5" x14ac:dyDescent="0.35">
      <c r="A369" s="1" t="s">
        <v>72</v>
      </c>
      <c r="B369" s="1" t="s">
        <v>934</v>
      </c>
      <c r="C369" s="1" t="s">
        <v>74</v>
      </c>
      <c r="D369" s="1" t="s">
        <v>74</v>
      </c>
      <c r="E369" s="1" t="s">
        <v>74</v>
      </c>
      <c r="F369" s="1" t="s">
        <v>935</v>
      </c>
      <c r="G369" s="1" t="s">
        <v>74</v>
      </c>
      <c r="H369" s="1" t="s">
        <v>74</v>
      </c>
      <c r="I369" s="1" t="s">
        <v>936</v>
      </c>
      <c r="J369" s="1" t="s">
        <v>161</v>
      </c>
      <c r="K369" s="1" t="s">
        <v>74</v>
      </c>
      <c r="L369" s="1" t="s">
        <v>74</v>
      </c>
      <c r="M369" s="1" t="s">
        <v>78</v>
      </c>
      <c r="N369" s="1" t="s">
        <v>79</v>
      </c>
      <c r="O369" s="1" t="s">
        <v>74</v>
      </c>
      <c r="P369" s="1" t="s">
        <v>74</v>
      </c>
      <c r="Q369" s="1" t="s">
        <v>74</v>
      </c>
      <c r="R369" s="1" t="s">
        <v>74</v>
      </c>
      <c r="S369" s="1" t="s">
        <v>74</v>
      </c>
      <c r="T369" s="1" t="s">
        <v>937</v>
      </c>
      <c r="U369" s="1" t="s">
        <v>938</v>
      </c>
      <c r="V369" s="1" t="s">
        <v>939</v>
      </c>
      <c r="W369" s="1" t="s">
        <v>940</v>
      </c>
      <c r="X369" s="1" t="s">
        <v>941</v>
      </c>
      <c r="Y369" s="1" t="s">
        <v>942</v>
      </c>
      <c r="Z369" s="1" t="s">
        <v>943</v>
      </c>
      <c r="AA369" s="1" t="s">
        <v>74</v>
      </c>
      <c r="AB369" s="1" t="s">
        <v>944</v>
      </c>
      <c r="AC369" s="1" t="s">
        <v>74</v>
      </c>
      <c r="AD369" s="1" t="s">
        <v>74</v>
      </c>
      <c r="AE369" s="1" t="s">
        <v>74</v>
      </c>
      <c r="AF369" s="1" t="s">
        <v>74</v>
      </c>
      <c r="AG369" s="1">
        <v>274</v>
      </c>
      <c r="AH369" s="1">
        <v>239</v>
      </c>
      <c r="AI369" s="1">
        <v>244</v>
      </c>
      <c r="AJ369" s="1">
        <v>65</v>
      </c>
      <c r="AK369" s="1">
        <v>312</v>
      </c>
      <c r="AL369" s="1" t="s">
        <v>170</v>
      </c>
      <c r="AM369" s="1" t="s">
        <v>171</v>
      </c>
      <c r="AN369" s="1" t="s">
        <v>172</v>
      </c>
      <c r="AO369" s="1" t="s">
        <v>173</v>
      </c>
      <c r="AP369" s="1" t="s">
        <v>174</v>
      </c>
      <c r="AQ369" s="1" t="s">
        <v>74</v>
      </c>
      <c r="AR369" s="1" t="s">
        <v>175</v>
      </c>
      <c r="AS369" s="1" t="s">
        <v>176</v>
      </c>
      <c r="AT369" s="1" t="s">
        <v>294</v>
      </c>
      <c r="AU369" s="1">
        <v>2018</v>
      </c>
      <c r="AV369" s="1">
        <v>44</v>
      </c>
      <c r="AW369" s="1">
        <v>6</v>
      </c>
      <c r="AX369" s="1" t="s">
        <v>74</v>
      </c>
      <c r="AY369" s="1" t="s">
        <v>74</v>
      </c>
      <c r="AZ369" s="1" t="s">
        <v>74</v>
      </c>
      <c r="BA369" s="1" t="s">
        <v>74</v>
      </c>
      <c r="BB369" s="1">
        <v>1274</v>
      </c>
      <c r="BC369" s="1">
        <v>1306</v>
      </c>
      <c r="BD369" s="1" t="s">
        <v>74</v>
      </c>
      <c r="BE369" s="1" t="s">
        <v>945</v>
      </c>
      <c r="BF369" s="1" t="str">
        <f>HYPERLINK("http://dx.doi.org/10.1093/jcr/ucx104","http://dx.doi.org/10.1093/jcr/ucx104")</f>
        <v>http://dx.doi.org/10.1093/jcr/ucx104</v>
      </c>
      <c r="BG369" s="1" t="s">
        <v>74</v>
      </c>
      <c r="BH369" s="1" t="s">
        <v>74</v>
      </c>
      <c r="BI369" s="1">
        <v>33</v>
      </c>
      <c r="BJ369" s="1" t="s">
        <v>153</v>
      </c>
      <c r="BK369" s="1" t="s">
        <v>101</v>
      </c>
      <c r="BL369" s="1" t="s">
        <v>154</v>
      </c>
      <c r="BM369" s="1" t="s">
        <v>946</v>
      </c>
      <c r="BN369" s="1" t="s">
        <v>74</v>
      </c>
      <c r="BO369" s="1" t="s">
        <v>74</v>
      </c>
      <c r="BP369" s="1" t="s">
        <v>218</v>
      </c>
      <c r="BQ369" s="1" t="s">
        <v>219</v>
      </c>
      <c r="BR369" s="1" t="s">
        <v>4296</v>
      </c>
      <c r="BS369" s="1" t="s">
        <v>947</v>
      </c>
      <c r="BT369" s="1" t="str">
        <f>HYPERLINK("https%3A%2F%2Fwww.webofscience.com%2Fwos%2Fwoscc%2Ffull-record%2FWOS:000432334000006","View Full Record in Web of Science")</f>
        <v>View Full Record in Web of Science</v>
      </c>
      <c r="BU369" s="1" t="s">
        <v>5876</v>
      </c>
      <c r="BV369" s="1" t="s">
        <v>6080</v>
      </c>
      <c r="BW369" s="1" t="s">
        <v>10653</v>
      </c>
    </row>
    <row r="370" spans="1:75" ht="409.5" x14ac:dyDescent="0.35">
      <c r="A370" s="1" t="s">
        <v>578</v>
      </c>
      <c r="B370" s="1" t="s">
        <v>5307</v>
      </c>
      <c r="C370" s="1" t="s">
        <v>74</v>
      </c>
      <c r="D370" s="1" t="s">
        <v>74</v>
      </c>
      <c r="E370" s="1" t="s">
        <v>3243</v>
      </c>
      <c r="F370" s="1" t="s">
        <v>5308</v>
      </c>
      <c r="G370" s="1" t="s">
        <v>74</v>
      </c>
      <c r="H370" s="1" t="s">
        <v>74</v>
      </c>
      <c r="I370" s="1" t="s">
        <v>5309</v>
      </c>
      <c r="J370" s="1" t="s">
        <v>5310</v>
      </c>
      <c r="K370" s="1" t="s">
        <v>5311</v>
      </c>
      <c r="L370" s="1" t="s">
        <v>74</v>
      </c>
      <c r="M370" s="1" t="s">
        <v>78</v>
      </c>
      <c r="N370" s="1" t="s">
        <v>584</v>
      </c>
      <c r="O370" s="1" t="s">
        <v>5312</v>
      </c>
      <c r="P370" s="1" t="s">
        <v>5313</v>
      </c>
      <c r="Q370" s="1" t="s">
        <v>5314</v>
      </c>
      <c r="R370" s="1" t="s">
        <v>5315</v>
      </c>
      <c r="S370" s="1" t="s">
        <v>74</v>
      </c>
      <c r="T370" s="1" t="s">
        <v>5316</v>
      </c>
      <c r="U370" s="1" t="s">
        <v>5317</v>
      </c>
      <c r="V370" s="1" t="s">
        <v>5318</v>
      </c>
      <c r="W370" s="1" t="s">
        <v>5319</v>
      </c>
      <c r="X370" s="1" t="s">
        <v>5320</v>
      </c>
      <c r="Y370" s="1" t="s">
        <v>5321</v>
      </c>
      <c r="Z370" s="1" t="s">
        <v>5322</v>
      </c>
      <c r="AA370" s="1" t="s">
        <v>5323</v>
      </c>
      <c r="AB370" s="1" t="s">
        <v>5324</v>
      </c>
      <c r="AC370" s="1" t="s">
        <v>5325</v>
      </c>
      <c r="AD370" s="1" t="s">
        <v>5326</v>
      </c>
      <c r="AE370" s="1" t="s">
        <v>5327</v>
      </c>
      <c r="AF370" s="1" t="s">
        <v>74</v>
      </c>
      <c r="AG370" s="1">
        <v>30</v>
      </c>
      <c r="AH370" s="1">
        <v>4</v>
      </c>
      <c r="AI370" s="1">
        <v>4</v>
      </c>
      <c r="AJ370" s="1">
        <v>3</v>
      </c>
      <c r="AK370" s="1">
        <v>4</v>
      </c>
      <c r="AL370" s="1" t="s">
        <v>3243</v>
      </c>
      <c r="AM370" s="1" t="s">
        <v>325</v>
      </c>
      <c r="AN370" s="1" t="s">
        <v>4053</v>
      </c>
      <c r="AO370" s="1" t="s">
        <v>5328</v>
      </c>
      <c r="AP370" s="1" t="s">
        <v>74</v>
      </c>
      <c r="AQ370" s="1" t="s">
        <v>5329</v>
      </c>
      <c r="AR370" s="1" t="s">
        <v>5330</v>
      </c>
      <c r="AS370" s="1" t="s">
        <v>74</v>
      </c>
      <c r="AT370" s="1" t="s">
        <v>74</v>
      </c>
      <c r="AU370" s="1">
        <v>2018</v>
      </c>
      <c r="AV370" s="1" t="s">
        <v>74</v>
      </c>
      <c r="AW370" s="1" t="s">
        <v>74</v>
      </c>
      <c r="AX370" s="1" t="s">
        <v>74</v>
      </c>
      <c r="AY370" s="1" t="s">
        <v>74</v>
      </c>
      <c r="AZ370" s="1" t="s">
        <v>74</v>
      </c>
      <c r="BA370" s="1" t="s">
        <v>74</v>
      </c>
      <c r="BB370" s="1">
        <v>3657</v>
      </c>
      <c r="BC370" s="1">
        <v>3661</v>
      </c>
      <c r="BD370" s="1" t="s">
        <v>74</v>
      </c>
      <c r="BE370" s="1" t="s">
        <v>74</v>
      </c>
      <c r="BF370" s="1" t="s">
        <v>74</v>
      </c>
      <c r="BG370" s="1" t="s">
        <v>74</v>
      </c>
      <c r="BH370" s="1" t="s">
        <v>74</v>
      </c>
      <c r="BI370" s="1">
        <v>5</v>
      </c>
      <c r="BJ370" s="1" t="s">
        <v>5331</v>
      </c>
      <c r="BK370" s="1" t="s">
        <v>604</v>
      </c>
      <c r="BL370" s="1" t="s">
        <v>5332</v>
      </c>
      <c r="BM370" s="1" t="s">
        <v>5333</v>
      </c>
      <c r="BN370" s="1" t="s">
        <v>74</v>
      </c>
      <c r="BO370" s="1" t="s">
        <v>74</v>
      </c>
      <c r="BP370" s="1" t="s">
        <v>74</v>
      </c>
      <c r="BQ370" s="1" t="s">
        <v>74</v>
      </c>
      <c r="BR370" s="1" t="s">
        <v>4296</v>
      </c>
      <c r="BS370" s="1" t="s">
        <v>5334</v>
      </c>
      <c r="BT370" s="1" t="str">
        <f>HYPERLINK("https%3A%2F%2Fwww.webofscience.com%2Fwos%2Fwoscc%2Ffull-record%2FWOS:000457881303099","View Full Record in Web of Science")</f>
        <v>View Full Record in Web of Science</v>
      </c>
      <c r="BU370" s="1" t="s">
        <v>5876</v>
      </c>
      <c r="BV370" s="1" t="s">
        <v>10653</v>
      </c>
    </row>
    <row r="371" spans="1:75" ht="319" x14ac:dyDescent="0.35">
      <c r="A371" s="1" t="s">
        <v>72</v>
      </c>
      <c r="B371" s="1" t="s">
        <v>5335</v>
      </c>
      <c r="C371" s="1" t="s">
        <v>74</v>
      </c>
      <c r="D371" s="1" t="s">
        <v>74</v>
      </c>
      <c r="E371" s="1" t="s">
        <v>74</v>
      </c>
      <c r="F371" s="1" t="s">
        <v>5336</v>
      </c>
      <c r="G371" s="1" t="s">
        <v>74</v>
      </c>
      <c r="H371" s="1" t="s">
        <v>74</v>
      </c>
      <c r="I371" s="1" t="s">
        <v>5337</v>
      </c>
      <c r="J371" s="1" t="s">
        <v>5338</v>
      </c>
      <c r="K371" s="1" t="s">
        <v>74</v>
      </c>
      <c r="L371" s="1" t="s">
        <v>74</v>
      </c>
      <c r="M371" s="1" t="s">
        <v>78</v>
      </c>
      <c r="N371" s="1" t="s">
        <v>79</v>
      </c>
      <c r="O371" s="1" t="s">
        <v>74</v>
      </c>
      <c r="P371" s="1" t="s">
        <v>74</v>
      </c>
      <c r="Q371" s="1" t="s">
        <v>74</v>
      </c>
      <c r="R371" s="1" t="s">
        <v>74</v>
      </c>
      <c r="S371" s="1" t="s">
        <v>74</v>
      </c>
      <c r="T371" s="1" t="s">
        <v>74</v>
      </c>
      <c r="U371" s="1" t="s">
        <v>74</v>
      </c>
      <c r="V371" s="1" t="s">
        <v>5339</v>
      </c>
      <c r="W371" s="1" t="s">
        <v>5340</v>
      </c>
      <c r="X371" s="1" t="s">
        <v>5341</v>
      </c>
      <c r="Y371" s="1" t="s">
        <v>5342</v>
      </c>
      <c r="Z371" s="1" t="s">
        <v>5343</v>
      </c>
      <c r="AA371" s="1" t="s">
        <v>74</v>
      </c>
      <c r="AB371" s="1" t="s">
        <v>74</v>
      </c>
      <c r="AC371" s="1" t="s">
        <v>5344</v>
      </c>
      <c r="AD371" s="1" t="s">
        <v>5345</v>
      </c>
      <c r="AE371" s="1" t="s">
        <v>5346</v>
      </c>
      <c r="AF371" s="1" t="s">
        <v>74</v>
      </c>
      <c r="AG371" s="1">
        <v>19</v>
      </c>
      <c r="AH371" s="1">
        <v>9</v>
      </c>
      <c r="AI371" s="1">
        <v>10</v>
      </c>
      <c r="AJ371" s="1">
        <v>0</v>
      </c>
      <c r="AK371" s="1">
        <v>10</v>
      </c>
      <c r="AL371" s="1" t="s">
        <v>5347</v>
      </c>
      <c r="AM371" s="1" t="s">
        <v>121</v>
      </c>
      <c r="AN371" s="1" t="s">
        <v>5348</v>
      </c>
      <c r="AO371" s="1" t="s">
        <v>5349</v>
      </c>
      <c r="AP371" s="1" t="s">
        <v>5350</v>
      </c>
      <c r="AQ371" s="1" t="s">
        <v>74</v>
      </c>
      <c r="AR371" s="1" t="s">
        <v>5351</v>
      </c>
      <c r="AS371" s="1" t="s">
        <v>5352</v>
      </c>
      <c r="AT371" s="1" t="s">
        <v>74</v>
      </c>
      <c r="AU371" s="1">
        <v>2018</v>
      </c>
      <c r="AV371" s="1">
        <v>2018</v>
      </c>
      <c r="AW371" s="1" t="s">
        <v>74</v>
      </c>
      <c r="AX371" s="1" t="s">
        <v>74</v>
      </c>
      <c r="AY371" s="1" t="s">
        <v>74</v>
      </c>
      <c r="AZ371" s="1" t="s">
        <v>74</v>
      </c>
      <c r="BA371" s="1" t="s">
        <v>74</v>
      </c>
      <c r="BB371" s="1" t="s">
        <v>74</v>
      </c>
      <c r="BC371" s="1" t="s">
        <v>74</v>
      </c>
      <c r="BD371" s="1">
        <v>9293437</v>
      </c>
      <c r="BE371" s="1" t="s">
        <v>5353</v>
      </c>
      <c r="BF371" s="1" t="str">
        <f>HYPERLINK("http://dx.doi.org/10.1155/2018/9293437","http://dx.doi.org/10.1155/2018/9293437")</f>
        <v>http://dx.doi.org/10.1155/2018/9293437</v>
      </c>
      <c r="BG371" s="1" t="s">
        <v>74</v>
      </c>
      <c r="BH371" s="1" t="s">
        <v>74</v>
      </c>
      <c r="BI371" s="1">
        <v>12</v>
      </c>
      <c r="BJ371" s="1" t="s">
        <v>5354</v>
      </c>
      <c r="BK371" s="1" t="s">
        <v>129</v>
      </c>
      <c r="BL371" s="1" t="s">
        <v>5355</v>
      </c>
      <c r="BM371" s="1" t="s">
        <v>5356</v>
      </c>
      <c r="BN371" s="1">
        <v>29606960</v>
      </c>
      <c r="BO371" s="1" t="s">
        <v>564</v>
      </c>
      <c r="BP371" s="1" t="s">
        <v>74</v>
      </c>
      <c r="BQ371" s="1" t="s">
        <v>74</v>
      </c>
      <c r="BR371" s="1" t="s">
        <v>4296</v>
      </c>
      <c r="BS371" s="1" t="s">
        <v>5357</v>
      </c>
      <c r="BT371" s="1" t="str">
        <f>HYPERLINK("https%3A%2F%2Fwww.webofscience.com%2Fwos%2Fwoscc%2Ffull-record%2FWOS:000424438700001","View Full Record in Web of Science")</f>
        <v>View Full Record in Web of Science</v>
      </c>
      <c r="BU371" s="1" t="s">
        <v>5876</v>
      </c>
      <c r="BV371" s="1" t="s">
        <v>10653</v>
      </c>
    </row>
    <row r="372" spans="1:75" ht="290" x14ac:dyDescent="0.35">
      <c r="A372" s="1" t="s">
        <v>578</v>
      </c>
      <c r="B372" s="1" t="s">
        <v>5358</v>
      </c>
      <c r="C372" s="1" t="s">
        <v>74</v>
      </c>
      <c r="D372" s="1" t="s">
        <v>5359</v>
      </c>
      <c r="E372" s="1" t="s">
        <v>74</v>
      </c>
      <c r="F372" s="1" t="s">
        <v>5360</v>
      </c>
      <c r="G372" s="1" t="s">
        <v>74</v>
      </c>
      <c r="H372" s="1" t="s">
        <v>74</v>
      </c>
      <c r="I372" s="1" t="s">
        <v>5361</v>
      </c>
      <c r="J372" s="1" t="s">
        <v>5362</v>
      </c>
      <c r="K372" s="1" t="s">
        <v>74</v>
      </c>
      <c r="L372" s="1" t="s">
        <v>74</v>
      </c>
      <c r="M372" s="1" t="s">
        <v>78</v>
      </c>
      <c r="N372" s="1" t="s">
        <v>584</v>
      </c>
      <c r="O372" s="1" t="s">
        <v>5363</v>
      </c>
      <c r="P372" s="1" t="s">
        <v>5364</v>
      </c>
      <c r="Q372" s="1" t="s">
        <v>5365</v>
      </c>
      <c r="R372" s="1" t="s">
        <v>5366</v>
      </c>
      <c r="S372" s="1" t="s">
        <v>74</v>
      </c>
      <c r="T372" s="1" t="s">
        <v>5367</v>
      </c>
      <c r="U372" s="1" t="s">
        <v>74</v>
      </c>
      <c r="V372" s="1" t="s">
        <v>5368</v>
      </c>
      <c r="W372" s="1" t="s">
        <v>5369</v>
      </c>
      <c r="X372" s="1" t="s">
        <v>5370</v>
      </c>
      <c r="Y372" s="1" t="s">
        <v>5371</v>
      </c>
      <c r="Z372" s="1" t="s">
        <v>74</v>
      </c>
      <c r="AA372" s="1" t="s">
        <v>5372</v>
      </c>
      <c r="AB372" s="1" t="s">
        <v>5373</v>
      </c>
      <c r="AC372" s="1" t="s">
        <v>5374</v>
      </c>
      <c r="AD372" s="1" t="s">
        <v>5375</v>
      </c>
      <c r="AE372" s="1" t="s">
        <v>5376</v>
      </c>
      <c r="AF372" s="1" t="s">
        <v>74</v>
      </c>
      <c r="AG372" s="1">
        <v>17</v>
      </c>
      <c r="AH372" s="1">
        <v>4</v>
      </c>
      <c r="AI372" s="1">
        <v>4</v>
      </c>
      <c r="AJ372" s="1">
        <v>0</v>
      </c>
      <c r="AK372" s="1">
        <v>2</v>
      </c>
      <c r="AL372" s="1" t="s">
        <v>599</v>
      </c>
      <c r="AM372" s="1" t="s">
        <v>325</v>
      </c>
      <c r="AN372" s="1" t="s">
        <v>5377</v>
      </c>
      <c r="AO372" s="1" t="s">
        <v>74</v>
      </c>
      <c r="AP372" s="1" t="s">
        <v>74</v>
      </c>
      <c r="AQ372" s="1" t="s">
        <v>5378</v>
      </c>
      <c r="AR372" s="1" t="s">
        <v>74</v>
      </c>
      <c r="AS372" s="1" t="s">
        <v>74</v>
      </c>
      <c r="AT372" s="1" t="s">
        <v>74</v>
      </c>
      <c r="AU372" s="1">
        <v>2018</v>
      </c>
      <c r="AV372" s="1" t="s">
        <v>74</v>
      </c>
      <c r="AW372" s="1" t="s">
        <v>74</v>
      </c>
      <c r="AX372" s="1" t="s">
        <v>74</v>
      </c>
      <c r="AY372" s="1" t="s">
        <v>74</v>
      </c>
      <c r="AZ372" s="1" t="s">
        <v>74</v>
      </c>
      <c r="BA372" s="1" t="s">
        <v>74</v>
      </c>
      <c r="BB372" s="1">
        <v>896</v>
      </c>
      <c r="BC372" s="1">
        <v>899</v>
      </c>
      <c r="BD372" s="1" t="s">
        <v>74</v>
      </c>
      <c r="BE372" s="1" t="s">
        <v>5379</v>
      </c>
      <c r="BF372" s="1" t="str">
        <f>HYPERLINK("http://dx.doi.org/10.1145/3236024.3264597","http://dx.doi.org/10.1145/3236024.3264597")</f>
        <v>http://dx.doi.org/10.1145/3236024.3264597</v>
      </c>
      <c r="BG372" s="1" t="s">
        <v>74</v>
      </c>
      <c r="BH372" s="1" t="s">
        <v>74</v>
      </c>
      <c r="BI372" s="1">
        <v>4</v>
      </c>
      <c r="BJ372" s="1" t="s">
        <v>5380</v>
      </c>
      <c r="BK372" s="1" t="s">
        <v>604</v>
      </c>
      <c r="BL372" s="1" t="s">
        <v>417</v>
      </c>
      <c r="BM372" s="1" t="s">
        <v>5381</v>
      </c>
      <c r="BN372" s="1" t="s">
        <v>74</v>
      </c>
      <c r="BO372" s="1" t="s">
        <v>367</v>
      </c>
      <c r="BP372" s="1" t="s">
        <v>74</v>
      </c>
      <c r="BQ372" s="1" t="s">
        <v>74</v>
      </c>
      <c r="BR372" s="1" t="s">
        <v>4296</v>
      </c>
      <c r="BS372" s="1" t="s">
        <v>5382</v>
      </c>
      <c r="BT372" s="1" t="str">
        <f>HYPERLINK("https%3A%2F%2Fwww.webofscience.com%2Fwos%2Fwoscc%2Ffull-record%2FWOS:000460371900099","View Full Record in Web of Science")</f>
        <v>View Full Record in Web of Science</v>
      </c>
      <c r="BU372" s="1" t="s">
        <v>5876</v>
      </c>
      <c r="BV372" s="1" t="s">
        <v>10653</v>
      </c>
    </row>
    <row r="373" spans="1:75" ht="409.5" x14ac:dyDescent="0.35">
      <c r="A373" s="1" t="s">
        <v>72</v>
      </c>
      <c r="B373" s="1" t="s">
        <v>5383</v>
      </c>
      <c r="C373" s="1" t="s">
        <v>74</v>
      </c>
      <c r="D373" s="1" t="s">
        <v>74</v>
      </c>
      <c r="E373" s="1" t="s">
        <v>74</v>
      </c>
      <c r="F373" s="1" t="s">
        <v>5384</v>
      </c>
      <c r="G373" s="1" t="s">
        <v>74</v>
      </c>
      <c r="H373" s="1" t="s">
        <v>74</v>
      </c>
      <c r="I373" s="1" t="s">
        <v>5385</v>
      </c>
      <c r="J373" s="1" t="s">
        <v>5386</v>
      </c>
      <c r="K373" s="1" t="s">
        <v>74</v>
      </c>
      <c r="L373" s="1" t="s">
        <v>74</v>
      </c>
      <c r="M373" s="1" t="s">
        <v>78</v>
      </c>
      <c r="N373" s="1" t="s">
        <v>110</v>
      </c>
      <c r="O373" s="1" t="s">
        <v>74</v>
      </c>
      <c r="P373" s="1" t="s">
        <v>74</v>
      </c>
      <c r="Q373" s="1" t="s">
        <v>74</v>
      </c>
      <c r="R373" s="1" t="s">
        <v>74</v>
      </c>
      <c r="S373" s="1" t="s">
        <v>74</v>
      </c>
      <c r="T373" s="1" t="s">
        <v>5387</v>
      </c>
      <c r="U373" s="1" t="s">
        <v>5388</v>
      </c>
      <c r="V373" s="1" t="s">
        <v>5389</v>
      </c>
      <c r="W373" s="1" t="s">
        <v>5390</v>
      </c>
      <c r="X373" s="1" t="s">
        <v>5391</v>
      </c>
      <c r="Y373" s="1" t="s">
        <v>5392</v>
      </c>
      <c r="Z373" s="1" t="s">
        <v>5393</v>
      </c>
      <c r="AA373" s="1" t="s">
        <v>74</v>
      </c>
      <c r="AB373" s="1" t="s">
        <v>74</v>
      </c>
      <c r="AC373" s="1" t="s">
        <v>74</v>
      </c>
      <c r="AD373" s="1" t="s">
        <v>74</v>
      </c>
      <c r="AE373" s="1" t="s">
        <v>74</v>
      </c>
      <c r="AF373" s="1" t="s">
        <v>74</v>
      </c>
      <c r="AG373" s="1">
        <v>42</v>
      </c>
      <c r="AH373" s="1">
        <v>51</v>
      </c>
      <c r="AI373" s="1">
        <v>52</v>
      </c>
      <c r="AJ373" s="1">
        <v>13</v>
      </c>
      <c r="AK373" s="1">
        <v>89</v>
      </c>
      <c r="AL373" s="1" t="s">
        <v>1982</v>
      </c>
      <c r="AM373" s="1" t="s">
        <v>1983</v>
      </c>
      <c r="AN373" s="1" t="s">
        <v>2573</v>
      </c>
      <c r="AO373" s="1" t="s">
        <v>5394</v>
      </c>
      <c r="AP373" s="1" t="s">
        <v>5395</v>
      </c>
      <c r="AQ373" s="1" t="s">
        <v>74</v>
      </c>
      <c r="AR373" s="1" t="s">
        <v>5396</v>
      </c>
      <c r="AS373" s="1" t="s">
        <v>5397</v>
      </c>
      <c r="AT373" s="1" t="s">
        <v>74</v>
      </c>
      <c r="AU373" s="1">
        <v>2018</v>
      </c>
      <c r="AV373" s="1">
        <v>12</v>
      </c>
      <c r="AW373" s="1">
        <v>2</v>
      </c>
      <c r="AX373" s="1" t="s">
        <v>74</v>
      </c>
      <c r="AY373" s="1" t="s">
        <v>74</v>
      </c>
      <c r="AZ373" s="1" t="s">
        <v>74</v>
      </c>
      <c r="BA373" s="1" t="s">
        <v>74</v>
      </c>
      <c r="BB373" s="1">
        <v>146</v>
      </c>
      <c r="BC373" s="1">
        <v>163</v>
      </c>
      <c r="BD373" s="1" t="s">
        <v>74</v>
      </c>
      <c r="BE373" s="1" t="s">
        <v>5398</v>
      </c>
      <c r="BF373" s="1" t="str">
        <f>HYPERLINK("http://dx.doi.org/10.1108/JRIM-05-2017-0030","http://dx.doi.org/10.1108/JRIM-05-2017-0030")</f>
        <v>http://dx.doi.org/10.1108/JRIM-05-2017-0030</v>
      </c>
      <c r="BG373" s="1" t="s">
        <v>74</v>
      </c>
      <c r="BH373" s="1" t="s">
        <v>74</v>
      </c>
      <c r="BI373" s="1">
        <v>18</v>
      </c>
      <c r="BJ373" s="1" t="s">
        <v>153</v>
      </c>
      <c r="BK373" s="1" t="s">
        <v>101</v>
      </c>
      <c r="BL373" s="1" t="s">
        <v>154</v>
      </c>
      <c r="BM373" s="1" t="s">
        <v>5399</v>
      </c>
      <c r="BN373" s="1" t="s">
        <v>74</v>
      </c>
      <c r="BO373" s="1" t="s">
        <v>74</v>
      </c>
      <c r="BP373" s="1" t="s">
        <v>74</v>
      </c>
      <c r="BQ373" s="1" t="s">
        <v>74</v>
      </c>
      <c r="BR373" s="1" t="s">
        <v>4296</v>
      </c>
      <c r="BS373" s="1" t="s">
        <v>5400</v>
      </c>
      <c r="BT373" s="1" t="str">
        <f>HYPERLINK("https%3A%2F%2Fwww.webofscience.com%2Fwos%2Fwoscc%2Ffull-record%2FWOS:000433075900001","View Full Record in Web of Science")</f>
        <v>View Full Record in Web of Science</v>
      </c>
      <c r="BU373" s="1" t="s">
        <v>5876</v>
      </c>
      <c r="BV373" s="1" t="s">
        <v>6080</v>
      </c>
      <c r="BW373" s="1" t="s">
        <v>10653</v>
      </c>
    </row>
    <row r="374" spans="1:75" ht="319" x14ac:dyDescent="0.35">
      <c r="A374" t="s">
        <v>72</v>
      </c>
      <c r="B374" t="s">
        <v>6446</v>
      </c>
      <c r="C374" t="s">
        <v>74</v>
      </c>
      <c r="D374" t="s">
        <v>74</v>
      </c>
      <c r="E374" t="s">
        <v>74</v>
      </c>
      <c r="F374" t="s">
        <v>6447</v>
      </c>
      <c r="G374" t="s">
        <v>74</v>
      </c>
      <c r="H374" t="s">
        <v>74</v>
      </c>
      <c r="I374" t="s">
        <v>6448</v>
      </c>
      <c r="J374" t="s">
        <v>810</v>
      </c>
      <c r="K374" t="s">
        <v>74</v>
      </c>
      <c r="L374" t="s">
        <v>74</v>
      </c>
      <c r="M374" t="s">
        <v>78</v>
      </c>
      <c r="N374" t="s">
        <v>79</v>
      </c>
      <c r="O374" t="s">
        <v>74</v>
      </c>
      <c r="P374" t="s">
        <v>74</v>
      </c>
      <c r="Q374" t="s">
        <v>74</v>
      </c>
      <c r="R374" t="s">
        <v>74</v>
      </c>
      <c r="S374" t="s">
        <v>74</v>
      </c>
      <c r="T374" t="s">
        <v>6449</v>
      </c>
      <c r="U374" t="s">
        <v>6450</v>
      </c>
      <c r="V374" s="1" t="s">
        <v>6451</v>
      </c>
      <c r="W374" t="s">
        <v>6452</v>
      </c>
      <c r="X374" t="s">
        <v>6453</v>
      </c>
      <c r="Y374" t="s">
        <v>6454</v>
      </c>
      <c r="Z374" t="s">
        <v>6455</v>
      </c>
      <c r="AA374" t="s">
        <v>74</v>
      </c>
      <c r="AB374" t="s">
        <v>74</v>
      </c>
      <c r="AC374" t="s">
        <v>6456</v>
      </c>
      <c r="AD374" t="s">
        <v>6457</v>
      </c>
      <c r="AE374" t="s">
        <v>6458</v>
      </c>
      <c r="AF374" t="s">
        <v>74</v>
      </c>
      <c r="AG374">
        <v>98</v>
      </c>
      <c r="AH374">
        <v>21</v>
      </c>
      <c r="AI374">
        <v>21</v>
      </c>
      <c r="AJ374">
        <v>4</v>
      </c>
      <c r="AK374">
        <v>66</v>
      </c>
      <c r="AL374" t="s">
        <v>820</v>
      </c>
      <c r="AM374" t="s">
        <v>325</v>
      </c>
      <c r="AN374" t="s">
        <v>821</v>
      </c>
      <c r="AO374" t="s">
        <v>822</v>
      </c>
      <c r="AP374" t="s">
        <v>823</v>
      </c>
      <c r="AQ374" t="s">
        <v>74</v>
      </c>
      <c r="AR374" t="s">
        <v>824</v>
      </c>
      <c r="AS374" t="s">
        <v>825</v>
      </c>
      <c r="AT374" t="s">
        <v>704</v>
      </c>
      <c r="AU374">
        <v>2018</v>
      </c>
      <c r="AV374">
        <v>46</v>
      </c>
      <c r="AW374">
        <v>3</v>
      </c>
      <c r="AX374" t="s">
        <v>74</v>
      </c>
      <c r="AY374" t="s">
        <v>74</v>
      </c>
      <c r="AZ374" t="s">
        <v>74</v>
      </c>
      <c r="BA374" t="s">
        <v>74</v>
      </c>
      <c r="BB374">
        <v>537</v>
      </c>
      <c r="BC374">
        <v>556</v>
      </c>
      <c r="BD374" t="s">
        <v>74</v>
      </c>
      <c r="BE374" t="s">
        <v>6459</v>
      </c>
      <c r="BF374" t="str">
        <f>HYPERLINK("http://dx.doi.org/10.1007/s11747-017-0547-4","http://dx.doi.org/10.1007/s11747-017-0547-4")</f>
        <v>http://dx.doi.org/10.1007/s11747-017-0547-4</v>
      </c>
      <c r="BG374" t="s">
        <v>74</v>
      </c>
      <c r="BH374" t="s">
        <v>74</v>
      </c>
      <c r="BI374">
        <v>20</v>
      </c>
      <c r="BJ374" t="s">
        <v>153</v>
      </c>
      <c r="BK374" t="s">
        <v>101</v>
      </c>
      <c r="BL374" t="s">
        <v>154</v>
      </c>
      <c r="BM374" t="s">
        <v>6460</v>
      </c>
      <c r="BN374" t="s">
        <v>74</v>
      </c>
      <c r="BO374" t="s">
        <v>74</v>
      </c>
      <c r="BP374" t="s">
        <v>74</v>
      </c>
      <c r="BQ374" t="s">
        <v>74</v>
      </c>
      <c r="BR374" t="s">
        <v>6098</v>
      </c>
      <c r="BS374" t="s">
        <v>6461</v>
      </c>
      <c r="BT374" t="str">
        <f>HYPERLINK("https%3A%2F%2Fwww.webofscience.com%2Fwos%2Fwoscc%2Ffull-record%2FWOS:000430677000010","View Full Record in Web of Science")</f>
        <v>View Full Record in Web of Science</v>
      </c>
      <c r="BU374" t="s">
        <v>6100</v>
      </c>
      <c r="BV374" s="1" t="s">
        <v>6080</v>
      </c>
      <c r="BW374" s="1" t="s">
        <v>6080</v>
      </c>
    </row>
    <row r="375" spans="1:75" x14ac:dyDescent="0.35">
      <c r="A375" t="s">
        <v>72</v>
      </c>
      <c r="B375" t="s">
        <v>2041</v>
      </c>
      <c r="C375" t="s">
        <v>74</v>
      </c>
      <c r="D375" t="s">
        <v>74</v>
      </c>
      <c r="E375" t="s">
        <v>74</v>
      </c>
      <c r="F375" t="s">
        <v>2042</v>
      </c>
      <c r="G375" t="s">
        <v>74</v>
      </c>
      <c r="H375" t="s">
        <v>74</v>
      </c>
      <c r="I375" t="s">
        <v>2043</v>
      </c>
      <c r="J375" t="s">
        <v>504</v>
      </c>
      <c r="K375" t="s">
        <v>74</v>
      </c>
      <c r="L375" t="s">
        <v>74</v>
      </c>
      <c r="M375" t="s">
        <v>78</v>
      </c>
      <c r="N375" t="s">
        <v>79</v>
      </c>
      <c r="O375" t="s">
        <v>74</v>
      </c>
      <c r="P375" t="s">
        <v>74</v>
      </c>
      <c r="Q375" t="s">
        <v>74</v>
      </c>
      <c r="R375" t="s">
        <v>74</v>
      </c>
      <c r="S375" t="s">
        <v>74</v>
      </c>
      <c r="T375" t="s">
        <v>2044</v>
      </c>
      <c r="U375" t="s">
        <v>2045</v>
      </c>
      <c r="V375" t="s">
        <v>2046</v>
      </c>
      <c r="W375" t="s">
        <v>2047</v>
      </c>
      <c r="X375" t="s">
        <v>2048</v>
      </c>
      <c r="Y375" t="s">
        <v>2049</v>
      </c>
      <c r="Z375" t="s">
        <v>2050</v>
      </c>
      <c r="AA375" t="s">
        <v>74</v>
      </c>
      <c r="AB375" t="s">
        <v>2051</v>
      </c>
      <c r="AC375" t="s">
        <v>2052</v>
      </c>
      <c r="AD375" t="s">
        <v>2052</v>
      </c>
      <c r="AE375" t="s">
        <v>2053</v>
      </c>
      <c r="AF375" t="s">
        <v>74</v>
      </c>
      <c r="AG375">
        <v>59</v>
      </c>
      <c r="AH375">
        <v>310</v>
      </c>
      <c r="AI375">
        <v>314</v>
      </c>
      <c r="AJ375">
        <v>101</v>
      </c>
      <c r="AK375">
        <v>849</v>
      </c>
      <c r="AL375" t="s">
        <v>446</v>
      </c>
      <c r="AM375" t="s">
        <v>447</v>
      </c>
      <c r="AN375" t="s">
        <v>448</v>
      </c>
      <c r="AO375" t="s">
        <v>514</v>
      </c>
      <c r="AP375" t="s">
        <v>574</v>
      </c>
      <c r="AQ375" t="s">
        <v>74</v>
      </c>
      <c r="AR375" t="s">
        <v>515</v>
      </c>
      <c r="AS375" t="s">
        <v>516</v>
      </c>
      <c r="AT375" t="s">
        <v>258</v>
      </c>
      <c r="AU375">
        <v>2018</v>
      </c>
      <c r="AV375">
        <v>64</v>
      </c>
      <c r="AW375">
        <v>11</v>
      </c>
      <c r="AX375" t="s">
        <v>74</v>
      </c>
      <c r="AY375" t="s">
        <v>74</v>
      </c>
      <c r="AZ375" t="s">
        <v>74</v>
      </c>
      <c r="BA375" t="s">
        <v>74</v>
      </c>
      <c r="BB375">
        <v>5105</v>
      </c>
      <c r="BC375">
        <v>5131</v>
      </c>
      <c r="BD375" t="s">
        <v>74</v>
      </c>
      <c r="BE375" t="s">
        <v>2054</v>
      </c>
      <c r="BF375" t="str">
        <f>HYPERLINK("http://dx.doi.org/10.1287/mnsc.2017.2902","http://dx.doi.org/10.1287/mnsc.2017.2902")</f>
        <v>http://dx.doi.org/10.1287/mnsc.2017.2902</v>
      </c>
      <c r="BG375" t="s">
        <v>74</v>
      </c>
      <c r="BH375" t="s">
        <v>74</v>
      </c>
      <c r="BI375">
        <v>27</v>
      </c>
      <c r="BJ375" t="s">
        <v>519</v>
      </c>
      <c r="BK375" t="s">
        <v>520</v>
      </c>
      <c r="BL375" t="s">
        <v>521</v>
      </c>
      <c r="BM375" t="s">
        <v>2055</v>
      </c>
      <c r="BN375" t="s">
        <v>74</v>
      </c>
      <c r="BO375" t="s">
        <v>156</v>
      </c>
      <c r="BP375" t="s">
        <v>218</v>
      </c>
      <c r="BQ375" t="s">
        <v>219</v>
      </c>
      <c r="BR375" t="s">
        <v>6098</v>
      </c>
      <c r="BS375" t="s">
        <v>2056</v>
      </c>
      <c r="BT375" t="str">
        <f>HYPERLINK("https%3A%2F%2Fwww.webofscience.com%2Fwos%2Fwoscc%2Ffull-record%2FWOS:000449627200008","View Full Record in Web of Science")</f>
        <v>View Full Record in Web of Science</v>
      </c>
      <c r="BU375" t="s">
        <v>6100</v>
      </c>
      <c r="BV375" s="1" t="s">
        <v>10653</v>
      </c>
    </row>
    <row r="376" spans="1:75" x14ac:dyDescent="0.35">
      <c r="A376" t="s">
        <v>72</v>
      </c>
      <c r="B376" t="s">
        <v>934</v>
      </c>
      <c r="C376" t="s">
        <v>74</v>
      </c>
      <c r="D376" t="s">
        <v>74</v>
      </c>
      <c r="E376" t="s">
        <v>74</v>
      </c>
      <c r="F376" t="s">
        <v>935</v>
      </c>
      <c r="G376" t="s">
        <v>74</v>
      </c>
      <c r="H376" t="s">
        <v>74</v>
      </c>
      <c r="I376" t="s">
        <v>936</v>
      </c>
      <c r="J376" t="s">
        <v>161</v>
      </c>
      <c r="K376" t="s">
        <v>74</v>
      </c>
      <c r="L376" t="s">
        <v>74</v>
      </c>
      <c r="M376" t="s">
        <v>78</v>
      </c>
      <c r="N376" t="s">
        <v>79</v>
      </c>
      <c r="O376" t="s">
        <v>74</v>
      </c>
      <c r="P376" t="s">
        <v>74</v>
      </c>
      <c r="Q376" t="s">
        <v>74</v>
      </c>
      <c r="R376" t="s">
        <v>74</v>
      </c>
      <c r="S376" t="s">
        <v>74</v>
      </c>
      <c r="T376" t="s">
        <v>937</v>
      </c>
      <c r="U376" t="s">
        <v>938</v>
      </c>
      <c r="V376" t="s">
        <v>939</v>
      </c>
      <c r="W376" t="s">
        <v>940</v>
      </c>
      <c r="X376" t="s">
        <v>941</v>
      </c>
      <c r="Y376" t="s">
        <v>942</v>
      </c>
      <c r="Z376" t="s">
        <v>943</v>
      </c>
      <c r="AA376" t="s">
        <v>74</v>
      </c>
      <c r="AB376" t="s">
        <v>944</v>
      </c>
      <c r="AC376" t="s">
        <v>74</v>
      </c>
      <c r="AD376" t="s">
        <v>74</v>
      </c>
      <c r="AE376" t="s">
        <v>74</v>
      </c>
      <c r="AF376" t="s">
        <v>74</v>
      </c>
      <c r="AG376">
        <v>274</v>
      </c>
      <c r="AH376">
        <v>243</v>
      </c>
      <c r="AI376">
        <v>248</v>
      </c>
      <c r="AJ376">
        <v>68</v>
      </c>
      <c r="AK376">
        <v>319</v>
      </c>
      <c r="AL376" t="s">
        <v>170</v>
      </c>
      <c r="AM376" t="s">
        <v>171</v>
      </c>
      <c r="AN376" t="s">
        <v>172</v>
      </c>
      <c r="AO376" t="s">
        <v>173</v>
      </c>
      <c r="AP376" t="s">
        <v>174</v>
      </c>
      <c r="AQ376" t="s">
        <v>74</v>
      </c>
      <c r="AR376" t="s">
        <v>175</v>
      </c>
      <c r="AS376" t="s">
        <v>176</v>
      </c>
      <c r="AT376" t="s">
        <v>294</v>
      </c>
      <c r="AU376">
        <v>2018</v>
      </c>
      <c r="AV376">
        <v>44</v>
      </c>
      <c r="AW376">
        <v>6</v>
      </c>
      <c r="AX376" t="s">
        <v>74</v>
      </c>
      <c r="AY376" t="s">
        <v>74</v>
      </c>
      <c r="AZ376" t="s">
        <v>74</v>
      </c>
      <c r="BA376" t="s">
        <v>74</v>
      </c>
      <c r="BB376">
        <v>1274</v>
      </c>
      <c r="BC376">
        <v>1306</v>
      </c>
      <c r="BD376" t="s">
        <v>74</v>
      </c>
      <c r="BE376" t="s">
        <v>945</v>
      </c>
      <c r="BF376" t="str">
        <f>HYPERLINK("http://dx.doi.org/10.1093/jcr/ucx104","http://dx.doi.org/10.1093/jcr/ucx104")</f>
        <v>http://dx.doi.org/10.1093/jcr/ucx104</v>
      </c>
      <c r="BG376" t="s">
        <v>74</v>
      </c>
      <c r="BH376" t="s">
        <v>74</v>
      </c>
      <c r="BI376">
        <v>33</v>
      </c>
      <c r="BJ376" t="s">
        <v>153</v>
      </c>
      <c r="BK376" t="s">
        <v>101</v>
      </c>
      <c r="BL376" t="s">
        <v>154</v>
      </c>
      <c r="BM376" t="s">
        <v>946</v>
      </c>
      <c r="BN376" t="s">
        <v>74</v>
      </c>
      <c r="BO376" t="s">
        <v>74</v>
      </c>
      <c r="BP376" t="s">
        <v>218</v>
      </c>
      <c r="BQ376" t="s">
        <v>219</v>
      </c>
      <c r="BR376" t="s">
        <v>6098</v>
      </c>
      <c r="BS376" t="s">
        <v>947</v>
      </c>
      <c r="BT376" t="str">
        <f>HYPERLINK("https%3A%2F%2Fwww.webofscience.com%2Fwos%2Fwoscc%2Ffull-record%2FWOS:000432334000006","View Full Record in Web of Science")</f>
        <v>View Full Record in Web of Science</v>
      </c>
      <c r="BU376" t="s">
        <v>6100</v>
      </c>
      <c r="BV376" s="1" t="s">
        <v>6080</v>
      </c>
      <c r="BW376" s="1" t="s">
        <v>10653</v>
      </c>
    </row>
    <row r="377" spans="1:75" x14ac:dyDescent="0.35">
      <c r="A377" t="s">
        <v>72</v>
      </c>
      <c r="B377" t="s">
        <v>7927</v>
      </c>
      <c r="C377" t="s">
        <v>74</v>
      </c>
      <c r="D377" t="s">
        <v>74</v>
      </c>
      <c r="E377" t="s">
        <v>74</v>
      </c>
      <c r="F377" t="s">
        <v>7928</v>
      </c>
      <c r="G377" t="s">
        <v>74</v>
      </c>
      <c r="H377" t="s">
        <v>74</v>
      </c>
      <c r="I377" t="s">
        <v>7929</v>
      </c>
      <c r="J377" t="s">
        <v>7930</v>
      </c>
      <c r="K377" t="s">
        <v>74</v>
      </c>
      <c r="L377" t="s">
        <v>74</v>
      </c>
      <c r="M377" t="s">
        <v>78</v>
      </c>
      <c r="N377" t="s">
        <v>79</v>
      </c>
      <c r="O377" t="s">
        <v>74</v>
      </c>
      <c r="P377" t="s">
        <v>74</v>
      </c>
      <c r="Q377" t="s">
        <v>74</v>
      </c>
      <c r="R377" t="s">
        <v>74</v>
      </c>
      <c r="S377" t="s">
        <v>74</v>
      </c>
      <c r="T377" t="s">
        <v>7931</v>
      </c>
      <c r="U377" t="s">
        <v>7932</v>
      </c>
      <c r="V377" t="s">
        <v>7933</v>
      </c>
      <c r="W377" t="s">
        <v>7934</v>
      </c>
      <c r="X377" t="s">
        <v>7935</v>
      </c>
      <c r="Y377" t="s">
        <v>7936</v>
      </c>
      <c r="Z377" t="s">
        <v>7937</v>
      </c>
      <c r="AA377" t="s">
        <v>7938</v>
      </c>
      <c r="AB377" t="s">
        <v>7939</v>
      </c>
      <c r="AC377" t="s">
        <v>74</v>
      </c>
      <c r="AD377" t="s">
        <v>74</v>
      </c>
      <c r="AE377" t="s">
        <v>74</v>
      </c>
      <c r="AF377" t="s">
        <v>74</v>
      </c>
      <c r="AG377">
        <v>88</v>
      </c>
      <c r="AH377">
        <v>129</v>
      </c>
      <c r="AI377">
        <v>133</v>
      </c>
      <c r="AJ377">
        <v>20</v>
      </c>
      <c r="AK377">
        <v>294</v>
      </c>
      <c r="AL377" t="s">
        <v>652</v>
      </c>
      <c r="AM377" t="s">
        <v>653</v>
      </c>
      <c r="AN377" t="s">
        <v>654</v>
      </c>
      <c r="AO377" t="s">
        <v>7940</v>
      </c>
      <c r="AP377" t="s">
        <v>7941</v>
      </c>
      <c r="AQ377" t="s">
        <v>74</v>
      </c>
      <c r="AR377" t="s">
        <v>7942</v>
      </c>
      <c r="AS377" t="s">
        <v>7943</v>
      </c>
      <c r="AT377" t="s">
        <v>469</v>
      </c>
      <c r="AU377">
        <v>2018</v>
      </c>
      <c r="AV377">
        <v>67</v>
      </c>
      <c r="AW377" t="s">
        <v>74</v>
      </c>
      <c r="AX377" t="s">
        <v>74</v>
      </c>
      <c r="AY377" t="s">
        <v>74</v>
      </c>
      <c r="AZ377" t="s">
        <v>74</v>
      </c>
      <c r="BA377" t="s">
        <v>74</v>
      </c>
      <c r="BB377">
        <v>261</v>
      </c>
      <c r="BC377">
        <v>272</v>
      </c>
      <c r="BD377" t="s">
        <v>74</v>
      </c>
      <c r="BE377" t="s">
        <v>7944</v>
      </c>
      <c r="BF377" t="str">
        <f>HYPERLINK("http://dx.doi.org/10.1016/j.tourman.2018.02.002","http://dx.doi.org/10.1016/j.tourman.2018.02.002")</f>
        <v>http://dx.doi.org/10.1016/j.tourman.2018.02.002</v>
      </c>
      <c r="BG377" t="s">
        <v>74</v>
      </c>
      <c r="BH377" t="s">
        <v>74</v>
      </c>
      <c r="BI377">
        <v>12</v>
      </c>
      <c r="BJ377" t="s">
        <v>7945</v>
      </c>
      <c r="BK377" t="s">
        <v>101</v>
      </c>
      <c r="BL377" t="s">
        <v>7946</v>
      </c>
      <c r="BM377" t="s">
        <v>7947</v>
      </c>
      <c r="BN377" t="s">
        <v>74</v>
      </c>
      <c r="BO377" t="s">
        <v>156</v>
      </c>
      <c r="BP377" t="s">
        <v>218</v>
      </c>
      <c r="BQ377" t="s">
        <v>219</v>
      </c>
      <c r="BR377" t="s">
        <v>6098</v>
      </c>
      <c r="BS377" t="s">
        <v>7948</v>
      </c>
      <c r="BT377" t="str">
        <f>HYPERLINK("https%3A%2F%2Fwww.webofscience.com%2Fwos%2Fwoscc%2Ffull-record%2FWOS:000429754100026","View Full Record in Web of Science")</f>
        <v>View Full Record in Web of Science</v>
      </c>
      <c r="BU377" t="s">
        <v>6100</v>
      </c>
      <c r="BV377" s="1" t="s">
        <v>10653</v>
      </c>
    </row>
    <row r="378" spans="1:75" x14ac:dyDescent="0.35">
      <c r="A378" t="s">
        <v>72</v>
      </c>
      <c r="B378" t="s">
        <v>8135</v>
      </c>
      <c r="C378" t="s">
        <v>74</v>
      </c>
      <c r="D378" t="s">
        <v>74</v>
      </c>
      <c r="E378" t="s">
        <v>74</v>
      </c>
      <c r="F378" t="s">
        <v>8136</v>
      </c>
      <c r="G378" t="s">
        <v>74</v>
      </c>
      <c r="H378" t="s">
        <v>74</v>
      </c>
      <c r="I378" t="s">
        <v>8137</v>
      </c>
      <c r="J378" t="s">
        <v>8138</v>
      </c>
      <c r="K378" t="s">
        <v>74</v>
      </c>
      <c r="L378" t="s">
        <v>74</v>
      </c>
      <c r="M378" t="s">
        <v>78</v>
      </c>
      <c r="N378" t="s">
        <v>79</v>
      </c>
      <c r="O378" t="s">
        <v>74</v>
      </c>
      <c r="P378" t="s">
        <v>74</v>
      </c>
      <c r="Q378" t="s">
        <v>74</v>
      </c>
      <c r="R378" t="s">
        <v>74</v>
      </c>
      <c r="S378" t="s">
        <v>74</v>
      </c>
      <c r="T378" t="s">
        <v>8139</v>
      </c>
      <c r="U378" t="s">
        <v>74</v>
      </c>
      <c r="V378" t="s">
        <v>8140</v>
      </c>
      <c r="W378" t="s">
        <v>8141</v>
      </c>
      <c r="X378" t="s">
        <v>8142</v>
      </c>
      <c r="Y378" t="s">
        <v>8143</v>
      </c>
      <c r="Z378" t="s">
        <v>8144</v>
      </c>
      <c r="AA378" t="s">
        <v>8145</v>
      </c>
      <c r="AB378" t="s">
        <v>8146</v>
      </c>
      <c r="AC378" t="s">
        <v>74</v>
      </c>
      <c r="AD378" t="s">
        <v>74</v>
      </c>
      <c r="AE378" t="s">
        <v>74</v>
      </c>
      <c r="AF378" t="s">
        <v>74</v>
      </c>
      <c r="AG378">
        <v>45</v>
      </c>
      <c r="AH378">
        <v>8</v>
      </c>
      <c r="AI378">
        <v>8</v>
      </c>
      <c r="AJ378">
        <v>0</v>
      </c>
      <c r="AK378">
        <v>10</v>
      </c>
      <c r="AL378" t="s">
        <v>7526</v>
      </c>
      <c r="AM378" t="s">
        <v>8147</v>
      </c>
      <c r="AN378" t="s">
        <v>8148</v>
      </c>
      <c r="AO378" t="s">
        <v>8149</v>
      </c>
      <c r="AP378" t="s">
        <v>8150</v>
      </c>
      <c r="AQ378" t="s">
        <v>74</v>
      </c>
      <c r="AR378" t="s">
        <v>8151</v>
      </c>
      <c r="AS378" t="s">
        <v>8152</v>
      </c>
      <c r="AT378" t="s">
        <v>8153</v>
      </c>
      <c r="AU378">
        <v>2018</v>
      </c>
      <c r="AV378">
        <v>8</v>
      </c>
      <c r="AW378">
        <v>1</v>
      </c>
      <c r="AX378" t="s">
        <v>74</v>
      </c>
      <c r="AY378" t="s">
        <v>74</v>
      </c>
      <c r="AZ378" t="s">
        <v>74</v>
      </c>
      <c r="BA378" t="s">
        <v>74</v>
      </c>
      <c r="BB378">
        <v>21</v>
      </c>
      <c r="BC378">
        <v>36</v>
      </c>
      <c r="BD378" t="s">
        <v>74</v>
      </c>
      <c r="BE378" t="s">
        <v>8154</v>
      </c>
      <c r="BF378" t="str">
        <f>HYPERLINK("http://dx.doi.org/10.4018/IJOM.2018010102","http://dx.doi.org/10.4018/IJOM.2018010102")</f>
        <v>http://dx.doi.org/10.4018/IJOM.2018010102</v>
      </c>
      <c r="BG378" t="s">
        <v>74</v>
      </c>
      <c r="BH378" t="s">
        <v>74</v>
      </c>
      <c r="BI378">
        <v>16</v>
      </c>
      <c r="BJ378" t="s">
        <v>153</v>
      </c>
      <c r="BK378" t="s">
        <v>3880</v>
      </c>
      <c r="BL378" t="s">
        <v>154</v>
      </c>
      <c r="BM378" t="s">
        <v>8155</v>
      </c>
      <c r="BN378" t="s">
        <v>74</v>
      </c>
      <c r="BO378" t="s">
        <v>74</v>
      </c>
      <c r="BP378" t="s">
        <v>74</v>
      </c>
      <c r="BQ378" t="s">
        <v>74</v>
      </c>
      <c r="BR378" t="s">
        <v>6098</v>
      </c>
      <c r="BS378" t="s">
        <v>8156</v>
      </c>
      <c r="BT378" t="str">
        <f>HYPERLINK("https%3A%2F%2Fwww.webofscience.com%2Fwos%2Fwoscc%2Ffull-record%2FWOS:000437330100002","View Full Record in Web of Science")</f>
        <v>View Full Record in Web of Science</v>
      </c>
      <c r="BU378" t="s">
        <v>6100</v>
      </c>
      <c r="BV378" s="1" t="s">
        <v>6080</v>
      </c>
      <c r="BW378" s="1" t="s">
        <v>10653</v>
      </c>
    </row>
    <row r="379" spans="1:75" x14ac:dyDescent="0.35">
      <c r="A379" t="s">
        <v>72</v>
      </c>
      <c r="B379" t="s">
        <v>8157</v>
      </c>
      <c r="C379" t="s">
        <v>74</v>
      </c>
      <c r="D379" t="s">
        <v>74</v>
      </c>
      <c r="E379" t="s">
        <v>74</v>
      </c>
      <c r="F379" t="s">
        <v>5890</v>
      </c>
      <c r="G379" t="s">
        <v>74</v>
      </c>
      <c r="H379" t="s">
        <v>74</v>
      </c>
      <c r="I379" t="s">
        <v>5928</v>
      </c>
      <c r="J379" t="s">
        <v>8158</v>
      </c>
      <c r="K379" t="s">
        <v>74</v>
      </c>
      <c r="L379" t="s">
        <v>74</v>
      </c>
      <c r="M379" t="s">
        <v>78</v>
      </c>
      <c r="N379" t="s">
        <v>79</v>
      </c>
      <c r="O379" t="s">
        <v>74</v>
      </c>
      <c r="P379" t="s">
        <v>74</v>
      </c>
      <c r="Q379" t="s">
        <v>74</v>
      </c>
      <c r="R379" t="s">
        <v>74</v>
      </c>
      <c r="S379" t="s">
        <v>74</v>
      </c>
      <c r="T379" t="s">
        <v>8159</v>
      </c>
      <c r="U379" t="s">
        <v>8160</v>
      </c>
      <c r="V379" t="s">
        <v>6024</v>
      </c>
      <c r="W379" t="s">
        <v>8161</v>
      </c>
      <c r="X379" t="s">
        <v>8162</v>
      </c>
      <c r="Y379" t="s">
        <v>8163</v>
      </c>
      <c r="Z379" t="s">
        <v>8164</v>
      </c>
      <c r="AA379" t="s">
        <v>8165</v>
      </c>
      <c r="AB379" t="s">
        <v>8166</v>
      </c>
      <c r="AC379" t="s">
        <v>74</v>
      </c>
      <c r="AD379" t="s">
        <v>74</v>
      </c>
      <c r="AE379" t="s">
        <v>74</v>
      </c>
      <c r="AF379" t="s">
        <v>74</v>
      </c>
      <c r="AG379">
        <v>69</v>
      </c>
      <c r="AH379">
        <v>25</v>
      </c>
      <c r="AI379">
        <v>25</v>
      </c>
      <c r="AJ379">
        <v>3</v>
      </c>
      <c r="AK379">
        <v>46</v>
      </c>
      <c r="AL379" t="s">
        <v>1180</v>
      </c>
      <c r="AM379" t="s">
        <v>1181</v>
      </c>
      <c r="AN379" t="s">
        <v>1182</v>
      </c>
      <c r="AO379" t="s">
        <v>8167</v>
      </c>
      <c r="AP379" t="s">
        <v>8168</v>
      </c>
      <c r="AQ379" t="s">
        <v>74</v>
      </c>
      <c r="AR379" t="s">
        <v>8169</v>
      </c>
      <c r="AS379" t="s">
        <v>8170</v>
      </c>
      <c r="AT379" t="s">
        <v>74</v>
      </c>
      <c r="AU379">
        <v>2018</v>
      </c>
      <c r="AV379">
        <v>27</v>
      </c>
      <c r="AW379">
        <v>6</v>
      </c>
      <c r="AX379" t="s">
        <v>74</v>
      </c>
      <c r="AY379" t="s">
        <v>74</v>
      </c>
      <c r="AZ379" t="s">
        <v>74</v>
      </c>
      <c r="BA379" t="s">
        <v>74</v>
      </c>
      <c r="BB379">
        <v>693</v>
      </c>
      <c r="BC379">
        <v>710</v>
      </c>
      <c r="BD379" t="s">
        <v>74</v>
      </c>
      <c r="BE379" t="s">
        <v>8171</v>
      </c>
      <c r="BF379" t="str">
        <f>HYPERLINK("http://dx.doi.org/10.1080/19368623.2018.1435327","http://dx.doi.org/10.1080/19368623.2018.1435327")</f>
        <v>http://dx.doi.org/10.1080/19368623.2018.1435327</v>
      </c>
      <c r="BG379" t="s">
        <v>74</v>
      </c>
      <c r="BH379" t="s">
        <v>74</v>
      </c>
      <c r="BI379">
        <v>18</v>
      </c>
      <c r="BJ379" t="s">
        <v>8172</v>
      </c>
      <c r="BK379" t="s">
        <v>101</v>
      </c>
      <c r="BL379" t="s">
        <v>7215</v>
      </c>
      <c r="BM379" t="s">
        <v>8173</v>
      </c>
      <c r="BN379" t="s">
        <v>74</v>
      </c>
      <c r="BO379" t="s">
        <v>828</v>
      </c>
      <c r="BP379" t="s">
        <v>74</v>
      </c>
      <c r="BQ379" t="s">
        <v>74</v>
      </c>
      <c r="BR379" t="s">
        <v>6098</v>
      </c>
      <c r="BS379" t="s">
        <v>8174</v>
      </c>
      <c r="BT379" t="str">
        <f>HYPERLINK("https%3A%2F%2Fwww.webofscience.com%2Fwos%2Fwoscc%2Ffull-record%2FWOS:000434445100004","View Full Record in Web of Science")</f>
        <v>View Full Record in Web of Science</v>
      </c>
      <c r="BU379" t="s">
        <v>6100</v>
      </c>
      <c r="BV379" s="1" t="s">
        <v>6080</v>
      </c>
      <c r="BW379" s="1" t="s">
        <v>6080</v>
      </c>
    </row>
    <row r="380" spans="1:75" x14ac:dyDescent="0.35">
      <c r="A380" t="s">
        <v>72</v>
      </c>
      <c r="B380" t="s">
        <v>8667</v>
      </c>
      <c r="C380" t="s">
        <v>74</v>
      </c>
      <c r="D380" t="s">
        <v>74</v>
      </c>
      <c r="E380" t="s">
        <v>74</v>
      </c>
      <c r="F380" t="s">
        <v>8668</v>
      </c>
      <c r="G380" t="s">
        <v>74</v>
      </c>
      <c r="H380" t="s">
        <v>74</v>
      </c>
      <c r="I380" t="s">
        <v>8669</v>
      </c>
      <c r="J380" t="s">
        <v>6220</v>
      </c>
      <c r="K380" t="s">
        <v>74</v>
      </c>
      <c r="L380" t="s">
        <v>74</v>
      </c>
      <c r="M380" t="s">
        <v>78</v>
      </c>
      <c r="N380" t="s">
        <v>79</v>
      </c>
      <c r="O380" t="s">
        <v>74</v>
      </c>
      <c r="P380" t="s">
        <v>74</v>
      </c>
      <c r="Q380" t="s">
        <v>74</v>
      </c>
      <c r="R380" t="s">
        <v>74</v>
      </c>
      <c r="S380" t="s">
        <v>74</v>
      </c>
      <c r="T380" t="s">
        <v>74</v>
      </c>
      <c r="U380" t="s">
        <v>8670</v>
      </c>
      <c r="V380" t="s">
        <v>8671</v>
      </c>
      <c r="W380" t="s">
        <v>8672</v>
      </c>
      <c r="X380" t="s">
        <v>8673</v>
      </c>
      <c r="Y380" t="s">
        <v>8674</v>
      </c>
      <c r="Z380" t="s">
        <v>8675</v>
      </c>
      <c r="AA380" t="s">
        <v>8676</v>
      </c>
      <c r="AB380" t="s">
        <v>8677</v>
      </c>
      <c r="AC380" t="s">
        <v>74</v>
      </c>
      <c r="AD380" t="s">
        <v>74</v>
      </c>
      <c r="AE380" t="s">
        <v>74</v>
      </c>
      <c r="AF380" t="s">
        <v>74</v>
      </c>
      <c r="AG380">
        <v>121</v>
      </c>
      <c r="AH380">
        <v>19</v>
      </c>
      <c r="AI380">
        <v>19</v>
      </c>
      <c r="AJ380">
        <v>1</v>
      </c>
      <c r="AK380">
        <v>35</v>
      </c>
      <c r="AL380" t="s">
        <v>206</v>
      </c>
      <c r="AM380" t="s">
        <v>207</v>
      </c>
      <c r="AN380" t="s">
        <v>208</v>
      </c>
      <c r="AO380" t="s">
        <v>6226</v>
      </c>
      <c r="AP380" t="s">
        <v>6227</v>
      </c>
      <c r="AQ380" t="s">
        <v>74</v>
      </c>
      <c r="AR380" t="s">
        <v>6228</v>
      </c>
      <c r="AS380" t="s">
        <v>6229</v>
      </c>
      <c r="AT380" t="s">
        <v>780</v>
      </c>
      <c r="AU380">
        <v>2018</v>
      </c>
      <c r="AV380">
        <v>17</v>
      </c>
      <c r="AW380">
        <v>1</v>
      </c>
      <c r="AX380" t="s">
        <v>74</v>
      </c>
      <c r="AY380" t="s">
        <v>74</v>
      </c>
      <c r="AZ380" t="s">
        <v>74</v>
      </c>
      <c r="BA380" t="s">
        <v>74</v>
      </c>
      <c r="BB380">
        <v>75</v>
      </c>
      <c r="BC380">
        <v>93</v>
      </c>
      <c r="BD380" t="s">
        <v>74</v>
      </c>
      <c r="BE380" t="s">
        <v>8678</v>
      </c>
      <c r="BF380" t="str">
        <f>HYPERLINK("http://dx.doi.org/10.1002/cb.1699","http://dx.doi.org/10.1002/cb.1699")</f>
        <v>http://dx.doi.org/10.1002/cb.1699</v>
      </c>
      <c r="BG380" t="s">
        <v>74</v>
      </c>
      <c r="BH380" t="s">
        <v>74</v>
      </c>
      <c r="BI380">
        <v>19</v>
      </c>
      <c r="BJ380" t="s">
        <v>153</v>
      </c>
      <c r="BK380" t="s">
        <v>101</v>
      </c>
      <c r="BL380" t="s">
        <v>154</v>
      </c>
      <c r="BM380" t="s">
        <v>8679</v>
      </c>
      <c r="BN380" t="s">
        <v>74</v>
      </c>
      <c r="BO380" t="s">
        <v>74</v>
      </c>
      <c r="BP380" t="s">
        <v>74</v>
      </c>
      <c r="BQ380" t="s">
        <v>74</v>
      </c>
      <c r="BR380" t="s">
        <v>6098</v>
      </c>
      <c r="BS380" t="s">
        <v>8680</v>
      </c>
      <c r="BT380" t="str">
        <f>HYPERLINK("https%3A%2F%2Fwww.webofscience.com%2Fwos%2Fwoscc%2Ffull-record%2FWOS:000423127600021","View Full Record in Web of Science")</f>
        <v>View Full Record in Web of Science</v>
      </c>
      <c r="BU380" t="s">
        <v>6100</v>
      </c>
      <c r="BV380" s="1" t="s">
        <v>6080</v>
      </c>
      <c r="BW380" s="1" t="s">
        <v>6080</v>
      </c>
    </row>
    <row r="381" spans="1:75" x14ac:dyDescent="0.35">
      <c r="A381" t="s">
        <v>72</v>
      </c>
      <c r="B381" t="s">
        <v>10162</v>
      </c>
      <c r="C381" t="s">
        <v>74</v>
      </c>
      <c r="D381" t="s">
        <v>74</v>
      </c>
      <c r="E381" t="s">
        <v>74</v>
      </c>
      <c r="F381" t="s">
        <v>10163</v>
      </c>
      <c r="G381" t="s">
        <v>74</v>
      </c>
      <c r="H381" t="s">
        <v>74</v>
      </c>
      <c r="I381" t="s">
        <v>10164</v>
      </c>
      <c r="J381" t="s">
        <v>6632</v>
      </c>
      <c r="K381" t="s">
        <v>74</v>
      </c>
      <c r="L381" t="s">
        <v>74</v>
      </c>
      <c r="M381" t="s">
        <v>78</v>
      </c>
      <c r="N381" t="s">
        <v>79</v>
      </c>
      <c r="O381" t="s">
        <v>74</v>
      </c>
      <c r="P381" t="s">
        <v>74</v>
      </c>
      <c r="Q381" t="s">
        <v>74</v>
      </c>
      <c r="R381" t="s">
        <v>74</v>
      </c>
      <c r="S381" t="s">
        <v>74</v>
      </c>
      <c r="T381" t="s">
        <v>10165</v>
      </c>
      <c r="U381" t="s">
        <v>74</v>
      </c>
      <c r="V381" t="s">
        <v>10166</v>
      </c>
      <c r="W381" t="s">
        <v>10167</v>
      </c>
      <c r="X381" t="s">
        <v>10168</v>
      </c>
      <c r="Y381" t="s">
        <v>10169</v>
      </c>
      <c r="Z381" t="s">
        <v>10170</v>
      </c>
      <c r="AA381" t="s">
        <v>74</v>
      </c>
      <c r="AB381" t="s">
        <v>74</v>
      </c>
      <c r="AC381" t="s">
        <v>74</v>
      </c>
      <c r="AD381" t="s">
        <v>74</v>
      </c>
      <c r="AE381" t="s">
        <v>74</v>
      </c>
      <c r="AF381" t="s">
        <v>74</v>
      </c>
      <c r="AG381">
        <v>144</v>
      </c>
      <c r="AH381">
        <v>4</v>
      </c>
      <c r="AI381">
        <v>4</v>
      </c>
      <c r="AJ381">
        <v>1</v>
      </c>
      <c r="AK381">
        <v>2</v>
      </c>
      <c r="AL381" t="s">
        <v>1982</v>
      </c>
      <c r="AM381" t="s">
        <v>1983</v>
      </c>
      <c r="AN381" t="s">
        <v>2573</v>
      </c>
      <c r="AO381" t="s">
        <v>6640</v>
      </c>
      <c r="AP381" t="s">
        <v>6641</v>
      </c>
      <c r="AQ381" t="s">
        <v>74</v>
      </c>
      <c r="AR381" t="s">
        <v>6642</v>
      </c>
      <c r="AS381" t="s">
        <v>6643</v>
      </c>
      <c r="AT381" t="s">
        <v>74</v>
      </c>
      <c r="AU381">
        <v>2018</v>
      </c>
      <c r="AV381">
        <v>10</v>
      </c>
      <c r="AW381">
        <v>2</v>
      </c>
      <c r="AX381" t="s">
        <v>74</v>
      </c>
      <c r="AY381" t="s">
        <v>74</v>
      </c>
      <c r="AZ381" t="s">
        <v>74</v>
      </c>
      <c r="BA381" t="s">
        <v>74</v>
      </c>
      <c r="BB381">
        <v>151</v>
      </c>
      <c r="BC381">
        <v>174</v>
      </c>
      <c r="BD381" t="s">
        <v>74</v>
      </c>
      <c r="BE381" t="s">
        <v>10171</v>
      </c>
      <c r="BF381" t="str">
        <f>HYPERLINK("http://dx.doi.org/10.1108/JHRM-05-2017-0013","http://dx.doi.org/10.1108/JHRM-05-2017-0013")</f>
        <v>http://dx.doi.org/10.1108/JHRM-05-2017-0013</v>
      </c>
      <c r="BG381" t="s">
        <v>74</v>
      </c>
      <c r="BH381" t="s">
        <v>74</v>
      </c>
      <c r="BI381">
        <v>24</v>
      </c>
      <c r="BJ381" t="s">
        <v>153</v>
      </c>
      <c r="BK381" t="s">
        <v>3880</v>
      </c>
      <c r="BL381" t="s">
        <v>154</v>
      </c>
      <c r="BM381" t="s">
        <v>10172</v>
      </c>
      <c r="BN381" t="s">
        <v>74</v>
      </c>
      <c r="BO381" t="s">
        <v>74</v>
      </c>
      <c r="BP381" t="s">
        <v>74</v>
      </c>
      <c r="BQ381" t="s">
        <v>74</v>
      </c>
      <c r="BR381" t="s">
        <v>6098</v>
      </c>
      <c r="BS381" t="s">
        <v>10173</v>
      </c>
      <c r="BT381" t="str">
        <f>HYPERLINK("https%3A%2F%2Fwww.webofscience.com%2Fwos%2Fwoscc%2Ffull-record%2FWOS:000450614300002","View Full Record in Web of Science")</f>
        <v>View Full Record in Web of Science</v>
      </c>
      <c r="BU381" t="s">
        <v>6100</v>
      </c>
      <c r="BV381" s="1" t="s">
        <v>6080</v>
      </c>
      <c r="BW381" s="1" t="s">
        <v>10653</v>
      </c>
    </row>
    <row r="382" spans="1:75" x14ac:dyDescent="0.35">
      <c r="A382" t="s">
        <v>72</v>
      </c>
      <c r="B382" t="s">
        <v>10305</v>
      </c>
      <c r="C382" t="s">
        <v>74</v>
      </c>
      <c r="D382" t="s">
        <v>74</v>
      </c>
      <c r="E382" t="s">
        <v>74</v>
      </c>
      <c r="F382" t="s">
        <v>10306</v>
      </c>
      <c r="G382" t="s">
        <v>74</v>
      </c>
      <c r="H382" t="s">
        <v>74</v>
      </c>
      <c r="I382" t="s">
        <v>10307</v>
      </c>
      <c r="J382" t="s">
        <v>10308</v>
      </c>
      <c r="K382" t="s">
        <v>74</v>
      </c>
      <c r="L382" t="s">
        <v>74</v>
      </c>
      <c r="M382" t="s">
        <v>78</v>
      </c>
      <c r="N382" t="s">
        <v>79</v>
      </c>
      <c r="O382" t="s">
        <v>74</v>
      </c>
      <c r="P382" t="s">
        <v>74</v>
      </c>
      <c r="Q382" t="s">
        <v>74</v>
      </c>
      <c r="R382" t="s">
        <v>74</v>
      </c>
      <c r="S382" t="s">
        <v>74</v>
      </c>
      <c r="T382" t="s">
        <v>10309</v>
      </c>
      <c r="U382" t="s">
        <v>10310</v>
      </c>
      <c r="V382" t="s">
        <v>10311</v>
      </c>
      <c r="W382" t="s">
        <v>10312</v>
      </c>
      <c r="X382" t="s">
        <v>10313</v>
      </c>
      <c r="Y382" t="s">
        <v>10314</v>
      </c>
      <c r="Z382" t="s">
        <v>10315</v>
      </c>
      <c r="AA382" t="s">
        <v>74</v>
      </c>
      <c r="AB382" t="s">
        <v>74</v>
      </c>
      <c r="AC382" t="s">
        <v>74</v>
      </c>
      <c r="AD382" t="s">
        <v>74</v>
      </c>
      <c r="AE382" t="s">
        <v>74</v>
      </c>
      <c r="AF382" t="s">
        <v>74</v>
      </c>
      <c r="AG382">
        <v>59</v>
      </c>
      <c r="AH382">
        <v>7</v>
      </c>
      <c r="AI382">
        <v>7</v>
      </c>
      <c r="AJ382">
        <v>4</v>
      </c>
      <c r="AK382">
        <v>27</v>
      </c>
      <c r="AL382" t="s">
        <v>10316</v>
      </c>
      <c r="AM382" t="s">
        <v>10317</v>
      </c>
      <c r="AN382" t="s">
        <v>10318</v>
      </c>
      <c r="AO382" t="s">
        <v>10319</v>
      </c>
      <c r="AP382" t="s">
        <v>10320</v>
      </c>
      <c r="AQ382" t="s">
        <v>74</v>
      </c>
      <c r="AR382" t="s">
        <v>10321</v>
      </c>
      <c r="AS382" t="s">
        <v>10322</v>
      </c>
      <c r="AT382" t="s">
        <v>74</v>
      </c>
      <c r="AU382">
        <v>2018</v>
      </c>
      <c r="AV382">
        <v>19</v>
      </c>
      <c r="AW382">
        <v>4</v>
      </c>
      <c r="AX382" t="s">
        <v>74</v>
      </c>
      <c r="AY382" t="s">
        <v>74</v>
      </c>
      <c r="AZ382" t="s">
        <v>74</v>
      </c>
      <c r="BA382" t="s">
        <v>74</v>
      </c>
      <c r="BB382">
        <v>630</v>
      </c>
      <c r="BC382">
        <v>647</v>
      </c>
      <c r="BD382" t="s">
        <v>74</v>
      </c>
      <c r="BE382" t="s">
        <v>10323</v>
      </c>
      <c r="BF382" t="str">
        <f>HYPERLINK("http://dx.doi.org/10.3846/jbem.2018.5691","http://dx.doi.org/10.3846/jbem.2018.5691")</f>
        <v>http://dx.doi.org/10.3846/jbem.2018.5691</v>
      </c>
      <c r="BG382" t="s">
        <v>74</v>
      </c>
      <c r="BH382" t="s">
        <v>74</v>
      </c>
      <c r="BI382">
        <v>18</v>
      </c>
      <c r="BJ382" t="s">
        <v>3818</v>
      </c>
      <c r="BK382" t="s">
        <v>101</v>
      </c>
      <c r="BL382" t="s">
        <v>154</v>
      </c>
      <c r="BM382" t="s">
        <v>10324</v>
      </c>
      <c r="BN382" t="s">
        <v>74</v>
      </c>
      <c r="BO382" t="s">
        <v>4746</v>
      </c>
      <c r="BP382" t="s">
        <v>74</v>
      </c>
      <c r="BQ382" t="s">
        <v>74</v>
      </c>
      <c r="BR382" t="s">
        <v>6098</v>
      </c>
      <c r="BS382" t="s">
        <v>10325</v>
      </c>
      <c r="BT382" t="str">
        <f>HYPERLINK("https%3A%2F%2Fwww.webofscience.com%2Fwos%2Fwoscc%2Ffull-record%2FWOS:000453042900004","View Full Record in Web of Science")</f>
        <v>View Full Record in Web of Science</v>
      </c>
      <c r="BU382" t="s">
        <v>6100</v>
      </c>
      <c r="BV382" s="1" t="s">
        <v>10653</v>
      </c>
    </row>
    <row r="383" spans="1:75" x14ac:dyDescent="0.35">
      <c r="A383" t="s">
        <v>72</v>
      </c>
      <c r="B383" t="s">
        <v>10362</v>
      </c>
      <c r="C383" t="s">
        <v>74</v>
      </c>
      <c r="D383" t="s">
        <v>74</v>
      </c>
      <c r="E383" t="s">
        <v>74</v>
      </c>
      <c r="F383" t="s">
        <v>10363</v>
      </c>
      <c r="G383" t="s">
        <v>74</v>
      </c>
      <c r="H383" t="s">
        <v>74</v>
      </c>
      <c r="I383" t="s">
        <v>10364</v>
      </c>
      <c r="J383" t="s">
        <v>8245</v>
      </c>
      <c r="K383" t="s">
        <v>74</v>
      </c>
      <c r="L383" t="s">
        <v>74</v>
      </c>
      <c r="M383" t="s">
        <v>78</v>
      </c>
      <c r="N383" t="s">
        <v>110</v>
      </c>
      <c r="O383" t="s">
        <v>74</v>
      </c>
      <c r="P383" t="s">
        <v>74</v>
      </c>
      <c r="Q383" t="s">
        <v>74</v>
      </c>
      <c r="R383" t="s">
        <v>74</v>
      </c>
      <c r="S383" t="s">
        <v>74</v>
      </c>
      <c r="T383" t="s">
        <v>10365</v>
      </c>
      <c r="U383" t="s">
        <v>10366</v>
      </c>
      <c r="V383" t="s">
        <v>10367</v>
      </c>
      <c r="W383" t="s">
        <v>10368</v>
      </c>
      <c r="X383" t="s">
        <v>10369</v>
      </c>
      <c r="Y383" t="s">
        <v>10370</v>
      </c>
      <c r="Z383" t="s">
        <v>6471</v>
      </c>
      <c r="AA383" t="s">
        <v>10371</v>
      </c>
      <c r="AB383" t="s">
        <v>10372</v>
      </c>
      <c r="AC383" t="s">
        <v>74</v>
      </c>
      <c r="AD383" t="s">
        <v>74</v>
      </c>
      <c r="AE383" t="s">
        <v>74</v>
      </c>
      <c r="AF383" t="s">
        <v>74</v>
      </c>
      <c r="AG383">
        <v>83</v>
      </c>
      <c r="AH383">
        <v>83</v>
      </c>
      <c r="AI383">
        <v>83</v>
      </c>
      <c r="AJ383">
        <v>12</v>
      </c>
      <c r="AK383">
        <v>149</v>
      </c>
      <c r="AL383" t="s">
        <v>1982</v>
      </c>
      <c r="AM383" t="s">
        <v>1983</v>
      </c>
      <c r="AN383" t="s">
        <v>2573</v>
      </c>
      <c r="AO383" t="s">
        <v>8255</v>
      </c>
      <c r="AP383" t="s">
        <v>8256</v>
      </c>
      <c r="AQ383" t="s">
        <v>74</v>
      </c>
      <c r="AR383" t="s">
        <v>8257</v>
      </c>
      <c r="AS383" t="s">
        <v>8258</v>
      </c>
      <c r="AT383" t="s">
        <v>74</v>
      </c>
      <c r="AU383">
        <v>2018</v>
      </c>
      <c r="AV383">
        <v>30</v>
      </c>
      <c r="AW383">
        <v>1</v>
      </c>
      <c r="AX383" t="s">
        <v>74</v>
      </c>
      <c r="AY383" t="s">
        <v>74</v>
      </c>
      <c r="AZ383" t="s">
        <v>74</v>
      </c>
      <c r="BA383" t="s">
        <v>74</v>
      </c>
      <c r="BB383">
        <v>343</v>
      </c>
      <c r="BC383">
        <v>364</v>
      </c>
      <c r="BD383" t="s">
        <v>74</v>
      </c>
      <c r="BE383" t="s">
        <v>10373</v>
      </c>
      <c r="BF383" t="str">
        <f>HYPERLINK("http://dx.doi.org/10.1108/IJCHM-07-2016-0340","http://dx.doi.org/10.1108/IJCHM-07-2016-0340")</f>
        <v>http://dx.doi.org/10.1108/IJCHM-07-2016-0340</v>
      </c>
      <c r="BG383" t="s">
        <v>74</v>
      </c>
      <c r="BH383" t="s">
        <v>74</v>
      </c>
      <c r="BI383">
        <v>22</v>
      </c>
      <c r="BJ383" t="s">
        <v>6387</v>
      </c>
      <c r="BK383" t="s">
        <v>101</v>
      </c>
      <c r="BL383" t="s">
        <v>6388</v>
      </c>
      <c r="BM383" t="s">
        <v>10374</v>
      </c>
      <c r="BN383" t="s">
        <v>74</v>
      </c>
      <c r="BO383" t="s">
        <v>828</v>
      </c>
      <c r="BP383" t="s">
        <v>74</v>
      </c>
      <c r="BQ383" t="s">
        <v>74</v>
      </c>
      <c r="BR383" t="s">
        <v>6098</v>
      </c>
      <c r="BS383" t="s">
        <v>10375</v>
      </c>
      <c r="BT383" t="str">
        <f>HYPERLINK("https%3A%2F%2Fwww.webofscience.com%2Fwos%2Fwoscc%2Ffull-record%2FWOS:000424495000016","View Full Record in Web of Science")</f>
        <v>View Full Record in Web of Science</v>
      </c>
      <c r="BU383" t="s">
        <v>6100</v>
      </c>
      <c r="BV383" s="1" t="s">
        <v>10653</v>
      </c>
    </row>
    <row r="384" spans="1:75" x14ac:dyDescent="0.35">
      <c r="A384" t="s">
        <v>72</v>
      </c>
      <c r="B384" t="s">
        <v>10512</v>
      </c>
      <c r="C384" t="s">
        <v>74</v>
      </c>
      <c r="D384" t="s">
        <v>74</v>
      </c>
      <c r="E384" t="s">
        <v>74</v>
      </c>
      <c r="F384" t="s">
        <v>10513</v>
      </c>
      <c r="G384" t="s">
        <v>74</v>
      </c>
      <c r="H384" t="s">
        <v>74</v>
      </c>
      <c r="I384" t="s">
        <v>10514</v>
      </c>
      <c r="J384" t="s">
        <v>7579</v>
      </c>
      <c r="K384" t="s">
        <v>74</v>
      </c>
      <c r="L384" t="s">
        <v>74</v>
      </c>
      <c r="M384" t="s">
        <v>78</v>
      </c>
      <c r="N384" t="s">
        <v>79</v>
      </c>
      <c r="O384" t="s">
        <v>74</v>
      </c>
      <c r="P384" t="s">
        <v>74</v>
      </c>
      <c r="Q384" t="s">
        <v>74</v>
      </c>
      <c r="R384" t="s">
        <v>74</v>
      </c>
      <c r="S384" t="s">
        <v>74</v>
      </c>
      <c r="T384" t="s">
        <v>10515</v>
      </c>
      <c r="U384" t="s">
        <v>10516</v>
      </c>
      <c r="V384" t="s">
        <v>10517</v>
      </c>
      <c r="W384" t="s">
        <v>10518</v>
      </c>
      <c r="X384" t="s">
        <v>10519</v>
      </c>
      <c r="Y384" t="s">
        <v>10520</v>
      </c>
      <c r="Z384" t="s">
        <v>10521</v>
      </c>
      <c r="AA384" t="s">
        <v>10522</v>
      </c>
      <c r="AB384" t="s">
        <v>10523</v>
      </c>
      <c r="AC384" t="s">
        <v>74</v>
      </c>
      <c r="AD384" t="s">
        <v>74</v>
      </c>
      <c r="AE384" t="s">
        <v>74</v>
      </c>
      <c r="AF384" t="s">
        <v>74</v>
      </c>
      <c r="AG384">
        <v>58</v>
      </c>
      <c r="AH384">
        <v>11</v>
      </c>
      <c r="AI384">
        <v>11</v>
      </c>
      <c r="AJ384">
        <v>2</v>
      </c>
      <c r="AK384">
        <v>2</v>
      </c>
      <c r="AL384" t="s">
        <v>7170</v>
      </c>
      <c r="AM384" t="s">
        <v>7171</v>
      </c>
      <c r="AN384" t="s">
        <v>7172</v>
      </c>
      <c r="AO384" t="s">
        <v>7589</v>
      </c>
      <c r="AP384" t="s">
        <v>7590</v>
      </c>
      <c r="AQ384" t="s">
        <v>74</v>
      </c>
      <c r="AR384" t="s">
        <v>7591</v>
      </c>
      <c r="AS384" t="s">
        <v>7592</v>
      </c>
      <c r="AT384" t="s">
        <v>348</v>
      </c>
      <c r="AU384">
        <v>2018</v>
      </c>
      <c r="AV384">
        <v>15</v>
      </c>
      <c r="AW384">
        <v>4</v>
      </c>
      <c r="AX384" t="s">
        <v>74</v>
      </c>
      <c r="AY384" t="s">
        <v>74</v>
      </c>
      <c r="AZ384" t="s">
        <v>74</v>
      </c>
      <c r="BA384" t="s">
        <v>74</v>
      </c>
      <c r="BB384">
        <v>591</v>
      </c>
      <c r="BC384">
        <v>607</v>
      </c>
      <c r="BD384" t="s">
        <v>74</v>
      </c>
      <c r="BE384" t="s">
        <v>10524</v>
      </c>
      <c r="BF384" t="str">
        <f>HYPERLINK("http://dx.doi.org/10.1007/s12208-018-0215-5","http://dx.doi.org/10.1007/s12208-018-0215-5")</f>
        <v>http://dx.doi.org/10.1007/s12208-018-0215-5</v>
      </c>
      <c r="BG384" t="s">
        <v>74</v>
      </c>
      <c r="BH384" t="s">
        <v>74</v>
      </c>
      <c r="BI384">
        <v>17</v>
      </c>
      <c r="BJ384" t="s">
        <v>153</v>
      </c>
      <c r="BK384" t="s">
        <v>3880</v>
      </c>
      <c r="BL384" t="s">
        <v>154</v>
      </c>
      <c r="BM384" t="s">
        <v>10525</v>
      </c>
      <c r="BN384" t="s">
        <v>74</v>
      </c>
      <c r="BO384" t="s">
        <v>74</v>
      </c>
      <c r="BP384" t="s">
        <v>74</v>
      </c>
      <c r="BQ384" t="s">
        <v>74</v>
      </c>
      <c r="BR384" t="s">
        <v>6098</v>
      </c>
      <c r="BS384" t="s">
        <v>10526</v>
      </c>
      <c r="BT384" t="str">
        <f>HYPERLINK("https%3A%2F%2Fwww.webofscience.com%2Fwos%2Fwoscc%2Ffull-record%2FWOS:000913836200008","View Full Record in Web of Science")</f>
        <v>View Full Record in Web of Science</v>
      </c>
      <c r="BU384" t="s">
        <v>6100</v>
      </c>
      <c r="BV384" s="1" t="s">
        <v>6080</v>
      </c>
      <c r="BW384" s="1" t="s">
        <v>6080</v>
      </c>
    </row>
    <row r="385" spans="1:75" ht="333.5" x14ac:dyDescent="0.35">
      <c r="A385" s="1" t="s">
        <v>72</v>
      </c>
      <c r="B385" s="1" t="s">
        <v>336</v>
      </c>
      <c r="C385" s="1" t="s">
        <v>74</v>
      </c>
      <c r="D385" s="1" t="s">
        <v>74</v>
      </c>
      <c r="E385" s="1" t="s">
        <v>74</v>
      </c>
      <c r="F385" s="1" t="s">
        <v>337</v>
      </c>
      <c r="G385" s="1" t="s">
        <v>74</v>
      </c>
      <c r="H385" s="1" t="s">
        <v>74</v>
      </c>
      <c r="I385" s="1" t="s">
        <v>338</v>
      </c>
      <c r="J385" s="1" t="s">
        <v>136</v>
      </c>
      <c r="K385" s="1" t="s">
        <v>74</v>
      </c>
      <c r="L385" s="1" t="s">
        <v>74</v>
      </c>
      <c r="M385" s="1" t="s">
        <v>78</v>
      </c>
      <c r="N385" s="1" t="s">
        <v>79</v>
      </c>
      <c r="O385" s="1" t="s">
        <v>74</v>
      </c>
      <c r="P385" s="1" t="s">
        <v>74</v>
      </c>
      <c r="Q385" s="1" t="s">
        <v>74</v>
      </c>
      <c r="R385" s="1" t="s">
        <v>74</v>
      </c>
      <c r="S385" s="1" t="s">
        <v>74</v>
      </c>
      <c r="T385" s="1" t="s">
        <v>339</v>
      </c>
      <c r="U385" s="1" t="s">
        <v>340</v>
      </c>
      <c r="V385" s="1" t="s">
        <v>341</v>
      </c>
      <c r="W385" s="1" t="s">
        <v>342</v>
      </c>
      <c r="X385" s="1" t="s">
        <v>228</v>
      </c>
      <c r="Y385" s="1" t="s">
        <v>343</v>
      </c>
      <c r="Z385" s="1" t="s">
        <v>344</v>
      </c>
      <c r="AA385" s="1" t="s">
        <v>345</v>
      </c>
      <c r="AB385" s="1" t="s">
        <v>74</v>
      </c>
      <c r="AC385" s="1" t="s">
        <v>346</v>
      </c>
      <c r="AD385" s="1" t="s">
        <v>346</v>
      </c>
      <c r="AE385" s="1" t="s">
        <v>347</v>
      </c>
      <c r="AF385" s="1" t="s">
        <v>74</v>
      </c>
      <c r="AG385" s="1">
        <v>56</v>
      </c>
      <c r="AH385" s="1">
        <v>15</v>
      </c>
      <c r="AI385" s="1">
        <v>15</v>
      </c>
      <c r="AJ385" s="1">
        <v>2</v>
      </c>
      <c r="AK385" s="1">
        <v>52</v>
      </c>
      <c r="AL385" s="1" t="s">
        <v>144</v>
      </c>
      <c r="AM385" s="1" t="s">
        <v>145</v>
      </c>
      <c r="AN385" s="1" t="s">
        <v>146</v>
      </c>
      <c r="AO385" s="1" t="s">
        <v>147</v>
      </c>
      <c r="AP385" s="1" t="s">
        <v>148</v>
      </c>
      <c r="AQ385" s="1" t="s">
        <v>74</v>
      </c>
      <c r="AR385" s="1" t="s">
        <v>149</v>
      </c>
      <c r="AS385" s="1" t="s">
        <v>150</v>
      </c>
      <c r="AT385" s="1" t="s">
        <v>348</v>
      </c>
      <c r="AU385" s="1">
        <v>2019</v>
      </c>
      <c r="AV385" s="1">
        <v>56</v>
      </c>
      <c r="AW385" s="1">
        <v>6</v>
      </c>
      <c r="AX385" s="1" t="s">
        <v>74</v>
      </c>
      <c r="AY385" s="1" t="s">
        <v>74</v>
      </c>
      <c r="AZ385" s="1" t="s">
        <v>74</v>
      </c>
      <c r="BA385" s="1" t="s">
        <v>74</v>
      </c>
      <c r="BB385" s="1">
        <v>895</v>
      </c>
      <c r="BC385" s="1">
        <v>917</v>
      </c>
      <c r="BD385" s="1" t="s">
        <v>74</v>
      </c>
      <c r="BE385" s="1" t="s">
        <v>349</v>
      </c>
      <c r="BF385" s="1" t="str">
        <f>HYPERLINK("http://dx.doi.org/10.1177/0022243719861923","http://dx.doi.org/10.1177/0022243719861923")</f>
        <v>http://dx.doi.org/10.1177/0022243719861923</v>
      </c>
      <c r="BG385" s="1" t="s">
        <v>74</v>
      </c>
      <c r="BH385" s="1" t="s">
        <v>74</v>
      </c>
      <c r="BI385" s="1">
        <v>23</v>
      </c>
      <c r="BJ385" s="1" t="s">
        <v>153</v>
      </c>
      <c r="BK385" s="1" t="s">
        <v>101</v>
      </c>
      <c r="BL385" s="1" t="s">
        <v>154</v>
      </c>
      <c r="BM385" s="1" t="s">
        <v>350</v>
      </c>
      <c r="BN385" s="1" t="s">
        <v>74</v>
      </c>
      <c r="BO385" s="1" t="s">
        <v>74</v>
      </c>
      <c r="BP385" s="1" t="s">
        <v>74</v>
      </c>
      <c r="BQ385" s="1" t="s">
        <v>74</v>
      </c>
      <c r="BR385" s="1" t="s">
        <v>104</v>
      </c>
      <c r="BS385" s="1" t="s">
        <v>351</v>
      </c>
      <c r="BT385" s="1" t="str">
        <f>HYPERLINK("https%3A%2F%2Fwww.webofscience.com%2Fwos%2Fwoscc%2Ffull-record%2FWOS:000500198400001","View Full Record in Web of Science")</f>
        <v>View Full Record in Web of Science</v>
      </c>
      <c r="BU385" s="1" t="s">
        <v>2040</v>
      </c>
      <c r="BV385" s="1" t="s">
        <v>6080</v>
      </c>
      <c r="BW385" s="1" t="s">
        <v>6080</v>
      </c>
    </row>
    <row r="386" spans="1:75" ht="409.5" x14ac:dyDescent="0.35">
      <c r="A386" s="1" t="s">
        <v>72</v>
      </c>
      <c r="B386" s="1" t="s">
        <v>624</v>
      </c>
      <c r="C386" s="1" t="s">
        <v>74</v>
      </c>
      <c r="D386" s="1" t="s">
        <v>74</v>
      </c>
      <c r="E386" s="1" t="s">
        <v>74</v>
      </c>
      <c r="F386" s="1" t="s">
        <v>625</v>
      </c>
      <c r="G386" s="1" t="s">
        <v>74</v>
      </c>
      <c r="H386" s="1" t="s">
        <v>74</v>
      </c>
      <c r="I386" s="1" t="s">
        <v>626</v>
      </c>
      <c r="J386" s="1" t="s">
        <v>436</v>
      </c>
      <c r="K386" s="1" t="s">
        <v>74</v>
      </c>
      <c r="L386" s="1" t="s">
        <v>74</v>
      </c>
      <c r="M386" s="1" t="s">
        <v>78</v>
      </c>
      <c r="N386" s="1" t="s">
        <v>79</v>
      </c>
      <c r="O386" s="1" t="s">
        <v>74</v>
      </c>
      <c r="P386" s="1" t="s">
        <v>74</v>
      </c>
      <c r="Q386" s="1" t="s">
        <v>74</v>
      </c>
      <c r="R386" s="1" t="s">
        <v>74</v>
      </c>
      <c r="S386" s="1" t="s">
        <v>74</v>
      </c>
      <c r="T386" s="1" t="s">
        <v>627</v>
      </c>
      <c r="U386" s="1" t="s">
        <v>628</v>
      </c>
      <c r="V386" s="1" t="s">
        <v>629</v>
      </c>
      <c r="W386" s="1" t="s">
        <v>630</v>
      </c>
      <c r="X386" s="1" t="s">
        <v>631</v>
      </c>
      <c r="Y386" s="1" t="s">
        <v>632</v>
      </c>
      <c r="Z386" s="1" t="s">
        <v>633</v>
      </c>
      <c r="AA386" s="1" t="s">
        <v>74</v>
      </c>
      <c r="AB386" s="1" t="s">
        <v>74</v>
      </c>
      <c r="AC386" s="1" t="s">
        <v>634</v>
      </c>
      <c r="AD386" s="1" t="s">
        <v>634</v>
      </c>
      <c r="AE386" s="1" t="s">
        <v>635</v>
      </c>
      <c r="AF386" s="1" t="s">
        <v>74</v>
      </c>
      <c r="AG386" s="1">
        <v>57</v>
      </c>
      <c r="AH386" s="1">
        <v>24</v>
      </c>
      <c r="AI386" s="1">
        <v>24</v>
      </c>
      <c r="AJ386" s="1">
        <v>9</v>
      </c>
      <c r="AK386" s="1">
        <v>77</v>
      </c>
      <c r="AL386" s="1" t="s">
        <v>446</v>
      </c>
      <c r="AM386" s="1" t="s">
        <v>447</v>
      </c>
      <c r="AN386" s="1" t="s">
        <v>448</v>
      </c>
      <c r="AO386" s="1" t="s">
        <v>449</v>
      </c>
      <c r="AP386" s="1" t="s">
        <v>450</v>
      </c>
      <c r="AQ386" s="1" t="s">
        <v>74</v>
      </c>
      <c r="AR386" s="1" t="s">
        <v>451</v>
      </c>
      <c r="AS386" s="1" t="s">
        <v>452</v>
      </c>
      <c r="AT386" s="1" t="s">
        <v>330</v>
      </c>
      <c r="AU386" s="1">
        <v>2019</v>
      </c>
      <c r="AV386" s="1">
        <v>38</v>
      </c>
      <c r="AW386" s="1">
        <v>2</v>
      </c>
      <c r="AX386" s="1" t="s">
        <v>74</v>
      </c>
      <c r="AY386" s="1" t="s">
        <v>74</v>
      </c>
      <c r="AZ386" s="1" t="s">
        <v>74</v>
      </c>
      <c r="BA386" s="1" t="s">
        <v>74</v>
      </c>
      <c r="BB386" s="1">
        <v>274</v>
      </c>
      <c r="BC386" s="1">
        <v>295</v>
      </c>
      <c r="BD386" s="1" t="s">
        <v>74</v>
      </c>
      <c r="BE386" s="1" t="s">
        <v>636</v>
      </c>
      <c r="BF386" s="1" t="str">
        <f>HYPERLINK("http://dx.doi.org/10.1287/mksc.2018.1139","http://dx.doi.org/10.1287/mksc.2018.1139")</f>
        <v>http://dx.doi.org/10.1287/mksc.2018.1139</v>
      </c>
      <c r="BG386" s="1" t="s">
        <v>74</v>
      </c>
      <c r="BH386" s="1" t="s">
        <v>74</v>
      </c>
      <c r="BI386" s="1">
        <v>22</v>
      </c>
      <c r="BJ386" s="1" t="s">
        <v>153</v>
      </c>
      <c r="BK386" s="1" t="s">
        <v>101</v>
      </c>
      <c r="BL386" s="1" t="s">
        <v>154</v>
      </c>
      <c r="BM386" s="1" t="s">
        <v>637</v>
      </c>
      <c r="BN386" s="1" t="s">
        <v>74</v>
      </c>
      <c r="BO386" s="1" t="s">
        <v>156</v>
      </c>
      <c r="BP386" s="1" t="s">
        <v>74</v>
      </c>
      <c r="BQ386" s="1" t="s">
        <v>74</v>
      </c>
      <c r="BR386" s="1" t="s">
        <v>104</v>
      </c>
      <c r="BS386" s="1" t="s">
        <v>638</v>
      </c>
      <c r="BT386" s="1" t="str">
        <f>HYPERLINK("https%3A%2F%2Fwww.webofscience.com%2Fwos%2Fwoscc%2Ffull-record%2FWOS:000464924900004","View Full Record in Web of Science")</f>
        <v>View Full Record in Web of Science</v>
      </c>
      <c r="BU386" s="1" t="s">
        <v>2040</v>
      </c>
      <c r="BV386" s="1" t="s">
        <v>6080</v>
      </c>
      <c r="BW386" s="1" t="s">
        <v>6080</v>
      </c>
    </row>
    <row r="387" spans="1:75" ht="406" x14ac:dyDescent="0.35">
      <c r="A387" s="1" t="s">
        <v>72</v>
      </c>
      <c r="B387" s="1" t="s">
        <v>692</v>
      </c>
      <c r="C387" s="1" t="s">
        <v>74</v>
      </c>
      <c r="D387" s="1" t="s">
        <v>74</v>
      </c>
      <c r="E387" s="1" t="s">
        <v>74</v>
      </c>
      <c r="F387" s="1" t="s">
        <v>693</v>
      </c>
      <c r="G387" s="1" t="s">
        <v>74</v>
      </c>
      <c r="H387" s="1" t="s">
        <v>74</v>
      </c>
      <c r="I387" s="1" t="s">
        <v>694</v>
      </c>
      <c r="J387" s="1" t="s">
        <v>240</v>
      </c>
      <c r="K387" s="1" t="s">
        <v>74</v>
      </c>
      <c r="L387" s="1" t="s">
        <v>74</v>
      </c>
      <c r="M387" s="1" t="s">
        <v>78</v>
      </c>
      <c r="N387" s="1" t="s">
        <v>79</v>
      </c>
      <c r="O387" s="1" t="s">
        <v>74</v>
      </c>
      <c r="P387" s="1" t="s">
        <v>74</v>
      </c>
      <c r="Q387" s="1" t="s">
        <v>74</v>
      </c>
      <c r="R387" s="1" t="s">
        <v>74</v>
      </c>
      <c r="S387" s="1" t="s">
        <v>74</v>
      </c>
      <c r="T387" s="1" t="s">
        <v>695</v>
      </c>
      <c r="U387" s="1" t="s">
        <v>696</v>
      </c>
      <c r="V387" s="1" t="s">
        <v>697</v>
      </c>
      <c r="W387" s="1" t="s">
        <v>698</v>
      </c>
      <c r="X387" s="1" t="s">
        <v>699</v>
      </c>
      <c r="Y387" s="1" t="s">
        <v>700</v>
      </c>
      <c r="Z387" s="1" t="s">
        <v>701</v>
      </c>
      <c r="AA387" s="1" t="s">
        <v>702</v>
      </c>
      <c r="AB387" s="1" t="s">
        <v>703</v>
      </c>
      <c r="AC387" s="1" t="s">
        <v>74</v>
      </c>
      <c r="AD387" s="1" t="s">
        <v>74</v>
      </c>
      <c r="AE387" s="1" t="s">
        <v>74</v>
      </c>
      <c r="AF387" s="1" t="s">
        <v>74</v>
      </c>
      <c r="AG387" s="1">
        <v>56</v>
      </c>
      <c r="AH387" s="1">
        <v>16</v>
      </c>
      <c r="AI387" s="1">
        <v>16</v>
      </c>
      <c r="AJ387" s="1">
        <v>16</v>
      </c>
      <c r="AK387" s="1">
        <v>68</v>
      </c>
      <c r="AL387" s="1" t="s">
        <v>144</v>
      </c>
      <c r="AM387" s="1" t="s">
        <v>145</v>
      </c>
      <c r="AN387" s="1" t="s">
        <v>146</v>
      </c>
      <c r="AO387" s="1" t="s">
        <v>254</v>
      </c>
      <c r="AP387" s="1" t="s">
        <v>255</v>
      </c>
      <c r="AQ387" s="1" t="s">
        <v>74</v>
      </c>
      <c r="AR387" s="1" t="s">
        <v>256</v>
      </c>
      <c r="AS387" s="1" t="s">
        <v>257</v>
      </c>
      <c r="AT387" s="1" t="s">
        <v>704</v>
      </c>
      <c r="AU387" s="1">
        <v>2019</v>
      </c>
      <c r="AV387" s="1">
        <v>83</v>
      </c>
      <c r="AW387" s="1">
        <v>3</v>
      </c>
      <c r="AX387" s="1" t="s">
        <v>74</v>
      </c>
      <c r="AY387" s="1" t="s">
        <v>74</v>
      </c>
      <c r="AZ387" s="1" t="s">
        <v>74</v>
      </c>
      <c r="BA387" s="1" t="s">
        <v>74</v>
      </c>
      <c r="BB387" s="1">
        <v>72</v>
      </c>
      <c r="BC387" s="1">
        <v>90</v>
      </c>
      <c r="BD387" s="1" t="s">
        <v>74</v>
      </c>
      <c r="BE387" s="1" t="s">
        <v>705</v>
      </c>
      <c r="BF387" s="1" t="str">
        <f>HYPERLINK("http://dx.doi.org/10.1177/0022242919830958","http://dx.doi.org/10.1177/0022242919830958")</f>
        <v>http://dx.doi.org/10.1177/0022242919830958</v>
      </c>
      <c r="BG387" s="1" t="s">
        <v>74</v>
      </c>
      <c r="BH387" s="1" t="s">
        <v>74</v>
      </c>
      <c r="BI387" s="1">
        <v>19</v>
      </c>
      <c r="BJ387" s="1" t="s">
        <v>153</v>
      </c>
      <c r="BK387" s="1" t="s">
        <v>101</v>
      </c>
      <c r="BL387" s="1" t="s">
        <v>154</v>
      </c>
      <c r="BM387" s="1" t="s">
        <v>706</v>
      </c>
      <c r="BN387" s="1" t="s">
        <v>74</v>
      </c>
      <c r="BO387" s="1" t="s">
        <v>74</v>
      </c>
      <c r="BP387" s="1" t="s">
        <v>74</v>
      </c>
      <c r="BQ387" s="1" t="s">
        <v>74</v>
      </c>
      <c r="BR387" s="1" t="s">
        <v>104</v>
      </c>
      <c r="BS387" s="1" t="s">
        <v>707</v>
      </c>
      <c r="BT387" s="1" t="str">
        <f>HYPERLINK("https%3A%2F%2Fwww.webofscience.com%2Fwos%2Fwoscc%2Ffull-record%2FWOS:000463799000004","View Full Record in Web of Science")</f>
        <v>View Full Record in Web of Science</v>
      </c>
      <c r="BU387" s="1" t="s">
        <v>2040</v>
      </c>
      <c r="BV387" s="1" t="s">
        <v>6080</v>
      </c>
      <c r="BW387" s="1" t="s">
        <v>6080</v>
      </c>
    </row>
    <row r="388" spans="1:75" ht="409.5" x14ac:dyDescent="0.35">
      <c r="A388" s="1" t="s">
        <v>72</v>
      </c>
      <c r="B388" s="1" t="s">
        <v>785</v>
      </c>
      <c r="C388" s="1" t="s">
        <v>74</v>
      </c>
      <c r="D388" s="1" t="s">
        <v>74</v>
      </c>
      <c r="E388" s="1" t="s">
        <v>74</v>
      </c>
      <c r="F388" s="1" t="s">
        <v>786</v>
      </c>
      <c r="G388" s="1" t="s">
        <v>74</v>
      </c>
      <c r="H388" s="1" t="s">
        <v>74</v>
      </c>
      <c r="I388" s="1" t="s">
        <v>787</v>
      </c>
      <c r="J388" s="1" t="s">
        <v>788</v>
      </c>
      <c r="K388" s="1" t="s">
        <v>74</v>
      </c>
      <c r="L388" s="1" t="s">
        <v>74</v>
      </c>
      <c r="M388" s="1" t="s">
        <v>78</v>
      </c>
      <c r="N388" s="1" t="s">
        <v>79</v>
      </c>
      <c r="O388" s="1" t="s">
        <v>74</v>
      </c>
      <c r="P388" s="1" t="s">
        <v>74</v>
      </c>
      <c r="Q388" s="1" t="s">
        <v>74</v>
      </c>
      <c r="R388" s="1" t="s">
        <v>74</v>
      </c>
      <c r="S388" s="1" t="s">
        <v>74</v>
      </c>
      <c r="T388" s="1" t="s">
        <v>789</v>
      </c>
      <c r="U388" s="1" t="s">
        <v>790</v>
      </c>
      <c r="V388" s="1" t="s">
        <v>791</v>
      </c>
      <c r="W388" s="1" t="s">
        <v>792</v>
      </c>
      <c r="X388" s="1" t="s">
        <v>793</v>
      </c>
      <c r="Y388" s="1" t="s">
        <v>794</v>
      </c>
      <c r="Z388" s="1" t="s">
        <v>795</v>
      </c>
      <c r="AA388" s="1" t="s">
        <v>74</v>
      </c>
      <c r="AB388" s="1" t="s">
        <v>796</v>
      </c>
      <c r="AC388" s="1" t="s">
        <v>797</v>
      </c>
      <c r="AD388" s="1" t="s">
        <v>798</v>
      </c>
      <c r="AE388" s="1" t="s">
        <v>799</v>
      </c>
      <c r="AF388" s="1" t="s">
        <v>74</v>
      </c>
      <c r="AG388" s="1">
        <v>74</v>
      </c>
      <c r="AH388" s="1">
        <v>137</v>
      </c>
      <c r="AI388" s="1">
        <v>139</v>
      </c>
      <c r="AJ388" s="1">
        <v>27</v>
      </c>
      <c r="AK388" s="1">
        <v>127</v>
      </c>
      <c r="AL388" s="1" t="s">
        <v>409</v>
      </c>
      <c r="AM388" s="1" t="s">
        <v>410</v>
      </c>
      <c r="AN388" s="1" t="s">
        <v>411</v>
      </c>
      <c r="AO388" s="1" t="s">
        <v>800</v>
      </c>
      <c r="AP388" s="1" t="s">
        <v>801</v>
      </c>
      <c r="AQ388" s="1" t="s">
        <v>74</v>
      </c>
      <c r="AR388" s="1" t="s">
        <v>802</v>
      </c>
      <c r="AS388" s="1" t="s">
        <v>803</v>
      </c>
      <c r="AT388" s="1" t="s">
        <v>363</v>
      </c>
      <c r="AU388" s="1">
        <v>2019</v>
      </c>
      <c r="AV388" s="1">
        <v>36</v>
      </c>
      <c r="AW388" s="1">
        <v>1</v>
      </c>
      <c r="AX388" s="1" t="s">
        <v>74</v>
      </c>
      <c r="AY388" s="1" t="s">
        <v>74</v>
      </c>
      <c r="AZ388" s="1" t="s">
        <v>74</v>
      </c>
      <c r="BA388" s="1" t="s">
        <v>74</v>
      </c>
      <c r="BB388" s="1">
        <v>20</v>
      </c>
      <c r="BC388" s="1">
        <v>38</v>
      </c>
      <c r="BD388" s="1" t="s">
        <v>74</v>
      </c>
      <c r="BE388" s="1" t="s">
        <v>804</v>
      </c>
      <c r="BF388" s="1" t="str">
        <f>HYPERLINK("http://dx.doi.org/10.1016/j.ijresmar.2018.09.009","http://dx.doi.org/10.1016/j.ijresmar.2018.09.009")</f>
        <v>http://dx.doi.org/10.1016/j.ijresmar.2018.09.009</v>
      </c>
      <c r="BG388" s="1" t="s">
        <v>74</v>
      </c>
      <c r="BH388" s="1" t="s">
        <v>74</v>
      </c>
      <c r="BI388" s="1">
        <v>19</v>
      </c>
      <c r="BJ388" s="1" t="s">
        <v>153</v>
      </c>
      <c r="BK388" s="1" t="s">
        <v>101</v>
      </c>
      <c r="BL388" s="1" t="s">
        <v>154</v>
      </c>
      <c r="BM388" s="1" t="s">
        <v>805</v>
      </c>
      <c r="BN388" s="1" t="s">
        <v>74</v>
      </c>
      <c r="BO388" s="1" t="s">
        <v>131</v>
      </c>
      <c r="BP388" s="1" t="s">
        <v>218</v>
      </c>
      <c r="BQ388" s="1" t="s">
        <v>219</v>
      </c>
      <c r="BR388" s="1" t="s">
        <v>104</v>
      </c>
      <c r="BS388" s="1" t="s">
        <v>806</v>
      </c>
      <c r="BT388" s="1" t="str">
        <f>HYPERLINK("https%3A%2F%2Fwww.webofscience.com%2Fwos%2Fwoscc%2Ffull-record%2FWOS:000466623300003","View Full Record in Web of Science")</f>
        <v>View Full Record in Web of Science</v>
      </c>
      <c r="BU388" s="1" t="s">
        <v>2040</v>
      </c>
      <c r="BV388" s="1" t="s">
        <v>6080</v>
      </c>
      <c r="BW388" s="1" t="s">
        <v>6080</v>
      </c>
    </row>
    <row r="389" spans="1:75" ht="348" x14ac:dyDescent="0.35">
      <c r="A389" s="1" t="s">
        <v>72</v>
      </c>
      <c r="B389" s="1" t="s">
        <v>830</v>
      </c>
      <c r="C389" s="1" t="s">
        <v>74</v>
      </c>
      <c r="D389" s="1" t="s">
        <v>74</v>
      </c>
      <c r="E389" s="1" t="s">
        <v>74</v>
      </c>
      <c r="F389" s="1" t="s">
        <v>831</v>
      </c>
      <c r="G389" s="1" t="s">
        <v>74</v>
      </c>
      <c r="H389" s="1" t="s">
        <v>74</v>
      </c>
      <c r="I389" s="1" t="s">
        <v>832</v>
      </c>
      <c r="J389" s="1" t="s">
        <v>240</v>
      </c>
      <c r="K389" s="1" t="s">
        <v>74</v>
      </c>
      <c r="L389" s="1" t="s">
        <v>74</v>
      </c>
      <c r="M389" s="1" t="s">
        <v>78</v>
      </c>
      <c r="N389" s="1" t="s">
        <v>79</v>
      </c>
      <c r="O389" s="1" t="s">
        <v>74</v>
      </c>
      <c r="P389" s="1" t="s">
        <v>74</v>
      </c>
      <c r="Q389" s="1" t="s">
        <v>74</v>
      </c>
      <c r="R389" s="1" t="s">
        <v>74</v>
      </c>
      <c r="S389" s="1" t="s">
        <v>74</v>
      </c>
      <c r="T389" s="1" t="s">
        <v>833</v>
      </c>
      <c r="U389" s="1" t="s">
        <v>834</v>
      </c>
      <c r="V389" s="1" t="s">
        <v>835</v>
      </c>
      <c r="W389" s="1" t="s">
        <v>836</v>
      </c>
      <c r="X389" s="1" t="s">
        <v>837</v>
      </c>
      <c r="Y389" s="1" t="s">
        <v>838</v>
      </c>
      <c r="Z389" s="1" t="s">
        <v>839</v>
      </c>
      <c r="AA389" s="1" t="s">
        <v>840</v>
      </c>
      <c r="AB389" s="1" t="s">
        <v>841</v>
      </c>
      <c r="AC389" s="1" t="s">
        <v>842</v>
      </c>
      <c r="AD389" s="1" t="s">
        <v>842</v>
      </c>
      <c r="AE389" s="1" t="s">
        <v>843</v>
      </c>
      <c r="AF389" s="1" t="s">
        <v>74</v>
      </c>
      <c r="AG389" s="1">
        <v>80</v>
      </c>
      <c r="AH389" s="1">
        <v>111</v>
      </c>
      <c r="AI389" s="1">
        <v>111</v>
      </c>
      <c r="AJ389" s="1">
        <v>33</v>
      </c>
      <c r="AK389" s="1">
        <v>320</v>
      </c>
      <c r="AL389" s="1" t="s">
        <v>144</v>
      </c>
      <c r="AM389" s="1" t="s">
        <v>145</v>
      </c>
      <c r="AN389" s="1" t="s">
        <v>146</v>
      </c>
      <c r="AO389" s="1" t="s">
        <v>254</v>
      </c>
      <c r="AP389" s="1" t="s">
        <v>255</v>
      </c>
      <c r="AQ389" s="1" t="s">
        <v>74</v>
      </c>
      <c r="AR389" s="1" t="s">
        <v>256</v>
      </c>
      <c r="AS389" s="1" t="s">
        <v>257</v>
      </c>
      <c r="AT389" s="1" t="s">
        <v>704</v>
      </c>
      <c r="AU389" s="1">
        <v>2019</v>
      </c>
      <c r="AV389" s="1">
        <v>83</v>
      </c>
      <c r="AW389" s="1">
        <v>3</v>
      </c>
      <c r="AX389" s="1" t="s">
        <v>74</v>
      </c>
      <c r="AY389" s="1" t="s">
        <v>74</v>
      </c>
      <c r="AZ389" s="1" t="s">
        <v>74</v>
      </c>
      <c r="BA389" s="1" t="s">
        <v>74</v>
      </c>
      <c r="BB389" s="1">
        <v>1</v>
      </c>
      <c r="BC389" s="1">
        <v>21</v>
      </c>
      <c r="BD389" s="1" t="s">
        <v>74</v>
      </c>
      <c r="BE389" s="1" t="s">
        <v>844</v>
      </c>
      <c r="BF389" s="1" t="str">
        <f>HYPERLINK("http://dx.doi.org/10.1177/0022242918822300","http://dx.doi.org/10.1177/0022242918822300")</f>
        <v>http://dx.doi.org/10.1177/0022242918822300</v>
      </c>
      <c r="BG389" s="1" t="s">
        <v>74</v>
      </c>
      <c r="BH389" s="1" t="s">
        <v>74</v>
      </c>
      <c r="BI389" s="1">
        <v>21</v>
      </c>
      <c r="BJ389" s="1" t="s">
        <v>153</v>
      </c>
      <c r="BK389" s="1" t="s">
        <v>101</v>
      </c>
      <c r="BL389" s="1" t="s">
        <v>154</v>
      </c>
      <c r="BM389" s="1" t="s">
        <v>706</v>
      </c>
      <c r="BN389" s="1" t="s">
        <v>74</v>
      </c>
      <c r="BO389" s="1" t="s">
        <v>367</v>
      </c>
      <c r="BP389" s="1" t="s">
        <v>218</v>
      </c>
      <c r="BQ389" s="1" t="s">
        <v>219</v>
      </c>
      <c r="BR389" s="1" t="s">
        <v>104</v>
      </c>
      <c r="BS389" s="1" t="s">
        <v>845</v>
      </c>
      <c r="BT389" s="1" t="str">
        <f>HYPERLINK("https%3A%2F%2Fwww.webofscience.com%2Fwos%2Fwoscc%2Ffull-record%2FWOS:000463799000001","View Full Record in Web of Science")</f>
        <v>View Full Record in Web of Science</v>
      </c>
      <c r="BU389" s="1" t="s">
        <v>2040</v>
      </c>
      <c r="BV389" s="1" t="s">
        <v>6080</v>
      </c>
      <c r="BW389" s="1" t="s">
        <v>6080</v>
      </c>
    </row>
    <row r="390" spans="1:75" ht="391.5" x14ac:dyDescent="0.35">
      <c r="A390" s="1" t="s">
        <v>72</v>
      </c>
      <c r="B390" s="1" t="s">
        <v>1094</v>
      </c>
      <c r="C390" s="1" t="s">
        <v>74</v>
      </c>
      <c r="D390" s="1" t="s">
        <v>74</v>
      </c>
      <c r="E390" s="1" t="s">
        <v>74</v>
      </c>
      <c r="F390" s="1" t="s">
        <v>1095</v>
      </c>
      <c r="G390" s="1" t="s">
        <v>74</v>
      </c>
      <c r="H390" s="1" t="s">
        <v>74</v>
      </c>
      <c r="I390" s="1" t="s">
        <v>1096</v>
      </c>
      <c r="J390" s="1" t="s">
        <v>161</v>
      </c>
      <c r="K390" s="1" t="s">
        <v>74</v>
      </c>
      <c r="L390" s="1" t="s">
        <v>74</v>
      </c>
      <c r="M390" s="1" t="s">
        <v>78</v>
      </c>
      <c r="N390" s="1" t="s">
        <v>79</v>
      </c>
      <c r="O390" s="1" t="s">
        <v>74</v>
      </c>
      <c r="P390" s="1" t="s">
        <v>74</v>
      </c>
      <c r="Q390" s="1" t="s">
        <v>74</v>
      </c>
      <c r="R390" s="1" t="s">
        <v>74</v>
      </c>
      <c r="S390" s="1" t="s">
        <v>74</v>
      </c>
      <c r="T390" s="1" t="s">
        <v>1097</v>
      </c>
      <c r="U390" s="1" t="s">
        <v>1098</v>
      </c>
      <c r="V390" s="1" t="s">
        <v>1099</v>
      </c>
      <c r="W390" s="1" t="s">
        <v>1100</v>
      </c>
      <c r="X390" s="1" t="s">
        <v>1101</v>
      </c>
      <c r="Y390" s="1" t="s">
        <v>1102</v>
      </c>
      <c r="Z390" s="1" t="s">
        <v>1103</v>
      </c>
      <c r="AA390" s="1" t="s">
        <v>1104</v>
      </c>
      <c r="AB390" s="1" t="s">
        <v>74</v>
      </c>
      <c r="AC390" s="1" t="s">
        <v>74</v>
      </c>
      <c r="AD390" s="1" t="s">
        <v>74</v>
      </c>
      <c r="AE390" s="1" t="s">
        <v>74</v>
      </c>
      <c r="AF390" s="1" t="s">
        <v>74</v>
      </c>
      <c r="AG390" s="1">
        <v>89</v>
      </c>
      <c r="AH390" s="1">
        <v>253</v>
      </c>
      <c r="AI390" s="1">
        <v>259</v>
      </c>
      <c r="AJ390" s="1">
        <v>124</v>
      </c>
      <c r="AK390" s="1">
        <v>535</v>
      </c>
      <c r="AL390" s="1" t="s">
        <v>170</v>
      </c>
      <c r="AM390" s="1" t="s">
        <v>171</v>
      </c>
      <c r="AN390" s="1" t="s">
        <v>172</v>
      </c>
      <c r="AO390" s="1" t="s">
        <v>173</v>
      </c>
      <c r="AP390" s="1" t="s">
        <v>174</v>
      </c>
      <c r="AQ390" s="1" t="s">
        <v>74</v>
      </c>
      <c r="AR390" s="1" t="s">
        <v>175</v>
      </c>
      <c r="AS390" s="1" t="s">
        <v>176</v>
      </c>
      <c r="AT390" s="1" t="s">
        <v>348</v>
      </c>
      <c r="AU390" s="1">
        <v>2019</v>
      </c>
      <c r="AV390" s="1">
        <v>46</v>
      </c>
      <c r="AW390" s="1">
        <v>4</v>
      </c>
      <c r="AX390" s="1" t="s">
        <v>74</v>
      </c>
      <c r="AY390" s="1" t="s">
        <v>74</v>
      </c>
      <c r="AZ390" s="1" t="s">
        <v>74</v>
      </c>
      <c r="BA390" s="1" t="s">
        <v>74</v>
      </c>
      <c r="BB390" s="1">
        <v>629</v>
      </c>
      <c r="BC390" s="1">
        <v>650</v>
      </c>
      <c r="BD390" s="1" t="s">
        <v>74</v>
      </c>
      <c r="BE390" s="1" t="s">
        <v>1105</v>
      </c>
      <c r="BF390" s="1" t="str">
        <f>HYPERLINK("http://dx.doi.org/10.1093/jcr/ucz013","http://dx.doi.org/10.1093/jcr/ucz013")</f>
        <v>http://dx.doi.org/10.1093/jcr/ucz013</v>
      </c>
      <c r="BG390" s="1" t="s">
        <v>74</v>
      </c>
      <c r="BH390" s="1" t="s">
        <v>74</v>
      </c>
      <c r="BI390" s="1">
        <v>22</v>
      </c>
      <c r="BJ390" s="1" t="s">
        <v>153</v>
      </c>
      <c r="BK390" s="1" t="s">
        <v>101</v>
      </c>
      <c r="BL390" s="1" t="s">
        <v>154</v>
      </c>
      <c r="BM390" s="1" t="s">
        <v>1106</v>
      </c>
      <c r="BN390" s="1" t="s">
        <v>74</v>
      </c>
      <c r="BO390" s="1" t="s">
        <v>334</v>
      </c>
      <c r="BP390" s="1" t="s">
        <v>218</v>
      </c>
      <c r="BQ390" s="1" t="s">
        <v>219</v>
      </c>
      <c r="BR390" s="1" t="s">
        <v>104</v>
      </c>
      <c r="BS390" s="1" t="s">
        <v>1107</v>
      </c>
      <c r="BT390" s="1" t="str">
        <f>HYPERLINK("https%3A%2F%2Fwww.webofscience.com%2Fwos%2Fwoscc%2Ffull-record%2FWOS:000507376000001","View Full Record in Web of Science")</f>
        <v>View Full Record in Web of Science</v>
      </c>
      <c r="BU390" s="1" t="s">
        <v>2040</v>
      </c>
      <c r="BV390" s="1" t="s">
        <v>6080</v>
      </c>
      <c r="BW390" s="1" t="s">
        <v>6080</v>
      </c>
    </row>
    <row r="391" spans="1:75" ht="362.5" x14ac:dyDescent="0.35">
      <c r="A391" s="1" t="s">
        <v>72</v>
      </c>
      <c r="B391" s="1" t="s">
        <v>1261</v>
      </c>
      <c r="C391" s="1" t="s">
        <v>74</v>
      </c>
      <c r="D391" s="1" t="s">
        <v>74</v>
      </c>
      <c r="E391" s="1" t="s">
        <v>74</v>
      </c>
      <c r="F391" s="1" t="s">
        <v>1262</v>
      </c>
      <c r="G391" s="1" t="s">
        <v>74</v>
      </c>
      <c r="H391" s="1" t="s">
        <v>74</v>
      </c>
      <c r="I391" s="1" t="s">
        <v>1263</v>
      </c>
      <c r="J391" s="1" t="s">
        <v>136</v>
      </c>
      <c r="K391" s="1" t="s">
        <v>74</v>
      </c>
      <c r="L391" s="1" t="s">
        <v>74</v>
      </c>
      <c r="M391" s="1" t="s">
        <v>78</v>
      </c>
      <c r="N391" s="1" t="s">
        <v>79</v>
      </c>
      <c r="O391" s="1" t="s">
        <v>74</v>
      </c>
      <c r="P391" s="1" t="s">
        <v>74</v>
      </c>
      <c r="Q391" s="1" t="s">
        <v>74</v>
      </c>
      <c r="R391" s="1" t="s">
        <v>74</v>
      </c>
      <c r="S391" s="1" t="s">
        <v>74</v>
      </c>
      <c r="T391" s="1" t="s">
        <v>1264</v>
      </c>
      <c r="U391" s="1" t="s">
        <v>1265</v>
      </c>
      <c r="V391" s="1" t="s">
        <v>1266</v>
      </c>
      <c r="W391" s="1" t="s">
        <v>1267</v>
      </c>
      <c r="X391" s="1" t="s">
        <v>1268</v>
      </c>
      <c r="Y391" s="1" t="s">
        <v>1269</v>
      </c>
      <c r="Z391" s="1" t="s">
        <v>1270</v>
      </c>
      <c r="AA391" s="1" t="s">
        <v>1271</v>
      </c>
      <c r="AB391" s="1" t="s">
        <v>74</v>
      </c>
      <c r="AC391" s="1" t="s">
        <v>74</v>
      </c>
      <c r="AD391" s="1" t="s">
        <v>74</v>
      </c>
      <c r="AE391" s="1" t="s">
        <v>74</v>
      </c>
      <c r="AF391" s="1" t="s">
        <v>74</v>
      </c>
      <c r="AG391" s="1">
        <v>42</v>
      </c>
      <c r="AH391" s="1">
        <v>61</v>
      </c>
      <c r="AI391" s="1">
        <v>61</v>
      </c>
      <c r="AJ391" s="1">
        <v>13</v>
      </c>
      <c r="AK391" s="1">
        <v>140</v>
      </c>
      <c r="AL391" s="1" t="s">
        <v>144</v>
      </c>
      <c r="AM391" s="1" t="s">
        <v>145</v>
      </c>
      <c r="AN391" s="1" t="s">
        <v>146</v>
      </c>
      <c r="AO391" s="1" t="s">
        <v>147</v>
      </c>
      <c r="AP391" s="1" t="s">
        <v>148</v>
      </c>
      <c r="AQ391" s="1" t="s">
        <v>74</v>
      </c>
      <c r="AR391" s="1" t="s">
        <v>149</v>
      </c>
      <c r="AS391" s="1" t="s">
        <v>150</v>
      </c>
      <c r="AT391" s="1" t="s">
        <v>294</v>
      </c>
      <c r="AU391" s="1">
        <v>2019</v>
      </c>
      <c r="AV391" s="1">
        <v>56</v>
      </c>
      <c r="AW391" s="1">
        <v>2</v>
      </c>
      <c r="AX391" s="1" t="s">
        <v>74</v>
      </c>
      <c r="AY391" s="1" t="s">
        <v>74</v>
      </c>
      <c r="AZ391" s="1" t="s">
        <v>74</v>
      </c>
      <c r="BA391" s="1" t="s">
        <v>74</v>
      </c>
      <c r="BB391" s="1">
        <v>259</v>
      </c>
      <c r="BC391" s="1">
        <v>275</v>
      </c>
      <c r="BD391" s="1" t="s">
        <v>74</v>
      </c>
      <c r="BE391" s="1" t="s">
        <v>1272</v>
      </c>
      <c r="BF391" s="1" t="str">
        <f>HYPERLINK("http://dx.doi.org/10.1177/0022243718815429","http://dx.doi.org/10.1177/0022243718815429")</f>
        <v>http://dx.doi.org/10.1177/0022243718815429</v>
      </c>
      <c r="BG391" s="1" t="s">
        <v>74</v>
      </c>
      <c r="BH391" s="1" t="s">
        <v>74</v>
      </c>
      <c r="BI391" s="1">
        <v>17</v>
      </c>
      <c r="BJ391" s="1" t="s">
        <v>153</v>
      </c>
      <c r="BK391" s="1" t="s">
        <v>101</v>
      </c>
      <c r="BL391" s="1" t="s">
        <v>154</v>
      </c>
      <c r="BM391" s="1" t="s">
        <v>1273</v>
      </c>
      <c r="BN391" s="1" t="s">
        <v>74</v>
      </c>
      <c r="BO391" s="1" t="s">
        <v>74</v>
      </c>
      <c r="BP391" s="1" t="s">
        <v>74</v>
      </c>
      <c r="BQ391" s="1" t="s">
        <v>74</v>
      </c>
      <c r="BR391" s="1" t="s">
        <v>104</v>
      </c>
      <c r="BS391" s="1" t="s">
        <v>1274</v>
      </c>
      <c r="BT391" s="1" t="str">
        <f>HYPERLINK("https%3A%2F%2Fwww.webofscience.com%2Fwos%2Fwoscc%2Ffull-record%2FWOS:000461770900006","View Full Record in Web of Science")</f>
        <v>View Full Record in Web of Science</v>
      </c>
      <c r="BU391" s="1" t="s">
        <v>2040</v>
      </c>
      <c r="BV391" s="1" t="s">
        <v>6080</v>
      </c>
      <c r="BW391" s="1" t="s">
        <v>6080</v>
      </c>
    </row>
    <row r="392" spans="1:75" ht="406" x14ac:dyDescent="0.35">
      <c r="A392" s="1" t="s">
        <v>72</v>
      </c>
      <c r="B392" s="1" t="s">
        <v>1318</v>
      </c>
      <c r="C392" s="1" t="s">
        <v>74</v>
      </c>
      <c r="D392" s="1" t="s">
        <v>74</v>
      </c>
      <c r="E392" s="1" t="s">
        <v>74</v>
      </c>
      <c r="F392" s="1" t="s">
        <v>1319</v>
      </c>
      <c r="G392" s="1" t="s">
        <v>74</v>
      </c>
      <c r="H392" s="1" t="s">
        <v>74</v>
      </c>
      <c r="I392" s="1" t="s">
        <v>1320</v>
      </c>
      <c r="J392" s="1" t="s">
        <v>240</v>
      </c>
      <c r="K392" s="1" t="s">
        <v>74</v>
      </c>
      <c r="L392" s="1" t="s">
        <v>74</v>
      </c>
      <c r="M392" s="1" t="s">
        <v>78</v>
      </c>
      <c r="N392" s="1" t="s">
        <v>79</v>
      </c>
      <c r="O392" s="1" t="s">
        <v>74</v>
      </c>
      <c r="P392" s="1" t="s">
        <v>74</v>
      </c>
      <c r="Q392" s="1" t="s">
        <v>74</v>
      </c>
      <c r="R392" s="1" t="s">
        <v>74</v>
      </c>
      <c r="S392" s="1" t="s">
        <v>74</v>
      </c>
      <c r="T392" s="1" t="s">
        <v>1321</v>
      </c>
      <c r="U392" s="1" t="s">
        <v>1322</v>
      </c>
      <c r="V392" s="1" t="s">
        <v>1323</v>
      </c>
      <c r="W392" s="1" t="s">
        <v>1324</v>
      </c>
      <c r="X392" s="1" t="s">
        <v>1325</v>
      </c>
      <c r="Y392" s="1" t="s">
        <v>1326</v>
      </c>
      <c r="Z392" s="1" t="s">
        <v>1327</v>
      </c>
      <c r="AA392" s="1" t="s">
        <v>74</v>
      </c>
      <c r="AB392" s="1" t="s">
        <v>74</v>
      </c>
      <c r="AC392" s="1" t="s">
        <v>1328</v>
      </c>
      <c r="AD392" s="1" t="s">
        <v>1329</v>
      </c>
      <c r="AE392" s="1" t="s">
        <v>1330</v>
      </c>
      <c r="AF392" s="1" t="s">
        <v>74</v>
      </c>
      <c r="AG392" s="1">
        <v>64</v>
      </c>
      <c r="AH392" s="1">
        <v>12</v>
      </c>
      <c r="AI392" s="1">
        <v>12</v>
      </c>
      <c r="AJ392" s="1">
        <v>7</v>
      </c>
      <c r="AK392" s="1">
        <v>111</v>
      </c>
      <c r="AL392" s="1" t="s">
        <v>144</v>
      </c>
      <c r="AM392" s="1" t="s">
        <v>145</v>
      </c>
      <c r="AN392" s="1" t="s">
        <v>146</v>
      </c>
      <c r="AO392" s="1" t="s">
        <v>254</v>
      </c>
      <c r="AP392" s="1" t="s">
        <v>255</v>
      </c>
      <c r="AQ392" s="1" t="s">
        <v>74</v>
      </c>
      <c r="AR392" s="1" t="s">
        <v>256</v>
      </c>
      <c r="AS392" s="1" t="s">
        <v>257</v>
      </c>
      <c r="AT392" s="1" t="s">
        <v>363</v>
      </c>
      <c r="AU392" s="1">
        <v>2019</v>
      </c>
      <c r="AV392" s="1">
        <v>83</v>
      </c>
      <c r="AW392" s="1">
        <v>2</v>
      </c>
      <c r="AX392" s="1" t="s">
        <v>74</v>
      </c>
      <c r="AY392" s="1" t="s">
        <v>74</v>
      </c>
      <c r="AZ392" s="1" t="s">
        <v>74</v>
      </c>
      <c r="BA392" s="1" t="s">
        <v>74</v>
      </c>
      <c r="BB392" s="1">
        <v>37</v>
      </c>
      <c r="BC392" s="1">
        <v>61</v>
      </c>
      <c r="BD392" s="1" t="s">
        <v>74</v>
      </c>
      <c r="BE392" s="1" t="s">
        <v>1331</v>
      </c>
      <c r="BF392" s="1" t="str">
        <f>HYPERLINK("http://dx.doi.org/10.1177/0022242918813308","http://dx.doi.org/10.1177/0022242918813308")</f>
        <v>http://dx.doi.org/10.1177/0022242918813308</v>
      </c>
      <c r="BG392" s="1" t="s">
        <v>74</v>
      </c>
      <c r="BH392" s="1" t="s">
        <v>74</v>
      </c>
      <c r="BI392" s="1">
        <v>25</v>
      </c>
      <c r="BJ392" s="1" t="s">
        <v>153</v>
      </c>
      <c r="BK392" s="1" t="s">
        <v>101</v>
      </c>
      <c r="BL392" s="1" t="s">
        <v>154</v>
      </c>
      <c r="BM392" s="1" t="s">
        <v>1332</v>
      </c>
      <c r="BN392" s="1" t="s">
        <v>74</v>
      </c>
      <c r="BO392" s="1" t="s">
        <v>1333</v>
      </c>
      <c r="BP392" s="1" t="s">
        <v>74</v>
      </c>
      <c r="BQ392" s="1" t="s">
        <v>74</v>
      </c>
      <c r="BR392" s="1" t="s">
        <v>104</v>
      </c>
      <c r="BS392" s="1" t="s">
        <v>1334</v>
      </c>
      <c r="BT392" s="1" t="str">
        <f>HYPERLINK("https%3A%2F%2Fwww.webofscience.com%2Fwos%2Fwoscc%2Ffull-record%2FWOS:000458113200003","View Full Record in Web of Science")</f>
        <v>View Full Record in Web of Science</v>
      </c>
      <c r="BU392" s="1" t="s">
        <v>2040</v>
      </c>
      <c r="BV392" s="1" t="s">
        <v>6080</v>
      </c>
      <c r="BW392" s="1" t="s">
        <v>6080</v>
      </c>
    </row>
    <row r="393" spans="1:75" ht="188.5" x14ac:dyDescent="0.35">
      <c r="A393" s="1" t="s">
        <v>72</v>
      </c>
      <c r="B393" s="1" t="s">
        <v>1349</v>
      </c>
      <c r="C393" s="1" t="s">
        <v>74</v>
      </c>
      <c r="D393" s="1" t="s">
        <v>74</v>
      </c>
      <c r="E393" s="1" t="s">
        <v>74</v>
      </c>
      <c r="F393" s="1" t="s">
        <v>1350</v>
      </c>
      <c r="G393" s="1" t="s">
        <v>74</v>
      </c>
      <c r="H393" s="1" t="s">
        <v>74</v>
      </c>
      <c r="I393" s="1" t="s">
        <v>1351</v>
      </c>
      <c r="J393" s="1" t="s">
        <v>240</v>
      </c>
      <c r="K393" s="1" t="s">
        <v>74</v>
      </c>
      <c r="L393" s="1" t="s">
        <v>74</v>
      </c>
      <c r="M393" s="1" t="s">
        <v>78</v>
      </c>
      <c r="N393" s="1" t="s">
        <v>1352</v>
      </c>
      <c r="O393" s="1" t="s">
        <v>74</v>
      </c>
      <c r="P393" s="1" t="s">
        <v>74</v>
      </c>
      <c r="Q393" s="1" t="s">
        <v>74</v>
      </c>
      <c r="R393" s="1" t="s">
        <v>74</v>
      </c>
      <c r="S393" s="1" t="s">
        <v>74</v>
      </c>
      <c r="T393" s="1" t="s">
        <v>74</v>
      </c>
      <c r="U393" s="1" t="s">
        <v>74</v>
      </c>
      <c r="V393" s="1" t="s">
        <v>74</v>
      </c>
      <c r="W393" s="1" t="s">
        <v>1353</v>
      </c>
      <c r="X393" s="1" t="s">
        <v>1354</v>
      </c>
      <c r="Y393" s="1" t="s">
        <v>1355</v>
      </c>
      <c r="Z393" s="1" t="s">
        <v>1356</v>
      </c>
      <c r="AA393" s="1" t="s">
        <v>1357</v>
      </c>
      <c r="AB393" s="1" t="s">
        <v>1358</v>
      </c>
      <c r="AC393" s="1" t="s">
        <v>74</v>
      </c>
      <c r="AD393" s="1" t="s">
        <v>74</v>
      </c>
      <c r="AE393" s="1" t="s">
        <v>74</v>
      </c>
      <c r="AF393" s="1" t="s">
        <v>74</v>
      </c>
      <c r="AG393" s="1">
        <v>10</v>
      </c>
      <c r="AH393" s="1">
        <v>23</v>
      </c>
      <c r="AI393" s="1">
        <v>24</v>
      </c>
      <c r="AJ393" s="1">
        <v>2</v>
      </c>
      <c r="AK393" s="1">
        <v>37</v>
      </c>
      <c r="AL393" s="1" t="s">
        <v>144</v>
      </c>
      <c r="AM393" s="1" t="s">
        <v>145</v>
      </c>
      <c r="AN393" s="1" t="s">
        <v>146</v>
      </c>
      <c r="AO393" s="1" t="s">
        <v>254</v>
      </c>
      <c r="AP393" s="1" t="s">
        <v>255</v>
      </c>
      <c r="AQ393" s="1" t="s">
        <v>74</v>
      </c>
      <c r="AR393" s="1" t="s">
        <v>256</v>
      </c>
      <c r="AS393" s="1" t="s">
        <v>257</v>
      </c>
      <c r="AT393" s="1" t="s">
        <v>213</v>
      </c>
      <c r="AU393" s="1">
        <v>2019</v>
      </c>
      <c r="AV393" s="1">
        <v>83</v>
      </c>
      <c r="AW393" s="1">
        <v>1</v>
      </c>
      <c r="AX393" s="1" t="s">
        <v>74</v>
      </c>
      <c r="AY393" s="1" t="s">
        <v>74</v>
      </c>
      <c r="AZ393" s="1" t="s">
        <v>74</v>
      </c>
      <c r="BA393" s="1" t="s">
        <v>74</v>
      </c>
      <c r="BB393" s="1">
        <v>1</v>
      </c>
      <c r="BC393" s="1">
        <v>7</v>
      </c>
      <c r="BD393" s="1" t="s">
        <v>74</v>
      </c>
      <c r="BE393" s="1" t="s">
        <v>1359</v>
      </c>
      <c r="BF393" s="1" t="str">
        <f>HYPERLINK("http://dx.doi.org/10.1177/0022242918818404","http://dx.doi.org/10.1177/0022242918818404")</f>
        <v>http://dx.doi.org/10.1177/0022242918818404</v>
      </c>
      <c r="BG393" s="1" t="s">
        <v>74</v>
      </c>
      <c r="BH393" s="1" t="s">
        <v>74</v>
      </c>
      <c r="BI393" s="1">
        <v>7</v>
      </c>
      <c r="BJ393" s="1" t="s">
        <v>153</v>
      </c>
      <c r="BK393" s="1" t="s">
        <v>101</v>
      </c>
      <c r="BL393" s="1" t="s">
        <v>154</v>
      </c>
      <c r="BM393" s="1" t="s">
        <v>1360</v>
      </c>
      <c r="BN393" s="1" t="s">
        <v>74</v>
      </c>
      <c r="BO393" s="1" t="s">
        <v>334</v>
      </c>
      <c r="BP393" s="1" t="s">
        <v>74</v>
      </c>
      <c r="BQ393" s="1" t="s">
        <v>74</v>
      </c>
      <c r="BR393" s="1" t="s">
        <v>104</v>
      </c>
      <c r="BS393" s="1" t="s">
        <v>1361</v>
      </c>
      <c r="BT393" s="1" t="str">
        <f>HYPERLINK("https%3A%2F%2Fwww.webofscience.com%2Fwos%2Fwoscc%2Ffull-record%2FWOS:000453375700001","View Full Record in Web of Science")</f>
        <v>View Full Record in Web of Science</v>
      </c>
      <c r="BU393" s="1" t="s">
        <v>2040</v>
      </c>
      <c r="BV393" s="1" t="s">
        <v>10653</v>
      </c>
    </row>
    <row r="394" spans="1:75" ht="333.5" x14ac:dyDescent="0.35">
      <c r="A394" s="1" t="s">
        <v>72</v>
      </c>
      <c r="B394" s="1" t="s">
        <v>1397</v>
      </c>
      <c r="C394" s="1" t="s">
        <v>74</v>
      </c>
      <c r="D394" s="1" t="s">
        <v>74</v>
      </c>
      <c r="E394" s="1" t="s">
        <v>74</v>
      </c>
      <c r="F394" s="1" t="s">
        <v>1398</v>
      </c>
      <c r="G394" s="1" t="s">
        <v>74</v>
      </c>
      <c r="H394" s="1" t="s">
        <v>74</v>
      </c>
      <c r="I394" s="1" t="s">
        <v>1399</v>
      </c>
      <c r="J394" s="1" t="s">
        <v>136</v>
      </c>
      <c r="K394" s="1" t="s">
        <v>74</v>
      </c>
      <c r="L394" s="1" t="s">
        <v>74</v>
      </c>
      <c r="M394" s="1" t="s">
        <v>78</v>
      </c>
      <c r="N394" s="1" t="s">
        <v>79</v>
      </c>
      <c r="O394" s="1" t="s">
        <v>74</v>
      </c>
      <c r="P394" s="1" t="s">
        <v>74</v>
      </c>
      <c r="Q394" s="1" t="s">
        <v>74</v>
      </c>
      <c r="R394" s="1" t="s">
        <v>74</v>
      </c>
      <c r="S394" s="1" t="s">
        <v>74</v>
      </c>
      <c r="T394" s="1" t="s">
        <v>1400</v>
      </c>
      <c r="U394" s="1" t="s">
        <v>1401</v>
      </c>
      <c r="V394" s="1" t="s">
        <v>1402</v>
      </c>
      <c r="W394" s="1" t="s">
        <v>1403</v>
      </c>
      <c r="X394" s="1" t="s">
        <v>1404</v>
      </c>
      <c r="Y394" s="1" t="s">
        <v>1405</v>
      </c>
      <c r="Z394" s="1" t="s">
        <v>1406</v>
      </c>
      <c r="AA394" s="1" t="s">
        <v>74</v>
      </c>
      <c r="AB394" s="1" t="s">
        <v>74</v>
      </c>
      <c r="AC394" s="1" t="s">
        <v>1407</v>
      </c>
      <c r="AD394" s="1" t="s">
        <v>1407</v>
      </c>
      <c r="AE394" s="1" t="s">
        <v>1408</v>
      </c>
      <c r="AF394" s="1" t="s">
        <v>74</v>
      </c>
      <c r="AG394" s="1">
        <v>83</v>
      </c>
      <c r="AH394" s="1">
        <v>48</v>
      </c>
      <c r="AI394" s="1">
        <v>50</v>
      </c>
      <c r="AJ394" s="1">
        <v>7</v>
      </c>
      <c r="AK394" s="1">
        <v>98</v>
      </c>
      <c r="AL394" s="1" t="s">
        <v>144</v>
      </c>
      <c r="AM394" s="1" t="s">
        <v>145</v>
      </c>
      <c r="AN394" s="1" t="s">
        <v>146</v>
      </c>
      <c r="AO394" s="1" t="s">
        <v>147</v>
      </c>
      <c r="AP394" s="1" t="s">
        <v>148</v>
      </c>
      <c r="AQ394" s="1" t="s">
        <v>74</v>
      </c>
      <c r="AR394" s="1" t="s">
        <v>149</v>
      </c>
      <c r="AS394" s="1" t="s">
        <v>150</v>
      </c>
      <c r="AT394" s="1" t="s">
        <v>348</v>
      </c>
      <c r="AU394" s="1">
        <v>2019</v>
      </c>
      <c r="AV394" s="1">
        <v>56</v>
      </c>
      <c r="AW394" s="1">
        <v>6</v>
      </c>
      <c r="AX394" s="1" t="s">
        <v>74</v>
      </c>
      <c r="AY394" s="1" t="s">
        <v>74</v>
      </c>
      <c r="AZ394" s="1" t="s">
        <v>74</v>
      </c>
      <c r="BA394" s="1" t="s">
        <v>74</v>
      </c>
      <c r="BB394" s="1">
        <v>960</v>
      </c>
      <c r="BC394" s="1">
        <v>980</v>
      </c>
      <c r="BD394" s="1" t="s">
        <v>74</v>
      </c>
      <c r="BE394" s="1" t="s">
        <v>1409</v>
      </c>
      <c r="BF394" s="1" t="str">
        <f>HYPERLINK("http://dx.doi.org/10.1177/0022243719852959","http://dx.doi.org/10.1177/0022243719852959")</f>
        <v>http://dx.doi.org/10.1177/0022243719852959</v>
      </c>
      <c r="BG394" s="1" t="s">
        <v>74</v>
      </c>
      <c r="BH394" s="1" t="s">
        <v>74</v>
      </c>
      <c r="BI394" s="1">
        <v>21</v>
      </c>
      <c r="BJ394" s="1" t="s">
        <v>153</v>
      </c>
      <c r="BK394" s="1" t="s">
        <v>101</v>
      </c>
      <c r="BL394" s="1" t="s">
        <v>154</v>
      </c>
      <c r="BM394" s="1" t="s">
        <v>350</v>
      </c>
      <c r="BN394" s="1" t="s">
        <v>74</v>
      </c>
      <c r="BO394" s="1" t="s">
        <v>74</v>
      </c>
      <c r="BP394" s="1" t="s">
        <v>74</v>
      </c>
      <c r="BQ394" s="1" t="s">
        <v>74</v>
      </c>
      <c r="BR394" s="1" t="s">
        <v>104</v>
      </c>
      <c r="BS394" s="1" t="s">
        <v>1410</v>
      </c>
      <c r="BT394" s="1" t="str">
        <f>HYPERLINK("https%3A%2F%2Fwww.webofscience.com%2Fwos%2Fwoscc%2Ffull-record%2FWOS:000500198400004","View Full Record in Web of Science")</f>
        <v>View Full Record in Web of Science</v>
      </c>
      <c r="BU394" s="1" t="s">
        <v>2040</v>
      </c>
      <c r="BV394" s="1" t="s">
        <v>6080</v>
      </c>
      <c r="BW394" s="1" t="s">
        <v>6080</v>
      </c>
    </row>
    <row r="395" spans="1:75" ht="362.5" x14ac:dyDescent="0.35">
      <c r="A395" s="1" t="s">
        <v>72</v>
      </c>
      <c r="B395" s="1" t="s">
        <v>1411</v>
      </c>
      <c r="C395" s="1" t="s">
        <v>74</v>
      </c>
      <c r="D395" s="1" t="s">
        <v>74</v>
      </c>
      <c r="E395" s="1" t="s">
        <v>74</v>
      </c>
      <c r="F395" s="1" t="s">
        <v>1412</v>
      </c>
      <c r="G395" s="1" t="s">
        <v>74</v>
      </c>
      <c r="H395" s="1" t="s">
        <v>74</v>
      </c>
      <c r="I395" s="1" t="s">
        <v>1413</v>
      </c>
      <c r="J395" s="1" t="s">
        <v>161</v>
      </c>
      <c r="K395" s="1" t="s">
        <v>74</v>
      </c>
      <c r="L395" s="1" t="s">
        <v>74</v>
      </c>
      <c r="M395" s="1" t="s">
        <v>78</v>
      </c>
      <c r="N395" s="1" t="s">
        <v>79</v>
      </c>
      <c r="O395" s="1" t="s">
        <v>74</v>
      </c>
      <c r="P395" s="1" t="s">
        <v>74</v>
      </c>
      <c r="Q395" s="1" t="s">
        <v>74</v>
      </c>
      <c r="R395" s="1" t="s">
        <v>74</v>
      </c>
      <c r="S395" s="1" t="s">
        <v>74</v>
      </c>
      <c r="T395" s="1" t="s">
        <v>1414</v>
      </c>
      <c r="U395" s="1" t="s">
        <v>1415</v>
      </c>
      <c r="V395" s="1" t="s">
        <v>1416</v>
      </c>
      <c r="W395" s="1" t="s">
        <v>1417</v>
      </c>
      <c r="X395" s="1" t="s">
        <v>1418</v>
      </c>
      <c r="Y395" s="1" t="s">
        <v>1419</v>
      </c>
      <c r="Z395" s="1" t="s">
        <v>1420</v>
      </c>
      <c r="AA395" s="1" t="s">
        <v>1421</v>
      </c>
      <c r="AB395" s="1" t="s">
        <v>1422</v>
      </c>
      <c r="AC395" s="1" t="s">
        <v>74</v>
      </c>
      <c r="AD395" s="1" t="s">
        <v>74</v>
      </c>
      <c r="AE395" s="1" t="s">
        <v>74</v>
      </c>
      <c r="AF395" s="1" t="s">
        <v>74</v>
      </c>
      <c r="AG395" s="1">
        <v>88</v>
      </c>
      <c r="AH395" s="1">
        <v>110</v>
      </c>
      <c r="AI395" s="1">
        <v>110</v>
      </c>
      <c r="AJ395" s="1">
        <v>74</v>
      </c>
      <c r="AK395" s="1">
        <v>341</v>
      </c>
      <c r="AL395" s="1" t="s">
        <v>170</v>
      </c>
      <c r="AM395" s="1" t="s">
        <v>171</v>
      </c>
      <c r="AN395" s="1" t="s">
        <v>172</v>
      </c>
      <c r="AO395" s="1" t="s">
        <v>173</v>
      </c>
      <c r="AP395" s="1" t="s">
        <v>174</v>
      </c>
      <c r="AQ395" s="1" t="s">
        <v>74</v>
      </c>
      <c r="AR395" s="1" t="s">
        <v>175</v>
      </c>
      <c r="AS395" s="1" t="s">
        <v>176</v>
      </c>
      <c r="AT395" s="1" t="s">
        <v>177</v>
      </c>
      <c r="AU395" s="1">
        <v>2019</v>
      </c>
      <c r="AV395" s="1">
        <v>45</v>
      </c>
      <c r="AW395" s="1">
        <v>5</v>
      </c>
      <c r="AX395" s="1" t="s">
        <v>74</v>
      </c>
      <c r="AY395" s="1" t="s">
        <v>74</v>
      </c>
      <c r="AZ395" s="1" t="s">
        <v>74</v>
      </c>
      <c r="BA395" s="1" t="s">
        <v>74</v>
      </c>
      <c r="BB395" s="1">
        <v>988</v>
      </c>
      <c r="BC395" s="1">
        <v>1012</v>
      </c>
      <c r="BD395" s="1" t="s">
        <v>74</v>
      </c>
      <c r="BE395" s="1" t="s">
        <v>1423</v>
      </c>
      <c r="BF395" s="1" t="str">
        <f>HYPERLINK("http://dx.doi.org/10.1093/jcr/ucy032","http://dx.doi.org/10.1093/jcr/ucy032")</f>
        <v>http://dx.doi.org/10.1093/jcr/ucy032</v>
      </c>
      <c r="BG395" s="1" t="s">
        <v>74</v>
      </c>
      <c r="BH395" s="1" t="s">
        <v>74</v>
      </c>
      <c r="BI395" s="1">
        <v>25</v>
      </c>
      <c r="BJ395" s="1" t="s">
        <v>153</v>
      </c>
      <c r="BK395" s="1" t="s">
        <v>101</v>
      </c>
      <c r="BL395" s="1" t="s">
        <v>154</v>
      </c>
      <c r="BM395" s="1" t="s">
        <v>1424</v>
      </c>
      <c r="BN395" s="1" t="s">
        <v>74</v>
      </c>
      <c r="BO395" s="1" t="s">
        <v>1425</v>
      </c>
      <c r="BP395" s="1" t="s">
        <v>218</v>
      </c>
      <c r="BQ395" s="1" t="s">
        <v>219</v>
      </c>
      <c r="BR395" s="1" t="s">
        <v>104</v>
      </c>
      <c r="BS395" s="1" t="s">
        <v>1426</v>
      </c>
      <c r="BT395" s="1" t="str">
        <f>HYPERLINK("https%3A%2F%2Fwww.webofscience.com%2Fwos%2Fwoscc%2Ffull-record%2FWOS:000481978500006","View Full Record in Web of Science")</f>
        <v>View Full Record in Web of Science</v>
      </c>
      <c r="BU395" s="1" t="s">
        <v>2040</v>
      </c>
      <c r="BV395" s="1" t="s">
        <v>6080</v>
      </c>
      <c r="BW395" s="1" t="s">
        <v>6080</v>
      </c>
    </row>
    <row r="396" spans="1:75" ht="406" x14ac:dyDescent="0.35">
      <c r="A396" s="1" t="s">
        <v>72</v>
      </c>
      <c r="B396" s="1" t="s">
        <v>1571</v>
      </c>
      <c r="C396" s="1" t="s">
        <v>74</v>
      </c>
      <c r="D396" s="1" t="s">
        <v>74</v>
      </c>
      <c r="E396" s="1" t="s">
        <v>74</v>
      </c>
      <c r="F396" s="1" t="s">
        <v>1572</v>
      </c>
      <c r="G396" s="1" t="s">
        <v>74</v>
      </c>
      <c r="H396" s="1" t="s">
        <v>74</v>
      </c>
      <c r="I396" s="1" t="s">
        <v>1573</v>
      </c>
      <c r="J396" s="1" t="s">
        <v>436</v>
      </c>
      <c r="K396" s="1" t="s">
        <v>74</v>
      </c>
      <c r="L396" s="1" t="s">
        <v>74</v>
      </c>
      <c r="M396" s="1" t="s">
        <v>78</v>
      </c>
      <c r="N396" s="1" t="s">
        <v>110</v>
      </c>
      <c r="O396" s="1" t="s">
        <v>74</v>
      </c>
      <c r="P396" s="1" t="s">
        <v>74</v>
      </c>
      <c r="Q396" s="1" t="s">
        <v>74</v>
      </c>
      <c r="R396" s="1" t="s">
        <v>74</v>
      </c>
      <c r="S396" s="1" t="s">
        <v>74</v>
      </c>
      <c r="T396" s="1" t="s">
        <v>1574</v>
      </c>
      <c r="U396" s="1" t="s">
        <v>1575</v>
      </c>
      <c r="V396" s="1" t="s">
        <v>1576</v>
      </c>
      <c r="W396" s="1" t="s">
        <v>1577</v>
      </c>
      <c r="X396" s="1" t="s">
        <v>1578</v>
      </c>
      <c r="Y396" s="1" t="s">
        <v>1579</v>
      </c>
      <c r="Z396" s="1" t="s">
        <v>1580</v>
      </c>
      <c r="AA396" s="1" t="s">
        <v>1581</v>
      </c>
      <c r="AB396" s="1" t="s">
        <v>1582</v>
      </c>
      <c r="AC396" s="1" t="s">
        <v>1583</v>
      </c>
      <c r="AD396" s="1" t="s">
        <v>1584</v>
      </c>
      <c r="AE396" s="1" t="s">
        <v>1585</v>
      </c>
      <c r="AF396" s="1" t="s">
        <v>74</v>
      </c>
      <c r="AG396" s="1">
        <v>51</v>
      </c>
      <c r="AH396" s="1">
        <v>62</v>
      </c>
      <c r="AI396" s="1">
        <v>64</v>
      </c>
      <c r="AJ396" s="1">
        <v>20</v>
      </c>
      <c r="AK396" s="1">
        <v>136</v>
      </c>
      <c r="AL396" s="1" t="s">
        <v>446</v>
      </c>
      <c r="AM396" s="1" t="s">
        <v>447</v>
      </c>
      <c r="AN396" s="1" t="s">
        <v>448</v>
      </c>
      <c r="AO396" s="1" t="s">
        <v>449</v>
      </c>
      <c r="AP396" s="1" t="s">
        <v>450</v>
      </c>
      <c r="AQ396" s="1" t="s">
        <v>74</v>
      </c>
      <c r="AR396" s="1" t="s">
        <v>451</v>
      </c>
      <c r="AS396" s="1" t="s">
        <v>452</v>
      </c>
      <c r="AT396" s="1" t="s">
        <v>1203</v>
      </c>
      <c r="AU396" s="1">
        <v>2019</v>
      </c>
      <c r="AV396" s="1">
        <v>38</v>
      </c>
      <c r="AW396" s="1">
        <v>5</v>
      </c>
      <c r="AX396" s="1" t="s">
        <v>74</v>
      </c>
      <c r="AY396" s="1" t="s">
        <v>74</v>
      </c>
      <c r="AZ396" s="1" t="s">
        <v>74</v>
      </c>
      <c r="BA396" s="1" t="s">
        <v>74</v>
      </c>
      <c r="BB396" s="1">
        <v>773</v>
      </c>
      <c r="BC396" s="1">
        <v>792</v>
      </c>
      <c r="BD396" s="1" t="s">
        <v>74</v>
      </c>
      <c r="BE396" s="1" t="s">
        <v>1586</v>
      </c>
      <c r="BF396" s="1" t="str">
        <f>HYPERLINK("http://dx.doi.org/10.1287/mksc.2018.1115","http://dx.doi.org/10.1287/mksc.2018.1115")</f>
        <v>http://dx.doi.org/10.1287/mksc.2018.1115</v>
      </c>
      <c r="BG396" s="1" t="s">
        <v>74</v>
      </c>
      <c r="BH396" s="1" t="s">
        <v>74</v>
      </c>
      <c r="BI396" s="1">
        <v>20</v>
      </c>
      <c r="BJ396" s="1" t="s">
        <v>153</v>
      </c>
      <c r="BK396" s="1" t="s">
        <v>101</v>
      </c>
      <c r="BL396" s="1" t="s">
        <v>154</v>
      </c>
      <c r="BM396" s="1" t="s">
        <v>1587</v>
      </c>
      <c r="BN396" s="1" t="s">
        <v>74</v>
      </c>
      <c r="BO396" s="1" t="s">
        <v>74</v>
      </c>
      <c r="BP396" s="1" t="s">
        <v>74</v>
      </c>
      <c r="BQ396" s="1" t="s">
        <v>74</v>
      </c>
      <c r="BR396" s="1" t="s">
        <v>104</v>
      </c>
      <c r="BS396" s="1" t="s">
        <v>1588</v>
      </c>
      <c r="BT396" s="1" t="str">
        <f>HYPERLINK("https%3A%2F%2Fwww.webofscience.com%2Fwos%2Fwoscc%2Ffull-record%2FWOS:000489553300004","View Full Record in Web of Science")</f>
        <v>View Full Record in Web of Science</v>
      </c>
      <c r="BU396" s="1" t="s">
        <v>2040</v>
      </c>
      <c r="BV396" s="1" t="s">
        <v>6080</v>
      </c>
      <c r="BW396" s="1" t="s">
        <v>6080</v>
      </c>
    </row>
    <row r="397" spans="1:75" ht="377" x14ac:dyDescent="0.35">
      <c r="A397" s="1" t="s">
        <v>72</v>
      </c>
      <c r="B397" s="1" t="s">
        <v>1784</v>
      </c>
      <c r="C397" s="1" t="s">
        <v>74</v>
      </c>
      <c r="D397" s="1" t="s">
        <v>74</v>
      </c>
      <c r="E397" s="1" t="s">
        <v>74</v>
      </c>
      <c r="F397" s="1" t="s">
        <v>1785</v>
      </c>
      <c r="G397" s="1" t="s">
        <v>74</v>
      </c>
      <c r="H397" s="1" t="s">
        <v>74</v>
      </c>
      <c r="I397" s="1" t="s">
        <v>1786</v>
      </c>
      <c r="J397" s="1" t="s">
        <v>240</v>
      </c>
      <c r="K397" s="1" t="s">
        <v>74</v>
      </c>
      <c r="L397" s="1" t="s">
        <v>74</v>
      </c>
      <c r="M397" s="1" t="s">
        <v>78</v>
      </c>
      <c r="N397" s="1" t="s">
        <v>79</v>
      </c>
      <c r="O397" s="1" t="s">
        <v>74</v>
      </c>
      <c r="P397" s="1" t="s">
        <v>74</v>
      </c>
      <c r="Q397" s="1" t="s">
        <v>74</v>
      </c>
      <c r="R397" s="1" t="s">
        <v>74</v>
      </c>
      <c r="S397" s="1" t="s">
        <v>74</v>
      </c>
      <c r="T397" s="1" t="s">
        <v>1787</v>
      </c>
      <c r="U397" s="1" t="s">
        <v>1788</v>
      </c>
      <c r="V397" s="1" t="s">
        <v>1789</v>
      </c>
      <c r="W397" s="1" t="s">
        <v>1790</v>
      </c>
      <c r="X397" s="1" t="s">
        <v>1791</v>
      </c>
      <c r="Y397" s="1" t="s">
        <v>1792</v>
      </c>
      <c r="Z397" s="1" t="s">
        <v>1793</v>
      </c>
      <c r="AA397" s="1" t="s">
        <v>74</v>
      </c>
      <c r="AB397" s="1" t="s">
        <v>74</v>
      </c>
      <c r="AC397" s="1" t="s">
        <v>1794</v>
      </c>
      <c r="AD397" s="1" t="s">
        <v>1794</v>
      </c>
      <c r="AE397" s="1" t="s">
        <v>1795</v>
      </c>
      <c r="AF397" s="1" t="s">
        <v>74</v>
      </c>
      <c r="AG397" s="1">
        <v>57</v>
      </c>
      <c r="AH397" s="1">
        <v>132</v>
      </c>
      <c r="AI397" s="1">
        <v>133</v>
      </c>
      <c r="AJ397" s="1">
        <v>70</v>
      </c>
      <c r="AK397" s="1">
        <v>417</v>
      </c>
      <c r="AL397" s="1" t="s">
        <v>144</v>
      </c>
      <c r="AM397" s="1" t="s">
        <v>145</v>
      </c>
      <c r="AN397" s="1" t="s">
        <v>146</v>
      </c>
      <c r="AO397" s="1" t="s">
        <v>254</v>
      </c>
      <c r="AP397" s="1" t="s">
        <v>255</v>
      </c>
      <c r="AQ397" s="1" t="s">
        <v>74</v>
      </c>
      <c r="AR397" s="1" t="s">
        <v>256</v>
      </c>
      <c r="AS397" s="1" t="s">
        <v>257</v>
      </c>
      <c r="AT397" s="1" t="s">
        <v>98</v>
      </c>
      <c r="AU397" s="1">
        <v>2019</v>
      </c>
      <c r="AV397" s="1">
        <v>83</v>
      </c>
      <c r="AW397" s="1">
        <v>4</v>
      </c>
      <c r="AX397" s="1" t="s">
        <v>74</v>
      </c>
      <c r="AY397" s="1" t="s">
        <v>74</v>
      </c>
      <c r="AZ397" s="1" t="s">
        <v>74</v>
      </c>
      <c r="BA397" s="1" t="s">
        <v>74</v>
      </c>
      <c r="BB397" s="1">
        <v>1</v>
      </c>
      <c r="BC397" s="1">
        <v>20</v>
      </c>
      <c r="BD397" s="1" t="s">
        <v>74</v>
      </c>
      <c r="BE397" s="1" t="s">
        <v>1796</v>
      </c>
      <c r="BF397" s="1" t="str">
        <f>HYPERLINK("http://dx.doi.org/10.1177/0022242919841034","http://dx.doi.org/10.1177/0022242919841034")</f>
        <v>http://dx.doi.org/10.1177/0022242919841034</v>
      </c>
      <c r="BG397" s="1" t="s">
        <v>74</v>
      </c>
      <c r="BH397" s="1" t="s">
        <v>74</v>
      </c>
      <c r="BI397" s="1">
        <v>20</v>
      </c>
      <c r="BJ397" s="1" t="s">
        <v>153</v>
      </c>
      <c r="BK397" s="1" t="s">
        <v>101</v>
      </c>
      <c r="BL397" s="1" t="s">
        <v>154</v>
      </c>
      <c r="BM397" s="1" t="s">
        <v>1797</v>
      </c>
      <c r="BN397" s="1" t="s">
        <v>74</v>
      </c>
      <c r="BO397" s="1" t="s">
        <v>74</v>
      </c>
      <c r="BP397" s="1" t="s">
        <v>218</v>
      </c>
      <c r="BQ397" s="1" t="s">
        <v>219</v>
      </c>
      <c r="BR397" s="1" t="s">
        <v>104</v>
      </c>
      <c r="BS397" s="1" t="s">
        <v>1798</v>
      </c>
      <c r="BT397" s="1" t="str">
        <f>HYPERLINK("https%3A%2F%2Fwww.webofscience.com%2Fwos%2Fwoscc%2Ffull-record%2FWOS:000473484500001","View Full Record in Web of Science")</f>
        <v>View Full Record in Web of Science</v>
      </c>
      <c r="BU397" s="1" t="s">
        <v>2040</v>
      </c>
      <c r="BV397" s="1" t="s">
        <v>6080</v>
      </c>
      <c r="BW397" s="1" t="s">
        <v>6080</v>
      </c>
    </row>
    <row r="398" spans="1:75" ht="409.5" x14ac:dyDescent="0.35">
      <c r="A398" s="1" t="s">
        <v>72</v>
      </c>
      <c r="B398" s="1" t="s">
        <v>1811</v>
      </c>
      <c r="C398" s="1" t="s">
        <v>74</v>
      </c>
      <c r="D398" s="1" t="s">
        <v>74</v>
      </c>
      <c r="E398" s="1" t="s">
        <v>74</v>
      </c>
      <c r="F398" s="1" t="s">
        <v>1812</v>
      </c>
      <c r="G398" s="1" t="s">
        <v>74</v>
      </c>
      <c r="H398" s="1" t="s">
        <v>74</v>
      </c>
      <c r="I398" s="1" t="s">
        <v>1813</v>
      </c>
      <c r="J398" s="1" t="s">
        <v>436</v>
      </c>
      <c r="K398" s="1" t="s">
        <v>74</v>
      </c>
      <c r="L398" s="1" t="s">
        <v>74</v>
      </c>
      <c r="M398" s="1" t="s">
        <v>78</v>
      </c>
      <c r="N398" s="1" t="s">
        <v>79</v>
      </c>
      <c r="O398" s="1" t="s">
        <v>74</v>
      </c>
      <c r="P398" s="1" t="s">
        <v>74</v>
      </c>
      <c r="Q398" s="1" t="s">
        <v>74</v>
      </c>
      <c r="R398" s="1" t="s">
        <v>74</v>
      </c>
      <c r="S398" s="1" t="s">
        <v>74</v>
      </c>
      <c r="T398" s="1" t="s">
        <v>1814</v>
      </c>
      <c r="U398" s="1" t="s">
        <v>1815</v>
      </c>
      <c r="V398" s="1" t="s">
        <v>1816</v>
      </c>
      <c r="W398" s="1" t="s">
        <v>1817</v>
      </c>
      <c r="X398" s="1" t="s">
        <v>1818</v>
      </c>
      <c r="Y398" s="1" t="s">
        <v>1819</v>
      </c>
      <c r="Z398" s="1" t="s">
        <v>1820</v>
      </c>
      <c r="AA398" s="1" t="s">
        <v>1821</v>
      </c>
      <c r="AB398" s="1" t="s">
        <v>1822</v>
      </c>
      <c r="AC398" s="1" t="s">
        <v>74</v>
      </c>
      <c r="AD398" s="1" t="s">
        <v>74</v>
      </c>
      <c r="AE398" s="1" t="s">
        <v>74</v>
      </c>
      <c r="AF398" s="1" t="s">
        <v>74</v>
      </c>
      <c r="AG398" s="1">
        <v>61</v>
      </c>
      <c r="AH398" s="1">
        <v>129</v>
      </c>
      <c r="AI398" s="1">
        <v>134</v>
      </c>
      <c r="AJ398" s="1">
        <v>82</v>
      </c>
      <c r="AK398" s="1">
        <v>537</v>
      </c>
      <c r="AL398" s="1" t="s">
        <v>446</v>
      </c>
      <c r="AM398" s="1" t="s">
        <v>447</v>
      </c>
      <c r="AN398" s="1" t="s">
        <v>448</v>
      </c>
      <c r="AO398" s="1" t="s">
        <v>449</v>
      </c>
      <c r="AP398" s="1" t="s">
        <v>450</v>
      </c>
      <c r="AQ398" s="1" t="s">
        <v>74</v>
      </c>
      <c r="AR398" s="1" t="s">
        <v>451</v>
      </c>
      <c r="AS398" s="1" t="s">
        <v>452</v>
      </c>
      <c r="AT398" s="1" t="s">
        <v>780</v>
      </c>
      <c r="AU398" s="1">
        <v>2019</v>
      </c>
      <c r="AV398" s="1">
        <v>38</v>
      </c>
      <c r="AW398" s="1">
        <v>1</v>
      </c>
      <c r="AX398" s="1" t="s">
        <v>74</v>
      </c>
      <c r="AY398" s="1" t="s">
        <v>74</v>
      </c>
      <c r="AZ398" s="1" t="s">
        <v>74</v>
      </c>
      <c r="BA398" s="1" t="s">
        <v>74</v>
      </c>
      <c r="BB398" s="1">
        <v>1</v>
      </c>
      <c r="BC398" s="1">
        <v>20</v>
      </c>
      <c r="BD398" s="1" t="s">
        <v>74</v>
      </c>
      <c r="BE398" s="1" t="s">
        <v>1823</v>
      </c>
      <c r="BF398" s="1" t="str">
        <f>HYPERLINK("http://dx.doi.org/10.1287/mksc.2018.1123","http://dx.doi.org/10.1287/mksc.2018.1123")</f>
        <v>http://dx.doi.org/10.1287/mksc.2018.1123</v>
      </c>
      <c r="BG398" s="1" t="s">
        <v>74</v>
      </c>
      <c r="BH398" s="1" t="s">
        <v>74</v>
      </c>
      <c r="BI398" s="1">
        <v>20</v>
      </c>
      <c r="BJ398" s="1" t="s">
        <v>153</v>
      </c>
      <c r="BK398" s="1" t="s">
        <v>101</v>
      </c>
      <c r="BL398" s="1" t="s">
        <v>154</v>
      </c>
      <c r="BM398" s="1" t="s">
        <v>1824</v>
      </c>
      <c r="BN398" s="1" t="s">
        <v>74</v>
      </c>
      <c r="BO398" s="1" t="s">
        <v>690</v>
      </c>
      <c r="BP398" s="1" t="s">
        <v>218</v>
      </c>
      <c r="BQ398" s="1" t="s">
        <v>219</v>
      </c>
      <c r="BR398" s="1" t="s">
        <v>104</v>
      </c>
      <c r="BS398" s="1" t="s">
        <v>1825</v>
      </c>
      <c r="BT398" s="1" t="str">
        <f>HYPERLINK("https%3A%2F%2Fwww.webofscience.com%2Fwos%2Fwoscc%2Ffull-record%2FWOS:000459127200001","View Full Record in Web of Science")</f>
        <v>View Full Record in Web of Science</v>
      </c>
      <c r="BU398" s="1" t="s">
        <v>2040</v>
      </c>
      <c r="BV398" s="1" t="s">
        <v>6080</v>
      </c>
      <c r="BW398" s="1" t="s">
        <v>6080</v>
      </c>
    </row>
    <row r="399" spans="1:75" ht="409.5" x14ac:dyDescent="0.35">
      <c r="A399" s="1" t="s">
        <v>72</v>
      </c>
      <c r="B399" s="1" t="s">
        <v>1850</v>
      </c>
      <c r="C399" s="1" t="s">
        <v>74</v>
      </c>
      <c r="D399" s="1" t="s">
        <v>74</v>
      </c>
      <c r="E399" s="1" t="s">
        <v>74</v>
      </c>
      <c r="F399" s="1" t="s">
        <v>1851</v>
      </c>
      <c r="G399" s="1" t="s">
        <v>74</v>
      </c>
      <c r="H399" s="1" t="s">
        <v>74</v>
      </c>
      <c r="I399" s="1" t="s">
        <v>1852</v>
      </c>
      <c r="J399" s="1" t="s">
        <v>136</v>
      </c>
      <c r="K399" s="1" t="s">
        <v>74</v>
      </c>
      <c r="L399" s="1" t="s">
        <v>74</v>
      </c>
      <c r="M399" s="1" t="s">
        <v>78</v>
      </c>
      <c r="N399" s="1" t="s">
        <v>79</v>
      </c>
      <c r="O399" s="1" t="s">
        <v>74</v>
      </c>
      <c r="P399" s="1" t="s">
        <v>74</v>
      </c>
      <c r="Q399" s="1" t="s">
        <v>74</v>
      </c>
      <c r="R399" s="1" t="s">
        <v>74</v>
      </c>
      <c r="S399" s="1" t="s">
        <v>74</v>
      </c>
      <c r="T399" s="1" t="s">
        <v>1853</v>
      </c>
      <c r="U399" s="1" t="s">
        <v>1854</v>
      </c>
      <c r="V399" s="1" t="s">
        <v>1855</v>
      </c>
      <c r="W399" s="1" t="s">
        <v>1856</v>
      </c>
      <c r="X399" s="1" t="s">
        <v>1857</v>
      </c>
      <c r="Y399" s="1" t="s">
        <v>1858</v>
      </c>
      <c r="Z399" s="1" t="s">
        <v>1859</v>
      </c>
      <c r="AA399" s="1" t="s">
        <v>74</v>
      </c>
      <c r="AB399" s="1" t="s">
        <v>74</v>
      </c>
      <c r="AC399" s="1" t="s">
        <v>74</v>
      </c>
      <c r="AD399" s="1" t="s">
        <v>74</v>
      </c>
      <c r="AE399" s="1" t="s">
        <v>74</v>
      </c>
      <c r="AF399" s="1" t="s">
        <v>74</v>
      </c>
      <c r="AG399" s="1">
        <v>74</v>
      </c>
      <c r="AH399" s="1">
        <v>46</v>
      </c>
      <c r="AI399" s="1">
        <v>47</v>
      </c>
      <c r="AJ399" s="1">
        <v>16</v>
      </c>
      <c r="AK399" s="1">
        <v>119</v>
      </c>
      <c r="AL399" s="1" t="s">
        <v>144</v>
      </c>
      <c r="AM399" s="1" t="s">
        <v>145</v>
      </c>
      <c r="AN399" s="1" t="s">
        <v>146</v>
      </c>
      <c r="AO399" s="1" t="s">
        <v>147</v>
      </c>
      <c r="AP399" s="1" t="s">
        <v>148</v>
      </c>
      <c r="AQ399" s="1" t="s">
        <v>74</v>
      </c>
      <c r="AR399" s="1" t="s">
        <v>149</v>
      </c>
      <c r="AS399" s="1" t="s">
        <v>150</v>
      </c>
      <c r="AT399" s="1" t="s">
        <v>177</v>
      </c>
      <c r="AU399" s="1">
        <v>2019</v>
      </c>
      <c r="AV399" s="1">
        <v>56</v>
      </c>
      <c r="AW399" s="1">
        <v>1</v>
      </c>
      <c r="AX399" s="1" t="s">
        <v>74</v>
      </c>
      <c r="AY399" s="1" t="s">
        <v>74</v>
      </c>
      <c r="AZ399" s="1" t="s">
        <v>74</v>
      </c>
      <c r="BA399" s="1" t="s">
        <v>74</v>
      </c>
      <c r="BB399" s="1">
        <v>18</v>
      </c>
      <c r="BC399" s="1">
        <v>36</v>
      </c>
      <c r="BD399" s="1" t="s">
        <v>74</v>
      </c>
      <c r="BE399" s="1" t="s">
        <v>1860</v>
      </c>
      <c r="BF399" s="1" t="str">
        <f>HYPERLINK("http://dx.doi.org/10.1177/0022243718820559","http://dx.doi.org/10.1177/0022243718820559")</f>
        <v>http://dx.doi.org/10.1177/0022243718820559</v>
      </c>
      <c r="BG399" s="1" t="s">
        <v>74</v>
      </c>
      <c r="BH399" s="1" t="s">
        <v>74</v>
      </c>
      <c r="BI399" s="1">
        <v>19</v>
      </c>
      <c r="BJ399" s="1" t="s">
        <v>153</v>
      </c>
      <c r="BK399" s="1" t="s">
        <v>101</v>
      </c>
      <c r="BL399" s="1" t="s">
        <v>154</v>
      </c>
      <c r="BM399" s="1" t="s">
        <v>1861</v>
      </c>
      <c r="BN399" s="1" t="s">
        <v>74</v>
      </c>
      <c r="BO399" s="1" t="s">
        <v>662</v>
      </c>
      <c r="BP399" s="1" t="s">
        <v>74</v>
      </c>
      <c r="BQ399" s="1" t="s">
        <v>74</v>
      </c>
      <c r="BR399" s="1" t="s">
        <v>104</v>
      </c>
      <c r="BS399" s="1" t="s">
        <v>1862</v>
      </c>
      <c r="BT399" s="1" t="str">
        <f>HYPERLINK("https%3A%2F%2Fwww.webofscience.com%2Fwos%2Fwoscc%2Ffull-record%2FWOS:000456817200002","View Full Record in Web of Science")</f>
        <v>View Full Record in Web of Science</v>
      </c>
      <c r="BU399" s="1" t="s">
        <v>2040</v>
      </c>
      <c r="BV399" s="1" t="s">
        <v>6080</v>
      </c>
      <c r="BW399" s="1" t="s">
        <v>6080</v>
      </c>
    </row>
    <row r="400" spans="1:75" ht="348" x14ac:dyDescent="0.35">
      <c r="A400" s="1" t="s">
        <v>72</v>
      </c>
      <c r="B400" s="1" t="s">
        <v>1951</v>
      </c>
      <c r="C400" s="1" t="s">
        <v>74</v>
      </c>
      <c r="D400" s="1" t="s">
        <v>74</v>
      </c>
      <c r="E400" s="1" t="s">
        <v>74</v>
      </c>
      <c r="F400" s="1" t="s">
        <v>1952</v>
      </c>
      <c r="G400" s="1" t="s">
        <v>74</v>
      </c>
      <c r="H400" s="1" t="s">
        <v>74</v>
      </c>
      <c r="I400" s="1" t="s">
        <v>1953</v>
      </c>
      <c r="J400" s="1" t="s">
        <v>240</v>
      </c>
      <c r="K400" s="1" t="s">
        <v>74</v>
      </c>
      <c r="L400" s="1" t="s">
        <v>74</v>
      </c>
      <c r="M400" s="1" t="s">
        <v>78</v>
      </c>
      <c r="N400" s="1" t="s">
        <v>79</v>
      </c>
      <c r="O400" s="1" t="s">
        <v>74</v>
      </c>
      <c r="P400" s="1" t="s">
        <v>74</v>
      </c>
      <c r="Q400" s="1" t="s">
        <v>74</v>
      </c>
      <c r="R400" s="1" t="s">
        <v>74</v>
      </c>
      <c r="S400" s="1" t="s">
        <v>74</v>
      </c>
      <c r="T400" s="1" t="s">
        <v>1954</v>
      </c>
      <c r="U400" s="1" t="s">
        <v>1955</v>
      </c>
      <c r="V400" s="1" t="s">
        <v>1956</v>
      </c>
      <c r="W400" s="1" t="s">
        <v>1957</v>
      </c>
      <c r="X400" s="1" t="s">
        <v>1958</v>
      </c>
      <c r="Y400" s="1" t="s">
        <v>1959</v>
      </c>
      <c r="Z400" s="1" t="s">
        <v>1960</v>
      </c>
      <c r="AA400" s="1" t="s">
        <v>1961</v>
      </c>
      <c r="AB400" s="1" t="s">
        <v>1962</v>
      </c>
      <c r="AC400" s="1" t="s">
        <v>1963</v>
      </c>
      <c r="AD400" s="1" t="s">
        <v>1963</v>
      </c>
      <c r="AE400" s="1" t="s">
        <v>1964</v>
      </c>
      <c r="AF400" s="1" t="s">
        <v>74</v>
      </c>
      <c r="AG400" s="1">
        <v>126</v>
      </c>
      <c r="AH400" s="1">
        <v>20</v>
      </c>
      <c r="AI400" s="1">
        <v>21</v>
      </c>
      <c r="AJ400" s="1">
        <v>2</v>
      </c>
      <c r="AK400" s="1">
        <v>70</v>
      </c>
      <c r="AL400" s="1" t="s">
        <v>144</v>
      </c>
      <c r="AM400" s="1" t="s">
        <v>145</v>
      </c>
      <c r="AN400" s="1" t="s">
        <v>146</v>
      </c>
      <c r="AO400" s="1" t="s">
        <v>254</v>
      </c>
      <c r="AP400" s="1" t="s">
        <v>255</v>
      </c>
      <c r="AQ400" s="1" t="s">
        <v>74</v>
      </c>
      <c r="AR400" s="1" t="s">
        <v>256</v>
      </c>
      <c r="AS400" s="1" t="s">
        <v>257</v>
      </c>
      <c r="AT400" s="1" t="s">
        <v>98</v>
      </c>
      <c r="AU400" s="1">
        <v>2019</v>
      </c>
      <c r="AV400" s="1">
        <v>83</v>
      </c>
      <c r="AW400" s="1">
        <v>4</v>
      </c>
      <c r="AX400" s="1" t="s">
        <v>74</v>
      </c>
      <c r="AY400" s="1" t="s">
        <v>74</v>
      </c>
      <c r="AZ400" s="1" t="s">
        <v>74</v>
      </c>
      <c r="BA400" s="1" t="s">
        <v>74</v>
      </c>
      <c r="BB400" s="1">
        <v>58</v>
      </c>
      <c r="BC400" s="1">
        <v>80</v>
      </c>
      <c r="BD400" s="1" t="s">
        <v>74</v>
      </c>
      <c r="BE400" s="1" t="s">
        <v>1965</v>
      </c>
      <c r="BF400" s="1" t="str">
        <f>HYPERLINK("http://dx.doi.org/10.1177/0022242919841584","http://dx.doi.org/10.1177/0022242919841584")</f>
        <v>http://dx.doi.org/10.1177/0022242919841584</v>
      </c>
      <c r="BG400" s="1" t="s">
        <v>74</v>
      </c>
      <c r="BH400" s="1" t="s">
        <v>74</v>
      </c>
      <c r="BI400" s="1">
        <v>23</v>
      </c>
      <c r="BJ400" s="1" t="s">
        <v>153</v>
      </c>
      <c r="BK400" s="1" t="s">
        <v>101</v>
      </c>
      <c r="BL400" s="1" t="s">
        <v>154</v>
      </c>
      <c r="BM400" s="1" t="s">
        <v>1797</v>
      </c>
      <c r="BN400" s="1" t="s">
        <v>74</v>
      </c>
      <c r="BO400" s="1" t="s">
        <v>74</v>
      </c>
      <c r="BP400" s="1" t="s">
        <v>74</v>
      </c>
      <c r="BQ400" s="1" t="s">
        <v>74</v>
      </c>
      <c r="BR400" s="1" t="s">
        <v>104</v>
      </c>
      <c r="BS400" s="1" t="s">
        <v>1966</v>
      </c>
      <c r="BT400" s="1" t="str">
        <f>HYPERLINK("https%3A%2F%2Fwww.webofscience.com%2Fwos%2Fwoscc%2Ffull-record%2FWOS:000473484500004","View Full Record in Web of Science")</f>
        <v>View Full Record in Web of Science</v>
      </c>
      <c r="BU400" s="1" t="s">
        <v>2040</v>
      </c>
      <c r="BV400" s="1" t="s">
        <v>6080</v>
      </c>
      <c r="BW400" s="1" t="s">
        <v>6080</v>
      </c>
    </row>
    <row r="401" spans="1:75" ht="188.5" x14ac:dyDescent="0.35">
      <c r="A401" s="1" t="s">
        <v>72</v>
      </c>
      <c r="B401" s="1" t="s">
        <v>1992</v>
      </c>
      <c r="C401" s="1" t="s">
        <v>74</v>
      </c>
      <c r="D401" s="1" t="s">
        <v>74</v>
      </c>
      <c r="E401" s="1" t="s">
        <v>74</v>
      </c>
      <c r="F401" s="1" t="s">
        <v>1993</v>
      </c>
      <c r="G401" s="1" t="s">
        <v>74</v>
      </c>
      <c r="H401" s="1" t="s">
        <v>74</v>
      </c>
      <c r="I401" s="1" t="s">
        <v>1994</v>
      </c>
      <c r="J401" s="1" t="s">
        <v>1995</v>
      </c>
      <c r="K401" s="1" t="s">
        <v>74</v>
      </c>
      <c r="L401" s="1" t="s">
        <v>74</v>
      </c>
      <c r="M401" s="1" t="s">
        <v>78</v>
      </c>
      <c r="N401" s="1" t="s">
        <v>79</v>
      </c>
      <c r="O401" s="1" t="s">
        <v>74</v>
      </c>
      <c r="P401" s="1" t="s">
        <v>74</v>
      </c>
      <c r="Q401" s="1" t="s">
        <v>74</v>
      </c>
      <c r="R401" s="1" t="s">
        <v>74</v>
      </c>
      <c r="S401" s="1" t="s">
        <v>74</v>
      </c>
      <c r="T401" s="1" t="s">
        <v>1996</v>
      </c>
      <c r="U401" s="1" t="s">
        <v>1997</v>
      </c>
      <c r="V401" s="1" t="s">
        <v>1998</v>
      </c>
      <c r="W401" s="1" t="s">
        <v>1999</v>
      </c>
      <c r="X401" s="1" t="s">
        <v>2000</v>
      </c>
      <c r="Y401" s="1" t="s">
        <v>2001</v>
      </c>
      <c r="Z401" s="1" t="s">
        <v>2002</v>
      </c>
      <c r="AA401" s="1" t="s">
        <v>74</v>
      </c>
      <c r="AB401" s="1" t="s">
        <v>2003</v>
      </c>
      <c r="AC401" s="1" t="s">
        <v>74</v>
      </c>
      <c r="AD401" s="1" t="s">
        <v>74</v>
      </c>
      <c r="AE401" s="1" t="s">
        <v>74</v>
      </c>
      <c r="AF401" s="1" t="s">
        <v>74</v>
      </c>
      <c r="AG401" s="1">
        <v>114</v>
      </c>
      <c r="AH401" s="1">
        <v>104</v>
      </c>
      <c r="AI401" s="1">
        <v>105</v>
      </c>
      <c r="AJ401" s="1">
        <v>31</v>
      </c>
      <c r="AK401" s="1">
        <v>249</v>
      </c>
      <c r="AL401" s="1" t="s">
        <v>324</v>
      </c>
      <c r="AM401" s="1" t="s">
        <v>325</v>
      </c>
      <c r="AN401" s="1" t="s">
        <v>2004</v>
      </c>
      <c r="AO401" s="1" t="s">
        <v>2005</v>
      </c>
      <c r="AP401" s="1" t="s">
        <v>2006</v>
      </c>
      <c r="AQ401" s="1" t="s">
        <v>74</v>
      </c>
      <c r="AR401" s="1" t="s">
        <v>2007</v>
      </c>
      <c r="AS401" s="1" t="s">
        <v>2008</v>
      </c>
      <c r="AT401" s="1" t="s">
        <v>363</v>
      </c>
      <c r="AU401" s="1">
        <v>2019</v>
      </c>
      <c r="AV401" s="1">
        <v>45</v>
      </c>
      <c r="AW401" s="1">
        <v>1</v>
      </c>
      <c r="AX401" s="1" t="s">
        <v>74</v>
      </c>
      <c r="AY401" s="1" t="s">
        <v>74</v>
      </c>
      <c r="AZ401" s="1" t="s">
        <v>74</v>
      </c>
      <c r="BA401" s="1" t="s">
        <v>74</v>
      </c>
      <c r="BB401" s="1">
        <v>10</v>
      </c>
      <c r="BC401" s="1">
        <v>23</v>
      </c>
      <c r="BD401" s="1" t="s">
        <v>74</v>
      </c>
      <c r="BE401" s="1" t="s">
        <v>2009</v>
      </c>
      <c r="BF401" s="1" t="str">
        <f>HYPERLINK("http://dx.doi.org/10.1016/j.pubrev.2018.10.014","http://dx.doi.org/10.1016/j.pubrev.2018.10.014")</f>
        <v>http://dx.doi.org/10.1016/j.pubrev.2018.10.014</v>
      </c>
      <c r="BG401" s="1" t="s">
        <v>74</v>
      </c>
      <c r="BH401" s="1" t="s">
        <v>74</v>
      </c>
      <c r="BI401" s="1">
        <v>14</v>
      </c>
      <c r="BJ401" s="1" t="s">
        <v>2010</v>
      </c>
      <c r="BK401" s="1" t="s">
        <v>101</v>
      </c>
      <c r="BL401" s="1" t="s">
        <v>2011</v>
      </c>
      <c r="BM401" s="1" t="s">
        <v>2012</v>
      </c>
      <c r="BN401" s="1" t="s">
        <v>74</v>
      </c>
      <c r="BO401" s="1" t="s">
        <v>74</v>
      </c>
      <c r="BP401" s="1" t="s">
        <v>218</v>
      </c>
      <c r="BQ401" s="1" t="s">
        <v>219</v>
      </c>
      <c r="BR401" s="1" t="s">
        <v>104</v>
      </c>
      <c r="BS401" s="1" t="s">
        <v>2013</v>
      </c>
      <c r="BT401" s="1" t="str">
        <f>HYPERLINK("https%3A%2F%2Fwww.webofscience.com%2Fwos%2Fwoscc%2Ffull-record%2FWOS:000459230700002","View Full Record in Web of Science")</f>
        <v>View Full Record in Web of Science</v>
      </c>
      <c r="BU401" s="1" t="s">
        <v>2040</v>
      </c>
      <c r="BV401" s="1" t="s">
        <v>10653</v>
      </c>
    </row>
    <row r="402" spans="1:75" ht="290" x14ac:dyDescent="0.35">
      <c r="A402" s="1" t="s">
        <v>578</v>
      </c>
      <c r="B402" s="1" t="s">
        <v>579</v>
      </c>
      <c r="C402" s="1" t="s">
        <v>74</v>
      </c>
      <c r="D402" s="1" t="s">
        <v>74</v>
      </c>
      <c r="E402" s="1" t="s">
        <v>580</v>
      </c>
      <c r="F402" s="1" t="s">
        <v>581</v>
      </c>
      <c r="G402" s="1" t="s">
        <v>74</v>
      </c>
      <c r="H402" s="1" t="s">
        <v>74</v>
      </c>
      <c r="I402" s="1" t="s">
        <v>582</v>
      </c>
      <c r="J402" s="1" t="s">
        <v>583</v>
      </c>
      <c r="K402" s="1" t="s">
        <v>74</v>
      </c>
      <c r="L402" s="1" t="s">
        <v>74</v>
      </c>
      <c r="M402" s="1" t="s">
        <v>78</v>
      </c>
      <c r="N402" s="1" t="s">
        <v>584</v>
      </c>
      <c r="O402" s="1" t="s">
        <v>585</v>
      </c>
      <c r="P402" s="1" t="s">
        <v>586</v>
      </c>
      <c r="Q402" s="1" t="s">
        <v>587</v>
      </c>
      <c r="R402" s="1" t="s">
        <v>588</v>
      </c>
      <c r="S402" s="1" t="s">
        <v>589</v>
      </c>
      <c r="T402" s="1" t="s">
        <v>590</v>
      </c>
      <c r="U402" s="1" t="s">
        <v>591</v>
      </c>
      <c r="V402" s="1" t="s">
        <v>592</v>
      </c>
      <c r="W402" s="1" t="s">
        <v>593</v>
      </c>
      <c r="X402" s="1" t="s">
        <v>594</v>
      </c>
      <c r="Y402" s="1" t="s">
        <v>595</v>
      </c>
      <c r="Z402" s="1" t="s">
        <v>596</v>
      </c>
      <c r="AA402" s="1" t="s">
        <v>74</v>
      </c>
      <c r="AB402" s="1" t="s">
        <v>74</v>
      </c>
      <c r="AC402" s="1" t="s">
        <v>597</v>
      </c>
      <c r="AD402" s="1" t="s">
        <v>597</v>
      </c>
      <c r="AE402" s="1" t="s">
        <v>598</v>
      </c>
      <c r="AF402" s="1" t="s">
        <v>74</v>
      </c>
      <c r="AG402" s="1">
        <v>22</v>
      </c>
      <c r="AH402" s="1">
        <v>21</v>
      </c>
      <c r="AI402" s="1">
        <v>22</v>
      </c>
      <c r="AJ402" s="1">
        <v>0</v>
      </c>
      <c r="AK402" s="1">
        <v>1</v>
      </c>
      <c r="AL402" s="1" t="s">
        <v>599</v>
      </c>
      <c r="AM402" s="1" t="s">
        <v>325</v>
      </c>
      <c r="AN402" s="1" t="s">
        <v>600</v>
      </c>
      <c r="AO402" s="1" t="s">
        <v>74</v>
      </c>
      <c r="AP402" s="1" t="s">
        <v>74</v>
      </c>
      <c r="AQ402" s="1" t="s">
        <v>601</v>
      </c>
      <c r="AR402" s="1" t="s">
        <v>74</v>
      </c>
      <c r="AS402" s="1" t="s">
        <v>74</v>
      </c>
      <c r="AT402" s="1" t="s">
        <v>74</v>
      </c>
      <c r="AU402" s="1">
        <v>2015</v>
      </c>
      <c r="AV402" s="1" t="s">
        <v>74</v>
      </c>
      <c r="AW402" s="1" t="s">
        <v>74</v>
      </c>
      <c r="AX402" s="1" t="s">
        <v>74</v>
      </c>
      <c r="AY402" s="1" t="s">
        <v>74</v>
      </c>
      <c r="AZ402" s="1" t="s">
        <v>74</v>
      </c>
      <c r="BA402" s="1" t="s">
        <v>74</v>
      </c>
      <c r="BB402" s="1">
        <v>1779</v>
      </c>
      <c r="BC402" s="1">
        <v>1788</v>
      </c>
      <c r="BD402" s="1" t="s">
        <v>74</v>
      </c>
      <c r="BE402" s="1" t="s">
        <v>602</v>
      </c>
      <c r="BF402" s="1" t="str">
        <f>HYPERLINK("http://dx.doi.org/10.1145/2783258.2788608","http://dx.doi.org/10.1145/2783258.2788608")</f>
        <v>http://dx.doi.org/10.1145/2783258.2788608</v>
      </c>
      <c r="BG402" s="1" t="s">
        <v>74</v>
      </c>
      <c r="BH402" s="1" t="s">
        <v>74</v>
      </c>
      <c r="BI402" s="1">
        <v>10</v>
      </c>
      <c r="BJ402" s="1" t="s">
        <v>603</v>
      </c>
      <c r="BK402" s="1" t="s">
        <v>604</v>
      </c>
      <c r="BL402" s="1" t="s">
        <v>417</v>
      </c>
      <c r="BM402" s="1" t="s">
        <v>605</v>
      </c>
      <c r="BN402" s="1" t="s">
        <v>74</v>
      </c>
      <c r="BO402" s="1" t="s">
        <v>74</v>
      </c>
      <c r="BP402" s="1" t="s">
        <v>74</v>
      </c>
      <c r="BQ402" s="1" t="s">
        <v>74</v>
      </c>
      <c r="BR402" s="1" t="s">
        <v>4296</v>
      </c>
      <c r="BS402" s="1" t="s">
        <v>606</v>
      </c>
      <c r="BT402" s="1" t="str">
        <f>HYPERLINK("https%3A%2F%2Fwww.webofscience.com%2Fwos%2Fwoscc%2Ffull-record%2FWOS:000485312900189","View Full Record in Web of Science")</f>
        <v>View Full Record in Web of Science</v>
      </c>
      <c r="BU402" s="1" t="s">
        <v>5876</v>
      </c>
      <c r="BV402" s="1" t="s">
        <v>10653</v>
      </c>
      <c r="BW402" s="1" t="s">
        <v>10653</v>
      </c>
    </row>
    <row r="403" spans="1:75" x14ac:dyDescent="0.35">
      <c r="A403" t="s">
        <v>72</v>
      </c>
      <c r="B403" t="s">
        <v>6101</v>
      </c>
      <c r="C403" t="s">
        <v>74</v>
      </c>
      <c r="D403" t="s">
        <v>74</v>
      </c>
      <c r="E403" t="s">
        <v>74</v>
      </c>
      <c r="F403" t="s">
        <v>6102</v>
      </c>
      <c r="G403" t="s">
        <v>74</v>
      </c>
      <c r="H403" t="s">
        <v>74</v>
      </c>
      <c r="I403" t="s">
        <v>6103</v>
      </c>
      <c r="J403" t="s">
        <v>136</v>
      </c>
      <c r="K403" t="s">
        <v>74</v>
      </c>
      <c r="L403" t="s">
        <v>74</v>
      </c>
      <c r="M403" t="s">
        <v>78</v>
      </c>
      <c r="N403" t="s">
        <v>79</v>
      </c>
      <c r="O403" t="s">
        <v>74</v>
      </c>
      <c r="P403" t="s">
        <v>74</v>
      </c>
      <c r="Q403" t="s">
        <v>74</v>
      </c>
      <c r="R403" t="s">
        <v>74</v>
      </c>
      <c r="S403" t="s">
        <v>74</v>
      </c>
      <c r="T403" t="s">
        <v>74</v>
      </c>
      <c r="U403" t="s">
        <v>74</v>
      </c>
      <c r="V403" t="s">
        <v>6104</v>
      </c>
      <c r="W403" t="s">
        <v>6105</v>
      </c>
      <c r="X403" t="s">
        <v>6106</v>
      </c>
      <c r="Y403" t="s">
        <v>6107</v>
      </c>
      <c r="Z403" t="s">
        <v>6108</v>
      </c>
      <c r="AA403" t="s">
        <v>74</v>
      </c>
      <c r="AB403" t="s">
        <v>74</v>
      </c>
      <c r="AC403" t="s">
        <v>74</v>
      </c>
      <c r="AD403" t="s">
        <v>74</v>
      </c>
      <c r="AE403" t="s">
        <v>74</v>
      </c>
      <c r="AF403" t="s">
        <v>74</v>
      </c>
      <c r="AG403">
        <v>2</v>
      </c>
      <c r="AH403">
        <v>29</v>
      </c>
      <c r="AI403">
        <v>30</v>
      </c>
      <c r="AJ403">
        <v>0</v>
      </c>
      <c r="AK403">
        <v>42</v>
      </c>
      <c r="AL403" t="s">
        <v>232</v>
      </c>
      <c r="AM403" t="s">
        <v>233</v>
      </c>
      <c r="AN403" t="s">
        <v>234</v>
      </c>
      <c r="AO403" t="s">
        <v>147</v>
      </c>
      <c r="AP403" t="s">
        <v>148</v>
      </c>
      <c r="AQ403" t="s">
        <v>74</v>
      </c>
      <c r="AR403" t="s">
        <v>149</v>
      </c>
      <c r="AS403" t="s">
        <v>150</v>
      </c>
      <c r="AT403" t="s">
        <v>177</v>
      </c>
      <c r="AU403">
        <v>2014</v>
      </c>
      <c r="AV403">
        <v>51</v>
      </c>
      <c r="AW403">
        <v>1</v>
      </c>
      <c r="AX403" t="s">
        <v>74</v>
      </c>
      <c r="AY403" t="s">
        <v>74</v>
      </c>
      <c r="AZ403" t="s">
        <v>74</v>
      </c>
      <c r="BA403" t="s">
        <v>74</v>
      </c>
      <c r="BB403">
        <v>84</v>
      </c>
      <c r="BC403">
        <v>91</v>
      </c>
      <c r="BD403" t="s">
        <v>74</v>
      </c>
      <c r="BE403" t="s">
        <v>6109</v>
      </c>
      <c r="BF403" t="str">
        <f>HYPERLINK("http://dx.doi.org/10.1509/jmr.51.1.02","http://dx.doi.org/10.1509/jmr.51.1.02")</f>
        <v>http://dx.doi.org/10.1509/jmr.51.1.02</v>
      </c>
      <c r="BG403" t="s">
        <v>74</v>
      </c>
      <c r="BH403" t="s">
        <v>74</v>
      </c>
      <c r="BI403">
        <v>8</v>
      </c>
      <c r="BJ403" t="s">
        <v>153</v>
      </c>
      <c r="BK403" t="s">
        <v>101</v>
      </c>
      <c r="BL403" t="s">
        <v>154</v>
      </c>
      <c r="BM403" t="s">
        <v>6110</v>
      </c>
      <c r="BN403" t="s">
        <v>74</v>
      </c>
      <c r="BO403" t="s">
        <v>74</v>
      </c>
      <c r="BP403" t="s">
        <v>74</v>
      </c>
      <c r="BQ403" t="s">
        <v>74</v>
      </c>
      <c r="BR403" t="s">
        <v>6098</v>
      </c>
      <c r="BS403" t="s">
        <v>6111</v>
      </c>
      <c r="BT403" t="str">
        <f>HYPERLINK("https%3A%2F%2Fwww.webofscience.com%2Fwos%2Fwoscc%2Ffull-record%2FWOS:000340863300008","View Full Record in Web of Science")</f>
        <v>View Full Record in Web of Science</v>
      </c>
      <c r="BU403" t="s">
        <v>6100</v>
      </c>
      <c r="BV403" s="1" t="s">
        <v>6080</v>
      </c>
      <c r="BW403" s="1" t="s">
        <v>10653</v>
      </c>
    </row>
    <row r="404" spans="1:75" ht="406" x14ac:dyDescent="0.35">
      <c r="A404" s="1" t="s">
        <v>72</v>
      </c>
      <c r="B404" s="1" t="s">
        <v>4197</v>
      </c>
      <c r="C404" s="1" t="s">
        <v>74</v>
      </c>
      <c r="D404" s="1" t="s">
        <v>74</v>
      </c>
      <c r="E404" s="1" t="s">
        <v>74</v>
      </c>
      <c r="F404" s="1" t="s">
        <v>4198</v>
      </c>
      <c r="G404" s="1" t="s">
        <v>74</v>
      </c>
      <c r="H404" s="1" t="s">
        <v>74</v>
      </c>
      <c r="I404" s="1" t="s">
        <v>4199</v>
      </c>
      <c r="J404" s="1" t="s">
        <v>136</v>
      </c>
      <c r="K404" s="1" t="s">
        <v>74</v>
      </c>
      <c r="L404" s="1" t="s">
        <v>74</v>
      </c>
      <c r="M404" s="1" t="s">
        <v>78</v>
      </c>
      <c r="N404" s="1" t="s">
        <v>110</v>
      </c>
      <c r="O404" s="1" t="s">
        <v>74</v>
      </c>
      <c r="P404" s="1" t="s">
        <v>74</v>
      </c>
      <c r="Q404" s="1" t="s">
        <v>74</v>
      </c>
      <c r="R404" s="1" t="s">
        <v>74</v>
      </c>
      <c r="S404" s="1" t="s">
        <v>74</v>
      </c>
      <c r="T404" s="1" t="s">
        <v>4200</v>
      </c>
      <c r="U404" s="1" t="s">
        <v>4201</v>
      </c>
      <c r="V404" s="1" t="s">
        <v>4202</v>
      </c>
      <c r="W404" s="1" t="s">
        <v>4203</v>
      </c>
      <c r="X404" s="1" t="s">
        <v>4204</v>
      </c>
      <c r="Y404" s="1" t="s">
        <v>4205</v>
      </c>
      <c r="Z404" s="1" t="s">
        <v>4206</v>
      </c>
      <c r="AA404" s="1" t="s">
        <v>4207</v>
      </c>
      <c r="AB404" s="1" t="s">
        <v>4208</v>
      </c>
      <c r="AC404" s="1" t="s">
        <v>4209</v>
      </c>
      <c r="AD404" s="1" t="s">
        <v>4209</v>
      </c>
      <c r="AE404" s="1" t="s">
        <v>4210</v>
      </c>
      <c r="AF404" s="1" t="s">
        <v>74</v>
      </c>
      <c r="AG404" s="1">
        <v>56</v>
      </c>
      <c r="AH404" s="1">
        <v>46</v>
      </c>
      <c r="AI404" s="1">
        <v>47</v>
      </c>
      <c r="AJ404" s="1">
        <v>25</v>
      </c>
      <c r="AK404" s="1">
        <v>187</v>
      </c>
      <c r="AL404" s="1" t="s">
        <v>144</v>
      </c>
      <c r="AM404" s="1" t="s">
        <v>145</v>
      </c>
      <c r="AN404" s="1" t="s">
        <v>146</v>
      </c>
      <c r="AO404" s="1" t="s">
        <v>147</v>
      </c>
      <c r="AP404" s="1" t="s">
        <v>148</v>
      </c>
      <c r="AQ404" s="1" t="s">
        <v>74</v>
      </c>
      <c r="AR404" s="1" t="s">
        <v>149</v>
      </c>
      <c r="AS404" s="1" t="s">
        <v>150</v>
      </c>
      <c r="AT404" s="1" t="s">
        <v>348</v>
      </c>
      <c r="AU404" s="1">
        <v>2019</v>
      </c>
      <c r="AV404" s="1">
        <v>56</v>
      </c>
      <c r="AW404" s="1">
        <v>6</v>
      </c>
      <c r="AX404" s="1" t="s">
        <v>74</v>
      </c>
      <c r="AY404" s="1" t="s">
        <v>74</v>
      </c>
      <c r="AZ404" s="1" t="s">
        <v>74</v>
      </c>
      <c r="BA404" s="1" t="s">
        <v>74</v>
      </c>
      <c r="BB404" s="1">
        <v>918</v>
      </c>
      <c r="BC404" s="1">
        <v>943</v>
      </c>
      <c r="BD404" s="1" t="s">
        <v>74</v>
      </c>
      <c r="BE404" s="1" t="s">
        <v>4211</v>
      </c>
      <c r="BF404" s="1" t="str">
        <f>HYPERLINK("http://dx.doi.org/10.1177/0022243719866690","http://dx.doi.org/10.1177/0022243719866690")</f>
        <v>http://dx.doi.org/10.1177/0022243719866690</v>
      </c>
      <c r="BG404" s="1" t="s">
        <v>74</v>
      </c>
      <c r="BH404" s="1" t="s">
        <v>74</v>
      </c>
      <c r="BI404" s="1">
        <v>26</v>
      </c>
      <c r="BJ404" s="1" t="s">
        <v>153</v>
      </c>
      <c r="BK404" s="1" t="s">
        <v>101</v>
      </c>
      <c r="BL404" s="1" t="s">
        <v>154</v>
      </c>
      <c r="BM404" s="1" t="s">
        <v>350</v>
      </c>
      <c r="BN404" s="1" t="s">
        <v>74</v>
      </c>
      <c r="BO404" s="1" t="s">
        <v>74</v>
      </c>
      <c r="BP404" s="1" t="s">
        <v>74</v>
      </c>
      <c r="BQ404" s="1" t="s">
        <v>74</v>
      </c>
      <c r="BR404" s="1" t="s">
        <v>4296</v>
      </c>
      <c r="BS404" s="1" t="s">
        <v>4212</v>
      </c>
      <c r="BT404" s="1" t="str">
        <f>HYPERLINK("https%3A%2F%2Fwww.webofscience.com%2Fwos%2Fwoscc%2Ffull-record%2FWOS:000500198400002","View Full Record in Web of Science")</f>
        <v>View Full Record in Web of Science</v>
      </c>
      <c r="BU404" s="1" t="s">
        <v>5876</v>
      </c>
      <c r="BV404" s="1" t="s">
        <v>6080</v>
      </c>
      <c r="BW404" s="1" t="s">
        <v>6080</v>
      </c>
    </row>
    <row r="405" spans="1:75" ht="333.5" x14ac:dyDescent="0.35">
      <c r="A405" s="1" t="s">
        <v>72</v>
      </c>
      <c r="B405" s="1" t="s">
        <v>1397</v>
      </c>
      <c r="C405" s="1" t="s">
        <v>74</v>
      </c>
      <c r="D405" s="1" t="s">
        <v>74</v>
      </c>
      <c r="E405" s="1" t="s">
        <v>74</v>
      </c>
      <c r="F405" s="1" t="s">
        <v>1398</v>
      </c>
      <c r="G405" s="1" t="s">
        <v>74</v>
      </c>
      <c r="H405" s="1" t="s">
        <v>74</v>
      </c>
      <c r="I405" s="1" t="s">
        <v>1399</v>
      </c>
      <c r="J405" s="1" t="s">
        <v>136</v>
      </c>
      <c r="K405" s="1" t="s">
        <v>74</v>
      </c>
      <c r="L405" s="1" t="s">
        <v>74</v>
      </c>
      <c r="M405" s="1" t="s">
        <v>78</v>
      </c>
      <c r="N405" s="1" t="s">
        <v>79</v>
      </c>
      <c r="O405" s="1" t="s">
        <v>74</v>
      </c>
      <c r="P405" s="1" t="s">
        <v>74</v>
      </c>
      <c r="Q405" s="1" t="s">
        <v>74</v>
      </c>
      <c r="R405" s="1" t="s">
        <v>74</v>
      </c>
      <c r="S405" s="1" t="s">
        <v>74</v>
      </c>
      <c r="T405" s="1" t="s">
        <v>1400</v>
      </c>
      <c r="U405" s="1" t="s">
        <v>1401</v>
      </c>
      <c r="V405" s="1" t="s">
        <v>1402</v>
      </c>
      <c r="W405" s="1" t="s">
        <v>1403</v>
      </c>
      <c r="X405" s="1" t="s">
        <v>1404</v>
      </c>
      <c r="Y405" s="1" t="s">
        <v>1405</v>
      </c>
      <c r="Z405" s="1" t="s">
        <v>1406</v>
      </c>
      <c r="AA405" s="1" t="s">
        <v>74</v>
      </c>
      <c r="AB405" s="1" t="s">
        <v>74</v>
      </c>
      <c r="AC405" s="1" t="s">
        <v>1407</v>
      </c>
      <c r="AD405" s="1" t="s">
        <v>1407</v>
      </c>
      <c r="AE405" s="1" t="s">
        <v>1408</v>
      </c>
      <c r="AF405" s="1" t="s">
        <v>74</v>
      </c>
      <c r="AG405" s="1">
        <v>83</v>
      </c>
      <c r="AH405" s="1">
        <v>49</v>
      </c>
      <c r="AI405" s="1">
        <v>51</v>
      </c>
      <c r="AJ405" s="1">
        <v>8</v>
      </c>
      <c r="AK405" s="1">
        <v>100</v>
      </c>
      <c r="AL405" s="1" t="s">
        <v>144</v>
      </c>
      <c r="AM405" s="1" t="s">
        <v>145</v>
      </c>
      <c r="AN405" s="1" t="s">
        <v>146</v>
      </c>
      <c r="AO405" s="1" t="s">
        <v>147</v>
      </c>
      <c r="AP405" s="1" t="s">
        <v>148</v>
      </c>
      <c r="AQ405" s="1" t="s">
        <v>74</v>
      </c>
      <c r="AR405" s="1" t="s">
        <v>149</v>
      </c>
      <c r="AS405" s="1" t="s">
        <v>150</v>
      </c>
      <c r="AT405" s="1" t="s">
        <v>348</v>
      </c>
      <c r="AU405" s="1">
        <v>2019</v>
      </c>
      <c r="AV405" s="1">
        <v>56</v>
      </c>
      <c r="AW405" s="1">
        <v>6</v>
      </c>
      <c r="AX405" s="1" t="s">
        <v>74</v>
      </c>
      <c r="AY405" s="1" t="s">
        <v>74</v>
      </c>
      <c r="AZ405" s="1" t="s">
        <v>74</v>
      </c>
      <c r="BA405" s="1" t="s">
        <v>74</v>
      </c>
      <c r="BB405" s="1">
        <v>960</v>
      </c>
      <c r="BC405" s="1">
        <v>980</v>
      </c>
      <c r="BD405" s="1" t="s">
        <v>74</v>
      </c>
      <c r="BE405" s="1" t="s">
        <v>1409</v>
      </c>
      <c r="BF405" s="1" t="str">
        <f>HYPERLINK("http://dx.doi.org/10.1177/0022243719852959","http://dx.doi.org/10.1177/0022243719852959")</f>
        <v>http://dx.doi.org/10.1177/0022243719852959</v>
      </c>
      <c r="BG405" s="1" t="s">
        <v>74</v>
      </c>
      <c r="BH405" s="1" t="s">
        <v>74</v>
      </c>
      <c r="BI405" s="1">
        <v>21</v>
      </c>
      <c r="BJ405" s="1" t="s">
        <v>153</v>
      </c>
      <c r="BK405" s="1" t="s">
        <v>101</v>
      </c>
      <c r="BL405" s="1" t="s">
        <v>154</v>
      </c>
      <c r="BM405" s="1" t="s">
        <v>350</v>
      </c>
      <c r="BN405" s="1" t="s">
        <v>74</v>
      </c>
      <c r="BO405" s="1" t="s">
        <v>74</v>
      </c>
      <c r="BP405" s="1" t="s">
        <v>74</v>
      </c>
      <c r="BQ405" s="1" t="s">
        <v>74</v>
      </c>
      <c r="BR405" s="1" t="s">
        <v>4296</v>
      </c>
      <c r="BS405" s="1" t="s">
        <v>1410</v>
      </c>
      <c r="BT405" s="1" t="str">
        <f>HYPERLINK("https%3A%2F%2Fwww.webofscience.com%2Fwos%2Fwoscc%2Ffull-record%2FWOS:000500198400004","View Full Record in Web of Science")</f>
        <v>View Full Record in Web of Science</v>
      </c>
      <c r="BU405" s="1" t="s">
        <v>5876</v>
      </c>
      <c r="BV405" s="1" t="s">
        <v>6080</v>
      </c>
      <c r="BW405" s="1" t="s">
        <v>6080</v>
      </c>
    </row>
    <row r="406" spans="1:75" ht="304.5" x14ac:dyDescent="0.35">
      <c r="A406" s="1" t="s">
        <v>72</v>
      </c>
      <c r="B406" s="1" t="s">
        <v>5138</v>
      </c>
      <c r="C406" s="1" t="s">
        <v>74</v>
      </c>
      <c r="D406" s="1" t="s">
        <v>74</v>
      </c>
      <c r="E406" s="1" t="s">
        <v>74</v>
      </c>
      <c r="F406" s="1" t="s">
        <v>5139</v>
      </c>
      <c r="G406" s="1" t="s">
        <v>74</v>
      </c>
      <c r="H406" s="1" t="s">
        <v>74</v>
      </c>
      <c r="I406" s="1" t="s">
        <v>5140</v>
      </c>
      <c r="J406" s="1" t="s">
        <v>2057</v>
      </c>
      <c r="K406" s="1" t="s">
        <v>74</v>
      </c>
      <c r="L406" s="1" t="s">
        <v>74</v>
      </c>
      <c r="M406" s="1" t="s">
        <v>78</v>
      </c>
      <c r="N406" s="1" t="s">
        <v>79</v>
      </c>
      <c r="O406" s="1" t="s">
        <v>74</v>
      </c>
      <c r="P406" s="1" t="s">
        <v>74</v>
      </c>
      <c r="Q406" s="1" t="s">
        <v>74</v>
      </c>
      <c r="R406" s="1" t="s">
        <v>74</v>
      </c>
      <c r="S406" s="1" t="s">
        <v>74</v>
      </c>
      <c r="T406" s="1" t="s">
        <v>5141</v>
      </c>
      <c r="U406" s="1" t="s">
        <v>5142</v>
      </c>
      <c r="V406" s="1" t="s">
        <v>5143</v>
      </c>
      <c r="W406" s="1" t="s">
        <v>5144</v>
      </c>
      <c r="X406" s="1" t="s">
        <v>5145</v>
      </c>
      <c r="Y406" s="1" t="s">
        <v>5146</v>
      </c>
      <c r="Z406" s="1" t="s">
        <v>5147</v>
      </c>
      <c r="AA406" s="1" t="s">
        <v>5148</v>
      </c>
      <c r="AB406" s="1" t="s">
        <v>5149</v>
      </c>
      <c r="AC406" s="1" t="s">
        <v>74</v>
      </c>
      <c r="AD406" s="1" t="s">
        <v>74</v>
      </c>
      <c r="AE406" s="1" t="s">
        <v>74</v>
      </c>
      <c r="AF406" s="1" t="s">
        <v>74</v>
      </c>
      <c r="AG406" s="1">
        <v>90</v>
      </c>
      <c r="AH406" s="1">
        <v>36</v>
      </c>
      <c r="AI406" s="1">
        <v>36</v>
      </c>
      <c r="AJ406" s="1">
        <v>17</v>
      </c>
      <c r="AK406" s="1">
        <v>74</v>
      </c>
      <c r="AL406" s="1" t="s">
        <v>144</v>
      </c>
      <c r="AM406" s="1" t="s">
        <v>145</v>
      </c>
      <c r="AN406" s="1" t="s">
        <v>146</v>
      </c>
      <c r="AO406" s="1" t="s">
        <v>2058</v>
      </c>
      <c r="AP406" s="1" t="s">
        <v>2059</v>
      </c>
      <c r="AQ406" s="1" t="s">
        <v>74</v>
      </c>
      <c r="AR406" s="1" t="s">
        <v>2060</v>
      </c>
      <c r="AS406" s="1" t="s">
        <v>2061</v>
      </c>
      <c r="AT406" s="1" t="s">
        <v>258</v>
      </c>
      <c r="AU406" s="1">
        <v>2019</v>
      </c>
      <c r="AV406" s="1">
        <v>48</v>
      </c>
      <c r="AW406" s="1" t="s">
        <v>74</v>
      </c>
      <c r="AX406" s="1" t="s">
        <v>74</v>
      </c>
      <c r="AY406" s="1" t="s">
        <v>74</v>
      </c>
      <c r="AZ406" s="1" t="s">
        <v>74</v>
      </c>
      <c r="BA406" s="1" t="s">
        <v>74</v>
      </c>
      <c r="BB406" s="1">
        <v>17</v>
      </c>
      <c r="BC406" s="1">
        <v>32</v>
      </c>
      <c r="BD406" s="1" t="s">
        <v>74</v>
      </c>
      <c r="BE406" s="1" t="s">
        <v>5150</v>
      </c>
      <c r="BF406" s="1" t="str">
        <f>HYPERLINK("http://dx.doi.org/10.1016/j.intmar.2019.03.003","http://dx.doi.org/10.1016/j.intmar.2019.03.003")</f>
        <v>http://dx.doi.org/10.1016/j.intmar.2019.03.003</v>
      </c>
      <c r="BG406" s="1" t="s">
        <v>74</v>
      </c>
      <c r="BH406" s="1" t="s">
        <v>74</v>
      </c>
      <c r="BI406" s="1">
        <v>16</v>
      </c>
      <c r="BJ406" s="1" t="s">
        <v>153</v>
      </c>
      <c r="BK406" s="1" t="s">
        <v>101</v>
      </c>
      <c r="BL406" s="1" t="s">
        <v>154</v>
      </c>
      <c r="BM406" s="1" t="s">
        <v>5151</v>
      </c>
      <c r="BN406" s="1" t="s">
        <v>74</v>
      </c>
      <c r="BO406" s="1" t="s">
        <v>74</v>
      </c>
      <c r="BP406" s="1" t="s">
        <v>74</v>
      </c>
      <c r="BQ406" s="1" t="s">
        <v>74</v>
      </c>
      <c r="BR406" s="1" t="s">
        <v>4296</v>
      </c>
      <c r="BS406" s="1" t="s">
        <v>5152</v>
      </c>
      <c r="BT406" s="1" t="str">
        <f>HYPERLINK("https%3A%2F%2Fwww.webofscience.com%2Fwos%2Fwoscc%2Ffull-record%2FWOS:000495146900002","View Full Record in Web of Science")</f>
        <v>View Full Record in Web of Science</v>
      </c>
      <c r="BU406" s="1" t="s">
        <v>5876</v>
      </c>
      <c r="BV406" s="1" t="s">
        <v>6080</v>
      </c>
      <c r="BW406" s="1" t="s">
        <v>6080</v>
      </c>
    </row>
    <row r="407" spans="1:75" ht="333.5" x14ac:dyDescent="0.35">
      <c r="A407" s="1" t="s">
        <v>72</v>
      </c>
      <c r="B407" s="1" t="s">
        <v>5153</v>
      </c>
      <c r="C407" s="1" t="s">
        <v>74</v>
      </c>
      <c r="D407" s="1" t="s">
        <v>74</v>
      </c>
      <c r="E407" s="1" t="s">
        <v>74</v>
      </c>
      <c r="F407" s="1" t="s">
        <v>5154</v>
      </c>
      <c r="G407" s="1" t="s">
        <v>74</v>
      </c>
      <c r="H407" s="1" t="s">
        <v>74</v>
      </c>
      <c r="I407" s="1" t="s">
        <v>5155</v>
      </c>
      <c r="J407" s="1" t="s">
        <v>5156</v>
      </c>
      <c r="K407" s="1" t="s">
        <v>74</v>
      </c>
      <c r="L407" s="1" t="s">
        <v>74</v>
      </c>
      <c r="M407" s="1" t="s">
        <v>78</v>
      </c>
      <c r="N407" s="1" t="s">
        <v>79</v>
      </c>
      <c r="O407" s="1" t="s">
        <v>74</v>
      </c>
      <c r="P407" s="1" t="s">
        <v>74</v>
      </c>
      <c r="Q407" s="1" t="s">
        <v>74</v>
      </c>
      <c r="R407" s="1" t="s">
        <v>74</v>
      </c>
      <c r="S407" s="1" t="s">
        <v>74</v>
      </c>
      <c r="T407" s="1" t="s">
        <v>5157</v>
      </c>
      <c r="U407" s="1" t="s">
        <v>5158</v>
      </c>
      <c r="V407" s="1" t="s">
        <v>5159</v>
      </c>
      <c r="W407" s="1" t="s">
        <v>5160</v>
      </c>
      <c r="X407" s="1" t="s">
        <v>5161</v>
      </c>
      <c r="Y407" s="1" t="s">
        <v>5162</v>
      </c>
      <c r="Z407" s="1" t="s">
        <v>5163</v>
      </c>
      <c r="AA407" s="1" t="s">
        <v>5164</v>
      </c>
      <c r="AB407" s="1" t="s">
        <v>5165</v>
      </c>
      <c r="AC407" s="1" t="s">
        <v>74</v>
      </c>
      <c r="AD407" s="1" t="s">
        <v>74</v>
      </c>
      <c r="AE407" s="1" t="s">
        <v>74</v>
      </c>
      <c r="AF407" s="1" t="s">
        <v>74</v>
      </c>
      <c r="AG407" s="1">
        <v>68</v>
      </c>
      <c r="AH407" s="1">
        <v>7</v>
      </c>
      <c r="AI407" s="1">
        <v>6</v>
      </c>
      <c r="AJ407" s="1">
        <v>0</v>
      </c>
      <c r="AK407" s="1">
        <v>13</v>
      </c>
      <c r="AL407" s="1" t="s">
        <v>5166</v>
      </c>
      <c r="AM407" s="1" t="s">
        <v>5167</v>
      </c>
      <c r="AN407" s="1" t="s">
        <v>5168</v>
      </c>
      <c r="AO407" s="1" t="s">
        <v>5169</v>
      </c>
      <c r="AP407" s="1" t="s">
        <v>74</v>
      </c>
      <c r="AQ407" s="1" t="s">
        <v>74</v>
      </c>
      <c r="AR407" s="1" t="s">
        <v>5170</v>
      </c>
      <c r="AS407" s="1" t="s">
        <v>5171</v>
      </c>
      <c r="AT407" s="1" t="s">
        <v>98</v>
      </c>
      <c r="AU407" s="1">
        <v>2019</v>
      </c>
      <c r="AV407" s="1">
        <v>8</v>
      </c>
      <c r="AW407" s="1">
        <v>2</v>
      </c>
      <c r="AX407" s="1" t="s">
        <v>74</v>
      </c>
      <c r="AY407" s="1" t="s">
        <v>74</v>
      </c>
      <c r="AZ407" s="1" t="s">
        <v>74</v>
      </c>
      <c r="BA407" s="1" t="s">
        <v>74</v>
      </c>
      <c r="BB407" s="1">
        <v>183</v>
      </c>
      <c r="BC407" s="1">
        <v>204</v>
      </c>
      <c r="BD407" s="1" t="s">
        <v>74</v>
      </c>
      <c r="BE407" s="1" t="s">
        <v>74</v>
      </c>
      <c r="BF407" s="1" t="s">
        <v>74</v>
      </c>
      <c r="BG407" s="1" t="s">
        <v>74</v>
      </c>
      <c r="BH407" s="1" t="s">
        <v>74</v>
      </c>
      <c r="BI407" s="1">
        <v>22</v>
      </c>
      <c r="BJ407" s="1" t="s">
        <v>5172</v>
      </c>
      <c r="BK407" s="1" t="s">
        <v>3880</v>
      </c>
      <c r="BL407" s="1" t="s">
        <v>5172</v>
      </c>
      <c r="BM407" s="1" t="s">
        <v>5173</v>
      </c>
      <c r="BN407" s="1" t="s">
        <v>74</v>
      </c>
      <c r="BO407" s="1" t="s">
        <v>74</v>
      </c>
      <c r="BP407" s="1" t="s">
        <v>74</v>
      </c>
      <c r="BQ407" s="1" t="s">
        <v>74</v>
      </c>
      <c r="BR407" s="1" t="s">
        <v>4296</v>
      </c>
      <c r="BS407" s="1" t="s">
        <v>5174</v>
      </c>
      <c r="BT407" s="1" t="str">
        <f>HYPERLINK("https%3A%2F%2Fwww.webofscience.com%2Fwos%2Fwoscc%2Ffull-record%2FWOS:000473342000005","View Full Record in Web of Science")</f>
        <v>View Full Record in Web of Science</v>
      </c>
      <c r="BU407" s="1" t="s">
        <v>5876</v>
      </c>
      <c r="BV407" s="1" t="s">
        <v>10653</v>
      </c>
    </row>
    <row r="408" spans="1:75" ht="362.5" x14ac:dyDescent="0.35">
      <c r="A408" s="1" t="s">
        <v>72</v>
      </c>
      <c r="B408" s="1" t="s">
        <v>1261</v>
      </c>
      <c r="C408" s="1" t="s">
        <v>74</v>
      </c>
      <c r="D408" s="1" t="s">
        <v>74</v>
      </c>
      <c r="E408" s="1" t="s">
        <v>74</v>
      </c>
      <c r="F408" s="1" t="s">
        <v>1262</v>
      </c>
      <c r="G408" s="1" t="s">
        <v>74</v>
      </c>
      <c r="H408" s="1" t="s">
        <v>74</v>
      </c>
      <c r="I408" s="1" t="s">
        <v>1263</v>
      </c>
      <c r="J408" s="1" t="s">
        <v>136</v>
      </c>
      <c r="K408" s="1" t="s">
        <v>74</v>
      </c>
      <c r="L408" s="1" t="s">
        <v>74</v>
      </c>
      <c r="M408" s="1" t="s">
        <v>78</v>
      </c>
      <c r="N408" s="1" t="s">
        <v>79</v>
      </c>
      <c r="O408" s="1" t="s">
        <v>74</v>
      </c>
      <c r="P408" s="1" t="s">
        <v>74</v>
      </c>
      <c r="Q408" s="1" t="s">
        <v>74</v>
      </c>
      <c r="R408" s="1" t="s">
        <v>74</v>
      </c>
      <c r="S408" s="1" t="s">
        <v>74</v>
      </c>
      <c r="T408" s="1" t="s">
        <v>1264</v>
      </c>
      <c r="U408" s="1" t="s">
        <v>1265</v>
      </c>
      <c r="V408" s="1" t="s">
        <v>1266</v>
      </c>
      <c r="W408" s="1" t="s">
        <v>1267</v>
      </c>
      <c r="X408" s="1" t="s">
        <v>1268</v>
      </c>
      <c r="Y408" s="1" t="s">
        <v>1269</v>
      </c>
      <c r="Z408" s="1" t="s">
        <v>1270</v>
      </c>
      <c r="AA408" s="1" t="s">
        <v>1271</v>
      </c>
      <c r="AB408" s="1" t="s">
        <v>74</v>
      </c>
      <c r="AC408" s="1" t="s">
        <v>74</v>
      </c>
      <c r="AD408" s="1" t="s">
        <v>74</v>
      </c>
      <c r="AE408" s="1" t="s">
        <v>74</v>
      </c>
      <c r="AF408" s="1" t="s">
        <v>74</v>
      </c>
      <c r="AG408" s="1">
        <v>42</v>
      </c>
      <c r="AH408" s="1">
        <v>64</v>
      </c>
      <c r="AI408" s="1">
        <v>64</v>
      </c>
      <c r="AJ408" s="1">
        <v>18</v>
      </c>
      <c r="AK408" s="1">
        <v>147</v>
      </c>
      <c r="AL408" s="1" t="s">
        <v>144</v>
      </c>
      <c r="AM408" s="1" t="s">
        <v>145</v>
      </c>
      <c r="AN408" s="1" t="s">
        <v>146</v>
      </c>
      <c r="AO408" s="1" t="s">
        <v>147</v>
      </c>
      <c r="AP408" s="1" t="s">
        <v>148</v>
      </c>
      <c r="AQ408" s="1" t="s">
        <v>74</v>
      </c>
      <c r="AR408" s="1" t="s">
        <v>149</v>
      </c>
      <c r="AS408" s="1" t="s">
        <v>150</v>
      </c>
      <c r="AT408" s="1" t="s">
        <v>294</v>
      </c>
      <c r="AU408" s="1">
        <v>2019</v>
      </c>
      <c r="AV408" s="1">
        <v>56</v>
      </c>
      <c r="AW408" s="1">
        <v>2</v>
      </c>
      <c r="AX408" s="1" t="s">
        <v>74</v>
      </c>
      <c r="AY408" s="1" t="s">
        <v>74</v>
      </c>
      <c r="AZ408" s="1" t="s">
        <v>74</v>
      </c>
      <c r="BA408" s="1" t="s">
        <v>74</v>
      </c>
      <c r="BB408" s="1">
        <v>259</v>
      </c>
      <c r="BC408" s="1">
        <v>275</v>
      </c>
      <c r="BD408" s="1" t="s">
        <v>74</v>
      </c>
      <c r="BE408" s="1" t="s">
        <v>1272</v>
      </c>
      <c r="BF408" s="1" t="str">
        <f>HYPERLINK("http://dx.doi.org/10.1177/0022243718815429","http://dx.doi.org/10.1177/0022243718815429")</f>
        <v>http://dx.doi.org/10.1177/0022243718815429</v>
      </c>
      <c r="BG408" s="1" t="s">
        <v>74</v>
      </c>
      <c r="BH408" s="1" t="s">
        <v>74</v>
      </c>
      <c r="BI408" s="1">
        <v>17</v>
      </c>
      <c r="BJ408" s="1" t="s">
        <v>153</v>
      </c>
      <c r="BK408" s="1" t="s">
        <v>101</v>
      </c>
      <c r="BL408" s="1" t="s">
        <v>154</v>
      </c>
      <c r="BM408" s="1" t="s">
        <v>1273</v>
      </c>
      <c r="BN408" s="1" t="s">
        <v>74</v>
      </c>
      <c r="BO408" s="1" t="s">
        <v>74</v>
      </c>
      <c r="BP408" s="1" t="s">
        <v>74</v>
      </c>
      <c r="BQ408" s="1" t="s">
        <v>74</v>
      </c>
      <c r="BR408" s="1" t="s">
        <v>4296</v>
      </c>
      <c r="BS408" s="1" t="s">
        <v>1274</v>
      </c>
      <c r="BT408" s="1" t="str">
        <f>HYPERLINK("https%3A%2F%2Fwww.webofscience.com%2Fwos%2Fwoscc%2Ffull-record%2FWOS:000461770900006","View Full Record in Web of Science")</f>
        <v>View Full Record in Web of Science</v>
      </c>
      <c r="BU408" s="1" t="s">
        <v>5876</v>
      </c>
      <c r="BV408" s="1" t="s">
        <v>6080</v>
      </c>
      <c r="BW408" s="1" t="s">
        <v>6080</v>
      </c>
    </row>
    <row r="409" spans="1:75" x14ac:dyDescent="0.35">
      <c r="A409" t="s">
        <v>72</v>
      </c>
      <c r="B409" t="s">
        <v>6233</v>
      </c>
      <c r="C409" t="s">
        <v>74</v>
      </c>
      <c r="D409" t="s">
        <v>74</v>
      </c>
      <c r="E409" t="s">
        <v>74</v>
      </c>
      <c r="F409" t="s">
        <v>6234</v>
      </c>
      <c r="G409" t="s">
        <v>74</v>
      </c>
      <c r="H409" t="s">
        <v>74</v>
      </c>
      <c r="I409" t="s">
        <v>6235</v>
      </c>
      <c r="J409" t="s">
        <v>6236</v>
      </c>
      <c r="K409" t="s">
        <v>74</v>
      </c>
      <c r="L409" t="s">
        <v>74</v>
      </c>
      <c r="M409" t="s">
        <v>78</v>
      </c>
      <c r="N409" t="s">
        <v>110</v>
      </c>
      <c r="O409" t="s">
        <v>74</v>
      </c>
      <c r="P409" t="s">
        <v>74</v>
      </c>
      <c r="Q409" t="s">
        <v>74</v>
      </c>
      <c r="R409" t="s">
        <v>74</v>
      </c>
      <c r="S409" t="s">
        <v>74</v>
      </c>
      <c r="T409" t="s">
        <v>6237</v>
      </c>
      <c r="U409" t="s">
        <v>6238</v>
      </c>
      <c r="V409" t="s">
        <v>6239</v>
      </c>
      <c r="W409" t="s">
        <v>6240</v>
      </c>
      <c r="X409" t="s">
        <v>6241</v>
      </c>
      <c r="Y409" t="s">
        <v>6242</v>
      </c>
      <c r="Z409" t="s">
        <v>6243</v>
      </c>
      <c r="AA409" t="s">
        <v>74</v>
      </c>
      <c r="AB409" t="s">
        <v>74</v>
      </c>
      <c r="AC409" t="s">
        <v>74</v>
      </c>
      <c r="AD409" t="s">
        <v>74</v>
      </c>
      <c r="AE409" t="s">
        <v>74</v>
      </c>
      <c r="AF409" t="s">
        <v>74</v>
      </c>
      <c r="AG409">
        <v>165</v>
      </c>
      <c r="AH409">
        <v>2</v>
      </c>
      <c r="AI409">
        <v>2</v>
      </c>
      <c r="AJ409">
        <v>3</v>
      </c>
      <c r="AK409">
        <v>13</v>
      </c>
      <c r="AL409" t="s">
        <v>1982</v>
      </c>
      <c r="AM409" t="s">
        <v>1983</v>
      </c>
      <c r="AN409" t="s">
        <v>2573</v>
      </c>
      <c r="AO409" t="s">
        <v>6244</v>
      </c>
      <c r="AP409" t="s">
        <v>6245</v>
      </c>
      <c r="AQ409" t="s">
        <v>74</v>
      </c>
      <c r="AR409" t="s">
        <v>6246</v>
      </c>
      <c r="AS409" t="s">
        <v>6247</v>
      </c>
      <c r="AT409" t="s">
        <v>6248</v>
      </c>
      <c r="AU409">
        <v>2021</v>
      </c>
      <c r="AV409">
        <v>38</v>
      </c>
      <c r="AW409">
        <v>5</v>
      </c>
      <c r="AX409" t="s">
        <v>74</v>
      </c>
      <c r="AY409" t="s">
        <v>74</v>
      </c>
      <c r="AZ409" t="s">
        <v>259</v>
      </c>
      <c r="BA409" t="s">
        <v>74</v>
      </c>
      <c r="BB409">
        <v>806</v>
      </c>
      <c r="BC409">
        <v>839</v>
      </c>
      <c r="BD409" t="s">
        <v>74</v>
      </c>
      <c r="BE409" t="s">
        <v>6249</v>
      </c>
      <c r="BF409" t="str">
        <f>HYPERLINK("http://dx.doi.org/10.1108/IMR-11-2020-0257","http://dx.doi.org/10.1108/IMR-11-2020-0257")</f>
        <v>http://dx.doi.org/10.1108/IMR-11-2020-0257</v>
      </c>
      <c r="BG409" t="s">
        <v>74</v>
      </c>
      <c r="BH409" t="s">
        <v>6216</v>
      </c>
      <c r="BI409">
        <v>34</v>
      </c>
      <c r="BJ409" t="s">
        <v>153</v>
      </c>
      <c r="BK409" t="s">
        <v>101</v>
      </c>
      <c r="BL409" t="s">
        <v>154</v>
      </c>
      <c r="BM409" t="s">
        <v>6250</v>
      </c>
      <c r="BN409" t="s">
        <v>74</v>
      </c>
      <c r="BO409" t="s">
        <v>74</v>
      </c>
      <c r="BP409" t="s">
        <v>74</v>
      </c>
      <c r="BQ409" t="s">
        <v>74</v>
      </c>
      <c r="BR409" t="s">
        <v>6098</v>
      </c>
      <c r="BS409" t="s">
        <v>6251</v>
      </c>
      <c r="BT409" t="str">
        <f>HYPERLINK("https%3A%2F%2Fwww.webofscience.com%2Fwos%2Fwoscc%2Ffull-record%2FWOS:000669609900001","View Full Record in Web of Science")</f>
        <v>View Full Record in Web of Science</v>
      </c>
      <c r="BU409" t="s">
        <v>6100</v>
      </c>
      <c r="BV409" s="1" t="s">
        <v>6080</v>
      </c>
      <c r="BW409" s="1" t="s">
        <v>10653</v>
      </c>
    </row>
    <row r="410" spans="1:75" ht="409.5" x14ac:dyDescent="0.35">
      <c r="A410" s="1" t="s">
        <v>72</v>
      </c>
      <c r="B410" s="1" t="s">
        <v>785</v>
      </c>
      <c r="C410" s="1" t="s">
        <v>74</v>
      </c>
      <c r="D410" s="1" t="s">
        <v>74</v>
      </c>
      <c r="E410" s="1" t="s">
        <v>74</v>
      </c>
      <c r="F410" s="1" t="s">
        <v>786</v>
      </c>
      <c r="G410" s="1" t="s">
        <v>74</v>
      </c>
      <c r="H410" s="1" t="s">
        <v>74</v>
      </c>
      <c r="I410" s="1" t="s">
        <v>787</v>
      </c>
      <c r="J410" s="1" t="s">
        <v>788</v>
      </c>
      <c r="K410" s="1" t="s">
        <v>74</v>
      </c>
      <c r="L410" s="1" t="s">
        <v>74</v>
      </c>
      <c r="M410" s="1" t="s">
        <v>78</v>
      </c>
      <c r="N410" s="1" t="s">
        <v>79</v>
      </c>
      <c r="O410" s="1" t="s">
        <v>74</v>
      </c>
      <c r="P410" s="1" t="s">
        <v>74</v>
      </c>
      <c r="Q410" s="1" t="s">
        <v>74</v>
      </c>
      <c r="R410" s="1" t="s">
        <v>74</v>
      </c>
      <c r="S410" s="1" t="s">
        <v>74</v>
      </c>
      <c r="T410" s="1" t="s">
        <v>789</v>
      </c>
      <c r="U410" s="1" t="s">
        <v>790</v>
      </c>
      <c r="V410" s="1" t="s">
        <v>791</v>
      </c>
      <c r="W410" s="1" t="s">
        <v>792</v>
      </c>
      <c r="X410" s="1" t="s">
        <v>793</v>
      </c>
      <c r="Y410" s="1" t="s">
        <v>794</v>
      </c>
      <c r="Z410" s="1" t="s">
        <v>795</v>
      </c>
      <c r="AA410" s="1" t="s">
        <v>74</v>
      </c>
      <c r="AB410" s="1" t="s">
        <v>796</v>
      </c>
      <c r="AC410" s="1" t="s">
        <v>797</v>
      </c>
      <c r="AD410" s="1" t="s">
        <v>798</v>
      </c>
      <c r="AE410" s="1" t="s">
        <v>799</v>
      </c>
      <c r="AF410" s="1" t="s">
        <v>74</v>
      </c>
      <c r="AG410" s="1">
        <v>74</v>
      </c>
      <c r="AH410" s="1">
        <v>139</v>
      </c>
      <c r="AI410" s="1">
        <v>142</v>
      </c>
      <c r="AJ410" s="1">
        <v>29</v>
      </c>
      <c r="AK410" s="1">
        <v>132</v>
      </c>
      <c r="AL410" s="1" t="s">
        <v>409</v>
      </c>
      <c r="AM410" s="1" t="s">
        <v>410</v>
      </c>
      <c r="AN410" s="1" t="s">
        <v>411</v>
      </c>
      <c r="AO410" s="1" t="s">
        <v>800</v>
      </c>
      <c r="AP410" s="1" t="s">
        <v>801</v>
      </c>
      <c r="AQ410" s="1" t="s">
        <v>74</v>
      </c>
      <c r="AR410" s="1" t="s">
        <v>802</v>
      </c>
      <c r="AS410" s="1" t="s">
        <v>803</v>
      </c>
      <c r="AT410" s="1" t="s">
        <v>363</v>
      </c>
      <c r="AU410" s="1">
        <v>2019</v>
      </c>
      <c r="AV410" s="1">
        <v>36</v>
      </c>
      <c r="AW410" s="1">
        <v>1</v>
      </c>
      <c r="AX410" s="1" t="s">
        <v>74</v>
      </c>
      <c r="AY410" s="1" t="s">
        <v>74</v>
      </c>
      <c r="AZ410" s="1" t="s">
        <v>74</v>
      </c>
      <c r="BA410" s="1" t="s">
        <v>74</v>
      </c>
      <c r="BB410" s="1">
        <v>20</v>
      </c>
      <c r="BC410" s="1">
        <v>38</v>
      </c>
      <c r="BD410" s="1" t="s">
        <v>74</v>
      </c>
      <c r="BE410" s="1" t="s">
        <v>804</v>
      </c>
      <c r="BF410" s="1" t="str">
        <f>HYPERLINK("http://dx.doi.org/10.1016/j.ijresmar.2018.09.009","http://dx.doi.org/10.1016/j.ijresmar.2018.09.009")</f>
        <v>http://dx.doi.org/10.1016/j.ijresmar.2018.09.009</v>
      </c>
      <c r="BG410" s="1" t="s">
        <v>74</v>
      </c>
      <c r="BH410" s="1" t="s">
        <v>74</v>
      </c>
      <c r="BI410" s="1">
        <v>19</v>
      </c>
      <c r="BJ410" s="1" t="s">
        <v>153</v>
      </c>
      <c r="BK410" s="1" t="s">
        <v>101</v>
      </c>
      <c r="BL410" s="1" t="s">
        <v>154</v>
      </c>
      <c r="BM410" s="1" t="s">
        <v>805</v>
      </c>
      <c r="BN410" s="1" t="s">
        <v>74</v>
      </c>
      <c r="BO410" s="1" t="s">
        <v>131</v>
      </c>
      <c r="BP410" s="1" t="s">
        <v>218</v>
      </c>
      <c r="BQ410" s="1" t="s">
        <v>219</v>
      </c>
      <c r="BR410" s="1" t="s">
        <v>4296</v>
      </c>
      <c r="BS410" s="1" t="s">
        <v>806</v>
      </c>
      <c r="BT410" s="1" t="str">
        <f>HYPERLINK("https%3A%2F%2Fwww.webofscience.com%2Fwos%2Fwoscc%2Ffull-record%2FWOS:000466623300003","View Full Record in Web of Science")</f>
        <v>View Full Record in Web of Science</v>
      </c>
      <c r="BU410" s="1" t="s">
        <v>5876</v>
      </c>
      <c r="BV410" s="1" t="s">
        <v>6080</v>
      </c>
      <c r="BW410" s="1" t="s">
        <v>6080</v>
      </c>
    </row>
    <row r="411" spans="1:75" ht="362.5" x14ac:dyDescent="0.35">
      <c r="A411" s="1" t="s">
        <v>72</v>
      </c>
      <c r="B411" s="1" t="s">
        <v>1411</v>
      </c>
      <c r="C411" s="1" t="s">
        <v>74</v>
      </c>
      <c r="D411" s="1" t="s">
        <v>74</v>
      </c>
      <c r="E411" s="1" t="s">
        <v>74</v>
      </c>
      <c r="F411" s="1" t="s">
        <v>1412</v>
      </c>
      <c r="G411" s="1" t="s">
        <v>74</v>
      </c>
      <c r="H411" s="1" t="s">
        <v>74</v>
      </c>
      <c r="I411" s="1" t="s">
        <v>1413</v>
      </c>
      <c r="J411" s="1" t="s">
        <v>161</v>
      </c>
      <c r="K411" s="1" t="s">
        <v>74</v>
      </c>
      <c r="L411" s="1" t="s">
        <v>74</v>
      </c>
      <c r="M411" s="1" t="s">
        <v>78</v>
      </c>
      <c r="N411" s="1" t="s">
        <v>79</v>
      </c>
      <c r="O411" s="1" t="s">
        <v>74</v>
      </c>
      <c r="P411" s="1" t="s">
        <v>74</v>
      </c>
      <c r="Q411" s="1" t="s">
        <v>74</v>
      </c>
      <c r="R411" s="1" t="s">
        <v>74</v>
      </c>
      <c r="S411" s="1" t="s">
        <v>74</v>
      </c>
      <c r="T411" s="1" t="s">
        <v>1414</v>
      </c>
      <c r="U411" s="1" t="s">
        <v>1415</v>
      </c>
      <c r="V411" s="1" t="s">
        <v>1416</v>
      </c>
      <c r="W411" s="1" t="s">
        <v>1417</v>
      </c>
      <c r="X411" s="1" t="s">
        <v>1418</v>
      </c>
      <c r="Y411" s="1" t="s">
        <v>1419</v>
      </c>
      <c r="Z411" s="1" t="s">
        <v>1420</v>
      </c>
      <c r="AA411" s="1" t="s">
        <v>4239</v>
      </c>
      <c r="AB411" s="1" t="s">
        <v>1438</v>
      </c>
      <c r="AC411" s="1" t="s">
        <v>74</v>
      </c>
      <c r="AD411" s="1" t="s">
        <v>74</v>
      </c>
      <c r="AE411" s="1" t="s">
        <v>74</v>
      </c>
      <c r="AF411" s="1" t="s">
        <v>74</v>
      </c>
      <c r="AG411" s="1">
        <v>88</v>
      </c>
      <c r="AH411" s="1">
        <v>118</v>
      </c>
      <c r="AI411" s="1">
        <v>118</v>
      </c>
      <c r="AJ411" s="1">
        <v>72</v>
      </c>
      <c r="AK411" s="1">
        <v>349</v>
      </c>
      <c r="AL411" s="1" t="s">
        <v>170</v>
      </c>
      <c r="AM411" s="1" t="s">
        <v>171</v>
      </c>
      <c r="AN411" s="1" t="s">
        <v>172</v>
      </c>
      <c r="AO411" s="1" t="s">
        <v>173</v>
      </c>
      <c r="AP411" s="1" t="s">
        <v>174</v>
      </c>
      <c r="AQ411" s="1" t="s">
        <v>74</v>
      </c>
      <c r="AR411" s="1" t="s">
        <v>175</v>
      </c>
      <c r="AS411" s="1" t="s">
        <v>176</v>
      </c>
      <c r="AT411" s="1" t="s">
        <v>177</v>
      </c>
      <c r="AU411" s="1">
        <v>2019</v>
      </c>
      <c r="AV411" s="1">
        <v>45</v>
      </c>
      <c r="AW411" s="1">
        <v>5</v>
      </c>
      <c r="AX411" s="1" t="s">
        <v>74</v>
      </c>
      <c r="AY411" s="1" t="s">
        <v>74</v>
      </c>
      <c r="AZ411" s="1" t="s">
        <v>74</v>
      </c>
      <c r="BA411" s="1" t="s">
        <v>74</v>
      </c>
      <c r="BB411" s="1">
        <v>988</v>
      </c>
      <c r="BC411" s="1">
        <v>1012</v>
      </c>
      <c r="BD411" s="1" t="s">
        <v>74</v>
      </c>
      <c r="BE411" s="1" t="s">
        <v>1423</v>
      </c>
      <c r="BF411" s="1" t="str">
        <f>HYPERLINK("http://dx.doi.org/10.1093/jcr/ucy032","http://dx.doi.org/10.1093/jcr/ucy032")</f>
        <v>http://dx.doi.org/10.1093/jcr/ucy032</v>
      </c>
      <c r="BG411" s="1" t="s">
        <v>74</v>
      </c>
      <c r="BH411" s="1" t="s">
        <v>74</v>
      </c>
      <c r="BI411" s="1">
        <v>25</v>
      </c>
      <c r="BJ411" s="1" t="s">
        <v>153</v>
      </c>
      <c r="BK411" s="1" t="s">
        <v>101</v>
      </c>
      <c r="BL411" s="1" t="s">
        <v>154</v>
      </c>
      <c r="BM411" s="1" t="s">
        <v>1424</v>
      </c>
      <c r="BN411" s="1" t="s">
        <v>74</v>
      </c>
      <c r="BO411" s="1" t="s">
        <v>4240</v>
      </c>
      <c r="BP411" s="1" t="s">
        <v>218</v>
      </c>
      <c r="BQ411" s="1" t="s">
        <v>219</v>
      </c>
      <c r="BR411" s="1" t="s">
        <v>4296</v>
      </c>
      <c r="BS411" s="1" t="s">
        <v>1426</v>
      </c>
      <c r="BT411" s="1" t="str">
        <f>HYPERLINK("https%3A%2F%2Fwww.webofscience.com%2Fwos%2Fwoscc%2Ffull-record%2FWOS:000481978500006","View Full Record in Web of Science")</f>
        <v>View Full Record in Web of Science</v>
      </c>
      <c r="BU411" s="1" t="s">
        <v>5876</v>
      </c>
      <c r="BV411" s="1" t="s">
        <v>6080</v>
      </c>
      <c r="BW411" s="1" t="s">
        <v>6080</v>
      </c>
    </row>
    <row r="412" spans="1:75" ht="409.5" x14ac:dyDescent="0.35">
      <c r="A412" s="1" t="s">
        <v>72</v>
      </c>
      <c r="B412" s="1" t="s">
        <v>1850</v>
      </c>
      <c r="C412" s="1" t="s">
        <v>74</v>
      </c>
      <c r="D412" s="1" t="s">
        <v>74</v>
      </c>
      <c r="E412" s="1" t="s">
        <v>74</v>
      </c>
      <c r="F412" s="1" t="s">
        <v>1851</v>
      </c>
      <c r="G412" s="1" t="s">
        <v>74</v>
      </c>
      <c r="H412" s="1" t="s">
        <v>74</v>
      </c>
      <c r="I412" s="1" t="s">
        <v>1852</v>
      </c>
      <c r="J412" s="1" t="s">
        <v>136</v>
      </c>
      <c r="K412" s="1" t="s">
        <v>74</v>
      </c>
      <c r="L412" s="1" t="s">
        <v>74</v>
      </c>
      <c r="M412" s="1" t="s">
        <v>78</v>
      </c>
      <c r="N412" s="1" t="s">
        <v>79</v>
      </c>
      <c r="O412" s="1" t="s">
        <v>74</v>
      </c>
      <c r="P412" s="1" t="s">
        <v>74</v>
      </c>
      <c r="Q412" s="1" t="s">
        <v>74</v>
      </c>
      <c r="R412" s="1" t="s">
        <v>74</v>
      </c>
      <c r="S412" s="1" t="s">
        <v>74</v>
      </c>
      <c r="T412" s="1" t="s">
        <v>1853</v>
      </c>
      <c r="U412" s="1" t="s">
        <v>1854</v>
      </c>
      <c r="V412" s="1" t="s">
        <v>1855</v>
      </c>
      <c r="W412" s="1" t="s">
        <v>1856</v>
      </c>
      <c r="X412" s="1" t="s">
        <v>1857</v>
      </c>
      <c r="Y412" s="1" t="s">
        <v>1858</v>
      </c>
      <c r="Z412" s="1" t="s">
        <v>1859</v>
      </c>
      <c r="AA412" s="1" t="s">
        <v>74</v>
      </c>
      <c r="AB412" s="1" t="s">
        <v>74</v>
      </c>
      <c r="AC412" s="1" t="s">
        <v>74</v>
      </c>
      <c r="AD412" s="1" t="s">
        <v>74</v>
      </c>
      <c r="AE412" s="1" t="s">
        <v>74</v>
      </c>
      <c r="AF412" s="1" t="s">
        <v>74</v>
      </c>
      <c r="AG412" s="1">
        <v>74</v>
      </c>
      <c r="AH412" s="1">
        <v>48</v>
      </c>
      <c r="AI412" s="1">
        <v>49</v>
      </c>
      <c r="AJ412" s="1">
        <v>13</v>
      </c>
      <c r="AK412" s="1">
        <v>119</v>
      </c>
      <c r="AL412" s="1" t="s">
        <v>144</v>
      </c>
      <c r="AM412" s="1" t="s">
        <v>145</v>
      </c>
      <c r="AN412" s="1" t="s">
        <v>146</v>
      </c>
      <c r="AO412" s="1" t="s">
        <v>147</v>
      </c>
      <c r="AP412" s="1" t="s">
        <v>148</v>
      </c>
      <c r="AQ412" s="1" t="s">
        <v>74</v>
      </c>
      <c r="AR412" s="1" t="s">
        <v>149</v>
      </c>
      <c r="AS412" s="1" t="s">
        <v>150</v>
      </c>
      <c r="AT412" s="1" t="s">
        <v>177</v>
      </c>
      <c r="AU412" s="1">
        <v>2019</v>
      </c>
      <c r="AV412" s="1">
        <v>56</v>
      </c>
      <c r="AW412" s="1">
        <v>1</v>
      </c>
      <c r="AX412" s="1" t="s">
        <v>74</v>
      </c>
      <c r="AY412" s="1" t="s">
        <v>74</v>
      </c>
      <c r="AZ412" s="1" t="s">
        <v>74</v>
      </c>
      <c r="BA412" s="1" t="s">
        <v>74</v>
      </c>
      <c r="BB412" s="1">
        <v>18</v>
      </c>
      <c r="BC412" s="1">
        <v>36</v>
      </c>
      <c r="BD412" s="1" t="s">
        <v>74</v>
      </c>
      <c r="BE412" s="1" t="s">
        <v>1860</v>
      </c>
      <c r="BF412" s="1" t="str">
        <f>HYPERLINK("http://dx.doi.org/10.1177/0022243718820559","http://dx.doi.org/10.1177/0022243718820559")</f>
        <v>http://dx.doi.org/10.1177/0022243718820559</v>
      </c>
      <c r="BG412" s="1" t="s">
        <v>74</v>
      </c>
      <c r="BH412" s="1" t="s">
        <v>74</v>
      </c>
      <c r="BI412" s="1">
        <v>19</v>
      </c>
      <c r="BJ412" s="1" t="s">
        <v>153</v>
      </c>
      <c r="BK412" s="1" t="s">
        <v>101</v>
      </c>
      <c r="BL412" s="1" t="s">
        <v>154</v>
      </c>
      <c r="BM412" s="1" t="s">
        <v>1861</v>
      </c>
      <c r="BN412" s="1" t="s">
        <v>74</v>
      </c>
      <c r="BO412" s="1" t="s">
        <v>662</v>
      </c>
      <c r="BP412" s="1" t="s">
        <v>74</v>
      </c>
      <c r="BQ412" s="1" t="s">
        <v>74</v>
      </c>
      <c r="BR412" s="1" t="s">
        <v>4296</v>
      </c>
      <c r="BS412" s="1" t="s">
        <v>1862</v>
      </c>
      <c r="BT412" s="1" t="str">
        <f>HYPERLINK("https%3A%2F%2Fwww.webofscience.com%2Fwos%2Fwoscc%2Ffull-record%2FWOS:000456817200002","View Full Record in Web of Science")</f>
        <v>View Full Record in Web of Science</v>
      </c>
      <c r="BU412" s="1" t="s">
        <v>5876</v>
      </c>
      <c r="BV412" s="1" t="s">
        <v>6080</v>
      </c>
      <c r="BW412" s="1" t="s">
        <v>6080</v>
      </c>
    </row>
    <row r="413" spans="1:75" ht="261" x14ac:dyDescent="0.35">
      <c r="A413" s="1" t="s">
        <v>578</v>
      </c>
      <c r="B413" s="1" t="s">
        <v>5175</v>
      </c>
      <c r="C413" s="1" t="s">
        <v>74</v>
      </c>
      <c r="D413" s="1" t="s">
        <v>5176</v>
      </c>
      <c r="E413" s="1" t="s">
        <v>74</v>
      </c>
      <c r="F413" s="1" t="s">
        <v>5177</v>
      </c>
      <c r="G413" s="1" t="s">
        <v>74</v>
      </c>
      <c r="H413" s="1" t="s">
        <v>74</v>
      </c>
      <c r="I413" s="1" t="s">
        <v>5178</v>
      </c>
      <c r="J413" s="1" t="s">
        <v>5179</v>
      </c>
      <c r="K413" s="1" t="s">
        <v>5180</v>
      </c>
      <c r="L413" s="1" t="s">
        <v>74</v>
      </c>
      <c r="M413" s="1" t="s">
        <v>78</v>
      </c>
      <c r="N413" s="1" t="s">
        <v>584</v>
      </c>
      <c r="O413" s="1" t="s">
        <v>5181</v>
      </c>
      <c r="P413" s="1" t="s">
        <v>5182</v>
      </c>
      <c r="Q413" s="1" t="s">
        <v>5183</v>
      </c>
      <c r="R413" s="1" t="s">
        <v>5184</v>
      </c>
      <c r="S413" s="1" t="s">
        <v>74</v>
      </c>
      <c r="T413" s="1" t="s">
        <v>5185</v>
      </c>
      <c r="U413" s="1" t="s">
        <v>74</v>
      </c>
      <c r="V413" s="1" t="s">
        <v>5186</v>
      </c>
      <c r="W413" s="1" t="s">
        <v>5187</v>
      </c>
      <c r="X413" s="1" t="s">
        <v>5188</v>
      </c>
      <c r="Y413" s="1" t="s">
        <v>5189</v>
      </c>
      <c r="Z413" s="1" t="s">
        <v>5190</v>
      </c>
      <c r="AA413" s="1" t="s">
        <v>74</v>
      </c>
      <c r="AB413" s="1" t="s">
        <v>74</v>
      </c>
      <c r="AC413" s="1" t="s">
        <v>74</v>
      </c>
      <c r="AD413" s="1" t="s">
        <v>74</v>
      </c>
      <c r="AE413" s="1" t="s">
        <v>74</v>
      </c>
      <c r="AF413" s="1" t="s">
        <v>74</v>
      </c>
      <c r="AG413" s="1">
        <v>10</v>
      </c>
      <c r="AH413" s="1">
        <v>0</v>
      </c>
      <c r="AI413" s="1">
        <v>0</v>
      </c>
      <c r="AJ413" s="1">
        <v>0</v>
      </c>
      <c r="AK413" s="1">
        <v>1</v>
      </c>
      <c r="AL413" s="1" t="s">
        <v>5191</v>
      </c>
      <c r="AM413" s="1" t="s">
        <v>3095</v>
      </c>
      <c r="AN413" s="1" t="s">
        <v>5192</v>
      </c>
      <c r="AO413" s="1" t="s">
        <v>5193</v>
      </c>
      <c r="AP413" s="1" t="s">
        <v>74</v>
      </c>
      <c r="AQ413" s="1" t="s">
        <v>5194</v>
      </c>
      <c r="AR413" s="1" t="s">
        <v>5195</v>
      </c>
      <c r="AS413" s="1" t="s">
        <v>74</v>
      </c>
      <c r="AT413" s="1" t="s">
        <v>74</v>
      </c>
      <c r="AU413" s="1">
        <v>2019</v>
      </c>
      <c r="AV413" s="1">
        <v>166</v>
      </c>
      <c r="AW413" s="1" t="s">
        <v>74</v>
      </c>
      <c r="AX413" s="1" t="s">
        <v>74</v>
      </c>
      <c r="AY413" s="1" t="s">
        <v>74</v>
      </c>
      <c r="AZ413" s="1" t="s">
        <v>74</v>
      </c>
      <c r="BA413" s="1" t="s">
        <v>74</v>
      </c>
      <c r="BB413" s="1">
        <v>77</v>
      </c>
      <c r="BC413" s="1">
        <v>82</v>
      </c>
      <c r="BD413" s="1" t="s">
        <v>74</v>
      </c>
      <c r="BE413" s="1" t="s">
        <v>74</v>
      </c>
      <c r="BF413" s="1" t="s">
        <v>74</v>
      </c>
      <c r="BG413" s="1" t="s">
        <v>74</v>
      </c>
      <c r="BH413" s="1" t="s">
        <v>74</v>
      </c>
      <c r="BI413" s="1">
        <v>6</v>
      </c>
      <c r="BJ413" s="1" t="s">
        <v>5196</v>
      </c>
      <c r="BK413" s="1" t="s">
        <v>604</v>
      </c>
      <c r="BL413" s="1" t="s">
        <v>5197</v>
      </c>
      <c r="BM413" s="1" t="s">
        <v>5198</v>
      </c>
      <c r="BN413" s="1" t="s">
        <v>74</v>
      </c>
      <c r="BO413" s="1" t="s">
        <v>74</v>
      </c>
      <c r="BP413" s="1" t="s">
        <v>74</v>
      </c>
      <c r="BQ413" s="1" t="s">
        <v>74</v>
      </c>
      <c r="BR413" s="1" t="s">
        <v>4296</v>
      </c>
      <c r="BS413" s="1" t="s">
        <v>5199</v>
      </c>
      <c r="BT413" s="1" t="str">
        <f>HYPERLINK("https%3A%2F%2Fwww.webofscience.com%2Fwos%2Fwoscc%2Ffull-record%2FWOS:000573715000015","View Full Record in Web of Science")</f>
        <v>View Full Record in Web of Science</v>
      </c>
      <c r="BU413" s="1" t="s">
        <v>5876</v>
      </c>
      <c r="BV413" s="1" t="s">
        <v>10653</v>
      </c>
    </row>
    <row r="414" spans="1:75" ht="333.5" x14ac:dyDescent="0.35">
      <c r="A414" s="1" t="s">
        <v>72</v>
      </c>
      <c r="B414" s="1" t="s">
        <v>5200</v>
      </c>
      <c r="C414" s="1" t="s">
        <v>74</v>
      </c>
      <c r="D414" s="1" t="s">
        <v>74</v>
      </c>
      <c r="E414" s="1" t="s">
        <v>74</v>
      </c>
      <c r="F414" s="1" t="s">
        <v>5201</v>
      </c>
      <c r="G414" s="1" t="s">
        <v>74</v>
      </c>
      <c r="H414" s="1" t="s">
        <v>74</v>
      </c>
      <c r="I414" s="1" t="s">
        <v>5202</v>
      </c>
      <c r="J414" s="1" t="s">
        <v>5203</v>
      </c>
      <c r="K414" s="1" t="s">
        <v>74</v>
      </c>
      <c r="L414" s="1" t="s">
        <v>74</v>
      </c>
      <c r="M414" s="1" t="s">
        <v>78</v>
      </c>
      <c r="N414" s="1" t="s">
        <v>1352</v>
      </c>
      <c r="O414" s="1" t="s">
        <v>74</v>
      </c>
      <c r="P414" s="1" t="s">
        <v>74</v>
      </c>
      <c r="Q414" s="1" t="s">
        <v>74</v>
      </c>
      <c r="R414" s="1" t="s">
        <v>74</v>
      </c>
      <c r="S414" s="1" t="s">
        <v>74</v>
      </c>
      <c r="T414" s="1" t="s">
        <v>5204</v>
      </c>
      <c r="U414" s="1" t="s">
        <v>5205</v>
      </c>
      <c r="V414" s="1" t="s">
        <v>5206</v>
      </c>
      <c r="W414" s="1" t="s">
        <v>5207</v>
      </c>
      <c r="X414" s="1" t="s">
        <v>5208</v>
      </c>
      <c r="Y414" s="1" t="s">
        <v>5209</v>
      </c>
      <c r="Z414" s="1" t="s">
        <v>74</v>
      </c>
      <c r="AA414" s="1" t="s">
        <v>5210</v>
      </c>
      <c r="AB414" s="1" t="s">
        <v>5211</v>
      </c>
      <c r="AC414" s="1" t="s">
        <v>5212</v>
      </c>
      <c r="AD414" s="1" t="s">
        <v>2238</v>
      </c>
      <c r="AE414" s="1" t="s">
        <v>5213</v>
      </c>
      <c r="AF414" s="1" t="s">
        <v>74</v>
      </c>
      <c r="AG414" s="1">
        <v>57</v>
      </c>
      <c r="AH414" s="1">
        <v>4</v>
      </c>
      <c r="AI414" s="1">
        <v>5</v>
      </c>
      <c r="AJ414" s="1">
        <v>6</v>
      </c>
      <c r="AK414" s="1">
        <v>14</v>
      </c>
      <c r="AL414" s="1" t="s">
        <v>5214</v>
      </c>
      <c r="AM414" s="1" t="s">
        <v>5215</v>
      </c>
      <c r="AN414" s="1" t="s">
        <v>5216</v>
      </c>
      <c r="AO414" s="1" t="s">
        <v>74</v>
      </c>
      <c r="AP414" s="1" t="s">
        <v>5217</v>
      </c>
      <c r="AQ414" s="1" t="s">
        <v>74</v>
      </c>
      <c r="AR414" s="1" t="s">
        <v>5218</v>
      </c>
      <c r="AS414" s="1" t="s">
        <v>5219</v>
      </c>
      <c r="AT414" s="1" t="s">
        <v>74</v>
      </c>
      <c r="AU414" s="1">
        <v>2019</v>
      </c>
      <c r="AV414" s="1">
        <v>7</v>
      </c>
      <c r="AW414" s="1">
        <v>1</v>
      </c>
      <c r="AX414" s="1" t="s">
        <v>74</v>
      </c>
      <c r="AY414" s="1" t="s">
        <v>74</v>
      </c>
      <c r="AZ414" s="1" t="s">
        <v>74</v>
      </c>
      <c r="BA414" s="1" t="s">
        <v>74</v>
      </c>
      <c r="BB414" s="1">
        <v>124</v>
      </c>
      <c r="BC414" s="1">
        <v>143</v>
      </c>
      <c r="BD414" s="1" t="s">
        <v>74</v>
      </c>
      <c r="BE414" s="1" t="s">
        <v>5220</v>
      </c>
      <c r="BF414" s="1" t="str">
        <f>HYPERLINK("http://dx.doi.org/10.5964/jspp.v7i1.964","http://dx.doi.org/10.5964/jspp.v7i1.964")</f>
        <v>http://dx.doi.org/10.5964/jspp.v7i1.964</v>
      </c>
      <c r="BG414" s="1" t="s">
        <v>74</v>
      </c>
      <c r="BH414" s="1" t="s">
        <v>74</v>
      </c>
      <c r="BI414" s="1">
        <v>20</v>
      </c>
      <c r="BJ414" s="1" t="s">
        <v>100</v>
      </c>
      <c r="BK414" s="1" t="s">
        <v>3880</v>
      </c>
      <c r="BL414" s="1" t="s">
        <v>102</v>
      </c>
      <c r="BM414" s="1" t="s">
        <v>5221</v>
      </c>
      <c r="BN414" s="1" t="s">
        <v>74</v>
      </c>
      <c r="BO414" s="1" t="s">
        <v>564</v>
      </c>
      <c r="BP414" s="1" t="s">
        <v>74</v>
      </c>
      <c r="BQ414" s="1" t="s">
        <v>74</v>
      </c>
      <c r="BR414" s="1" t="s">
        <v>4296</v>
      </c>
      <c r="BS414" s="1" t="s">
        <v>5222</v>
      </c>
      <c r="BT414" s="1" t="str">
        <f>HYPERLINK("https%3A%2F%2Fwww.webofscience.com%2Fwos%2Fwoscc%2Ffull-record%2FWOS:000514931000008","View Full Record in Web of Science")</f>
        <v>View Full Record in Web of Science</v>
      </c>
      <c r="BU414" s="1" t="s">
        <v>5876</v>
      </c>
      <c r="BV414" s="1" t="s">
        <v>10653</v>
      </c>
    </row>
    <row r="415" spans="1:75" ht="409.5" x14ac:dyDescent="0.35">
      <c r="A415" s="1" t="s">
        <v>72</v>
      </c>
      <c r="B415" s="1" t="s">
        <v>1811</v>
      </c>
      <c r="C415" s="1" t="s">
        <v>74</v>
      </c>
      <c r="D415" s="1" t="s">
        <v>74</v>
      </c>
      <c r="E415" s="1" t="s">
        <v>74</v>
      </c>
      <c r="F415" s="1" t="s">
        <v>1812</v>
      </c>
      <c r="G415" s="1" t="s">
        <v>74</v>
      </c>
      <c r="H415" s="1" t="s">
        <v>74</v>
      </c>
      <c r="I415" s="1" t="s">
        <v>1813</v>
      </c>
      <c r="J415" s="1" t="s">
        <v>436</v>
      </c>
      <c r="K415" s="1" t="s">
        <v>74</v>
      </c>
      <c r="L415" s="1" t="s">
        <v>74</v>
      </c>
      <c r="M415" s="1" t="s">
        <v>78</v>
      </c>
      <c r="N415" s="1" t="s">
        <v>79</v>
      </c>
      <c r="O415" s="1" t="s">
        <v>74</v>
      </c>
      <c r="P415" s="1" t="s">
        <v>74</v>
      </c>
      <c r="Q415" s="1" t="s">
        <v>74</v>
      </c>
      <c r="R415" s="1" t="s">
        <v>74</v>
      </c>
      <c r="S415" s="1" t="s">
        <v>74</v>
      </c>
      <c r="T415" s="1" t="s">
        <v>1814</v>
      </c>
      <c r="U415" s="1" t="s">
        <v>1815</v>
      </c>
      <c r="V415" s="1" t="s">
        <v>1816</v>
      </c>
      <c r="W415" s="1" t="s">
        <v>1817</v>
      </c>
      <c r="X415" s="1" t="s">
        <v>1818</v>
      </c>
      <c r="Y415" s="1" t="s">
        <v>1819</v>
      </c>
      <c r="Z415" s="1" t="s">
        <v>1820</v>
      </c>
      <c r="AA415" s="1" t="s">
        <v>1821</v>
      </c>
      <c r="AB415" s="1" t="s">
        <v>5223</v>
      </c>
      <c r="AC415" s="1" t="s">
        <v>74</v>
      </c>
      <c r="AD415" s="1" t="s">
        <v>74</v>
      </c>
      <c r="AE415" s="1" t="s">
        <v>74</v>
      </c>
      <c r="AF415" s="1" t="s">
        <v>74</v>
      </c>
      <c r="AG415" s="1">
        <v>61</v>
      </c>
      <c r="AH415" s="1">
        <v>134</v>
      </c>
      <c r="AI415" s="1">
        <v>139</v>
      </c>
      <c r="AJ415" s="1">
        <v>96</v>
      </c>
      <c r="AK415" s="1">
        <v>559</v>
      </c>
      <c r="AL415" s="1" t="s">
        <v>446</v>
      </c>
      <c r="AM415" s="1" t="s">
        <v>447</v>
      </c>
      <c r="AN415" s="1" t="s">
        <v>448</v>
      </c>
      <c r="AO415" s="1" t="s">
        <v>449</v>
      </c>
      <c r="AP415" s="1" t="s">
        <v>450</v>
      </c>
      <c r="AQ415" s="1" t="s">
        <v>74</v>
      </c>
      <c r="AR415" s="1" t="s">
        <v>451</v>
      </c>
      <c r="AS415" s="1" t="s">
        <v>452</v>
      </c>
      <c r="AT415" s="1" t="s">
        <v>780</v>
      </c>
      <c r="AU415" s="1">
        <v>2019</v>
      </c>
      <c r="AV415" s="1">
        <v>38</v>
      </c>
      <c r="AW415" s="1">
        <v>1</v>
      </c>
      <c r="AX415" s="1" t="s">
        <v>74</v>
      </c>
      <c r="AY415" s="1" t="s">
        <v>74</v>
      </c>
      <c r="AZ415" s="1" t="s">
        <v>74</v>
      </c>
      <c r="BA415" s="1" t="s">
        <v>74</v>
      </c>
      <c r="BB415" s="1">
        <v>1</v>
      </c>
      <c r="BC415" s="1">
        <v>20</v>
      </c>
      <c r="BD415" s="1" t="s">
        <v>74</v>
      </c>
      <c r="BE415" s="1" t="s">
        <v>1823</v>
      </c>
      <c r="BF415" s="1" t="str">
        <f>HYPERLINK("http://dx.doi.org/10.1287/mksc.2018.1123","http://dx.doi.org/10.1287/mksc.2018.1123")</f>
        <v>http://dx.doi.org/10.1287/mksc.2018.1123</v>
      </c>
      <c r="BG415" s="1" t="s">
        <v>74</v>
      </c>
      <c r="BH415" s="1" t="s">
        <v>74</v>
      </c>
      <c r="BI415" s="1">
        <v>20</v>
      </c>
      <c r="BJ415" s="1" t="s">
        <v>153</v>
      </c>
      <c r="BK415" s="1" t="s">
        <v>101</v>
      </c>
      <c r="BL415" s="1" t="s">
        <v>154</v>
      </c>
      <c r="BM415" s="1" t="s">
        <v>1824</v>
      </c>
      <c r="BN415" s="1" t="s">
        <v>74</v>
      </c>
      <c r="BO415" s="1" t="s">
        <v>690</v>
      </c>
      <c r="BP415" s="1" t="s">
        <v>218</v>
      </c>
      <c r="BQ415" s="1" t="s">
        <v>219</v>
      </c>
      <c r="BR415" s="1" t="s">
        <v>4296</v>
      </c>
      <c r="BS415" s="1" t="s">
        <v>1825</v>
      </c>
      <c r="BT415" s="1" t="str">
        <f>HYPERLINK("https%3A%2F%2Fwww.webofscience.com%2Fwos%2Fwoscc%2Ffull-record%2FWOS:000459127200001","View Full Record in Web of Science")</f>
        <v>View Full Record in Web of Science</v>
      </c>
      <c r="BU415" s="1" t="s">
        <v>5876</v>
      </c>
      <c r="BV415" s="1" t="s">
        <v>6080</v>
      </c>
      <c r="BW415" s="1" t="s">
        <v>6080</v>
      </c>
    </row>
    <row r="416" spans="1:75" ht="409.5" x14ac:dyDescent="0.35">
      <c r="A416" s="1" t="s">
        <v>578</v>
      </c>
      <c r="B416" s="1" t="s">
        <v>5224</v>
      </c>
      <c r="C416" s="1" t="s">
        <v>74</v>
      </c>
      <c r="D416" s="1" t="s">
        <v>74</v>
      </c>
      <c r="E416" s="1" t="s">
        <v>5225</v>
      </c>
      <c r="F416" s="1" t="s">
        <v>5226</v>
      </c>
      <c r="G416" s="1" t="s">
        <v>74</v>
      </c>
      <c r="H416" s="1" t="s">
        <v>74</v>
      </c>
      <c r="I416" s="1" t="s">
        <v>5227</v>
      </c>
      <c r="J416" s="1" t="s">
        <v>5228</v>
      </c>
      <c r="K416" s="1" t="s">
        <v>74</v>
      </c>
      <c r="L416" s="1" t="s">
        <v>74</v>
      </c>
      <c r="M416" s="1" t="s">
        <v>78</v>
      </c>
      <c r="N416" s="1" t="s">
        <v>584</v>
      </c>
      <c r="O416" s="1" t="s">
        <v>5229</v>
      </c>
      <c r="P416" s="1" t="s">
        <v>5230</v>
      </c>
      <c r="Q416" s="1" t="s">
        <v>5231</v>
      </c>
      <c r="R416" s="1" t="s">
        <v>5232</v>
      </c>
      <c r="S416" s="1" t="s">
        <v>74</v>
      </c>
      <c r="T416" s="1" t="s">
        <v>74</v>
      </c>
      <c r="U416" s="1" t="s">
        <v>74</v>
      </c>
      <c r="V416" s="1" t="s">
        <v>5233</v>
      </c>
      <c r="W416" s="1" t="s">
        <v>5234</v>
      </c>
      <c r="X416" s="1" t="s">
        <v>228</v>
      </c>
      <c r="Y416" s="1" t="s">
        <v>5235</v>
      </c>
      <c r="Z416" s="1" t="s">
        <v>5236</v>
      </c>
      <c r="AA416" s="1" t="s">
        <v>74</v>
      </c>
      <c r="AB416" s="1" t="s">
        <v>74</v>
      </c>
      <c r="AC416" s="1" t="s">
        <v>5237</v>
      </c>
      <c r="AD416" s="1" t="s">
        <v>5238</v>
      </c>
      <c r="AE416" s="1" t="s">
        <v>5239</v>
      </c>
      <c r="AF416" s="1" t="s">
        <v>74</v>
      </c>
      <c r="AG416" s="1">
        <v>29</v>
      </c>
      <c r="AH416" s="1">
        <v>31</v>
      </c>
      <c r="AI416" s="1">
        <v>31</v>
      </c>
      <c r="AJ416" s="1">
        <v>0</v>
      </c>
      <c r="AK416" s="1">
        <v>0</v>
      </c>
      <c r="AL416" s="1" t="s">
        <v>3981</v>
      </c>
      <c r="AM416" s="1" t="s">
        <v>3982</v>
      </c>
      <c r="AN416" s="1" t="s">
        <v>3983</v>
      </c>
      <c r="AO416" s="1" t="s">
        <v>74</v>
      </c>
      <c r="AP416" s="1" t="s">
        <v>74</v>
      </c>
      <c r="AQ416" s="1" t="s">
        <v>5240</v>
      </c>
      <c r="AR416" s="1" t="s">
        <v>74</v>
      </c>
      <c r="AS416" s="1" t="s">
        <v>74</v>
      </c>
      <c r="AT416" s="1" t="s">
        <v>74</v>
      </c>
      <c r="AU416" s="1">
        <v>2019</v>
      </c>
      <c r="AV416" s="1" t="s">
        <v>74</v>
      </c>
      <c r="AW416" s="1" t="s">
        <v>74</v>
      </c>
      <c r="AX416" s="1" t="s">
        <v>74</v>
      </c>
      <c r="AY416" s="1" t="s">
        <v>74</v>
      </c>
      <c r="AZ416" s="1" t="s">
        <v>74</v>
      </c>
      <c r="BA416" s="1" t="s">
        <v>74</v>
      </c>
      <c r="BB416" s="1">
        <v>3914</v>
      </c>
      <c r="BC416" s="1">
        <v>3923</v>
      </c>
      <c r="BD416" s="1" t="s">
        <v>74</v>
      </c>
      <c r="BE416" s="1" t="s">
        <v>74</v>
      </c>
      <c r="BF416" s="1" t="s">
        <v>74</v>
      </c>
      <c r="BG416" s="1" t="s">
        <v>74</v>
      </c>
      <c r="BH416" s="1" t="s">
        <v>74</v>
      </c>
      <c r="BI416" s="1">
        <v>10</v>
      </c>
      <c r="BJ416" s="1" t="s">
        <v>4279</v>
      </c>
      <c r="BK416" s="1" t="s">
        <v>2118</v>
      </c>
      <c r="BL416" s="1" t="s">
        <v>4280</v>
      </c>
      <c r="BM416" s="1" t="s">
        <v>5241</v>
      </c>
      <c r="BN416" s="1" t="s">
        <v>74</v>
      </c>
      <c r="BO416" s="1" t="s">
        <v>74</v>
      </c>
      <c r="BP416" s="1" t="s">
        <v>74</v>
      </c>
      <c r="BQ416" s="1" t="s">
        <v>74</v>
      </c>
      <c r="BR416" s="1" t="s">
        <v>4296</v>
      </c>
      <c r="BS416" s="1" t="s">
        <v>5242</v>
      </c>
      <c r="BT416" s="1" t="str">
        <f>HYPERLINK("https%3A%2F%2Fwww.webofscience.com%2Fwos%2Fwoscc%2Ffull-record%2FWOS:000854193304009","View Full Record in Web of Science")</f>
        <v>View Full Record in Web of Science</v>
      </c>
      <c r="BU416" s="1" t="s">
        <v>5876</v>
      </c>
      <c r="BV416" s="1" t="s">
        <v>10653</v>
      </c>
    </row>
    <row r="417" spans="1:75" x14ac:dyDescent="0.35">
      <c r="A417" t="s">
        <v>72</v>
      </c>
      <c r="B417" t="s">
        <v>6477</v>
      </c>
      <c r="C417" t="s">
        <v>74</v>
      </c>
      <c r="D417" t="s">
        <v>74</v>
      </c>
      <c r="E417" t="s">
        <v>74</v>
      </c>
      <c r="F417" t="s">
        <v>6478</v>
      </c>
      <c r="G417" t="s">
        <v>74</v>
      </c>
      <c r="H417" t="s">
        <v>74</v>
      </c>
      <c r="I417" t="s">
        <v>6479</v>
      </c>
      <c r="J417" t="s">
        <v>6281</v>
      </c>
      <c r="K417" t="s">
        <v>74</v>
      </c>
      <c r="L417" t="s">
        <v>74</v>
      </c>
      <c r="M417" t="s">
        <v>78</v>
      </c>
      <c r="N417" t="s">
        <v>79</v>
      </c>
      <c r="O417" t="s">
        <v>74</v>
      </c>
      <c r="P417" t="s">
        <v>74</v>
      </c>
      <c r="Q417" t="s">
        <v>74</v>
      </c>
      <c r="R417" t="s">
        <v>74</v>
      </c>
      <c r="S417" t="s">
        <v>74</v>
      </c>
      <c r="T417" t="s">
        <v>6480</v>
      </c>
      <c r="U417" t="s">
        <v>6481</v>
      </c>
      <c r="V417" t="s">
        <v>6482</v>
      </c>
      <c r="W417" t="s">
        <v>6483</v>
      </c>
      <c r="X417" t="s">
        <v>6484</v>
      </c>
      <c r="Y417" t="s">
        <v>6485</v>
      </c>
      <c r="Z417" t="s">
        <v>6486</v>
      </c>
      <c r="AA417" t="s">
        <v>74</v>
      </c>
      <c r="AB417" t="s">
        <v>74</v>
      </c>
      <c r="AC417" t="s">
        <v>6487</v>
      </c>
      <c r="AD417" t="s">
        <v>6488</v>
      </c>
      <c r="AE417" t="s">
        <v>6489</v>
      </c>
      <c r="AF417" t="s">
        <v>74</v>
      </c>
      <c r="AG417">
        <v>92</v>
      </c>
      <c r="AH417">
        <v>26</v>
      </c>
      <c r="AI417">
        <v>26</v>
      </c>
      <c r="AJ417">
        <v>10</v>
      </c>
      <c r="AK417">
        <v>88</v>
      </c>
      <c r="AL417" t="s">
        <v>652</v>
      </c>
      <c r="AM417" t="s">
        <v>653</v>
      </c>
      <c r="AN417" t="s">
        <v>654</v>
      </c>
      <c r="AO417" t="s">
        <v>6294</v>
      </c>
      <c r="AP417" t="s">
        <v>6295</v>
      </c>
      <c r="AQ417" t="s">
        <v>74</v>
      </c>
      <c r="AR417" t="s">
        <v>6296</v>
      </c>
      <c r="AS417" t="s">
        <v>6297</v>
      </c>
      <c r="AT417" t="s">
        <v>704</v>
      </c>
      <c r="AU417">
        <v>2019</v>
      </c>
      <c r="AV417">
        <v>48</v>
      </c>
      <c r="AW417" t="s">
        <v>74</v>
      </c>
      <c r="AX417" t="s">
        <v>74</v>
      </c>
      <c r="AY417" t="s">
        <v>74</v>
      </c>
      <c r="AZ417" t="s">
        <v>74</v>
      </c>
      <c r="BA417" t="s">
        <v>74</v>
      </c>
      <c r="BB417">
        <v>70</v>
      </c>
      <c r="BC417">
        <v>86</v>
      </c>
      <c r="BD417" t="s">
        <v>74</v>
      </c>
      <c r="BE417" t="s">
        <v>6490</v>
      </c>
      <c r="BF417" t="str">
        <f>HYPERLINK("http://dx.doi.org/10.1016/j.jretconser.2019.02.007","http://dx.doi.org/10.1016/j.jretconser.2019.02.007")</f>
        <v>http://dx.doi.org/10.1016/j.jretconser.2019.02.007</v>
      </c>
      <c r="BG417" t="s">
        <v>74</v>
      </c>
      <c r="BH417" t="s">
        <v>74</v>
      </c>
      <c r="BI417">
        <v>17</v>
      </c>
      <c r="BJ417" t="s">
        <v>153</v>
      </c>
      <c r="BK417" t="s">
        <v>101</v>
      </c>
      <c r="BL417" t="s">
        <v>154</v>
      </c>
      <c r="BM417" t="s">
        <v>6491</v>
      </c>
      <c r="BN417" t="s">
        <v>74</v>
      </c>
      <c r="BO417" t="s">
        <v>74</v>
      </c>
      <c r="BP417" t="s">
        <v>74</v>
      </c>
      <c r="BQ417" t="s">
        <v>74</v>
      </c>
      <c r="BR417" t="s">
        <v>6098</v>
      </c>
      <c r="BS417" t="s">
        <v>6492</v>
      </c>
      <c r="BT417" t="str">
        <f>HYPERLINK("https%3A%2F%2Fwww.webofscience.com%2Fwos%2Fwoscc%2Ffull-record%2FWOS:000460925300008","View Full Record in Web of Science")</f>
        <v>View Full Record in Web of Science</v>
      </c>
      <c r="BU417" t="s">
        <v>6100</v>
      </c>
      <c r="BV417" s="1" t="s">
        <v>6080</v>
      </c>
      <c r="BW417" s="1" t="s">
        <v>6080</v>
      </c>
    </row>
    <row r="418" spans="1:75" x14ac:dyDescent="0.35">
      <c r="A418" t="s">
        <v>72</v>
      </c>
      <c r="B418" t="s">
        <v>1411</v>
      </c>
      <c r="C418" t="s">
        <v>74</v>
      </c>
      <c r="D418" t="s">
        <v>74</v>
      </c>
      <c r="E418" t="s">
        <v>74</v>
      </c>
      <c r="F418" t="s">
        <v>1412</v>
      </c>
      <c r="G418" t="s">
        <v>74</v>
      </c>
      <c r="H418" t="s">
        <v>74</v>
      </c>
      <c r="I418" t="s">
        <v>1413</v>
      </c>
      <c r="J418" t="s">
        <v>161</v>
      </c>
      <c r="K418" t="s">
        <v>74</v>
      </c>
      <c r="L418" t="s">
        <v>74</v>
      </c>
      <c r="M418" t="s">
        <v>78</v>
      </c>
      <c r="N418" t="s">
        <v>79</v>
      </c>
      <c r="O418" t="s">
        <v>74</v>
      </c>
      <c r="P418" t="s">
        <v>74</v>
      </c>
      <c r="Q418" t="s">
        <v>74</v>
      </c>
      <c r="R418" t="s">
        <v>74</v>
      </c>
      <c r="S418" t="s">
        <v>74</v>
      </c>
      <c r="T418" t="s">
        <v>1414</v>
      </c>
      <c r="U418" t="s">
        <v>1415</v>
      </c>
      <c r="V418" t="s">
        <v>1416</v>
      </c>
      <c r="W418" t="s">
        <v>1417</v>
      </c>
      <c r="X418" t="s">
        <v>1418</v>
      </c>
      <c r="Y418" t="s">
        <v>1419</v>
      </c>
      <c r="Z418" t="s">
        <v>1420</v>
      </c>
      <c r="AA418" t="s">
        <v>6493</v>
      </c>
      <c r="AB418" t="s">
        <v>1422</v>
      </c>
      <c r="AC418" t="s">
        <v>74</v>
      </c>
      <c r="AD418" t="s">
        <v>74</v>
      </c>
      <c r="AE418" t="s">
        <v>74</v>
      </c>
      <c r="AF418" t="s">
        <v>74</v>
      </c>
      <c r="AG418">
        <v>88</v>
      </c>
      <c r="AH418">
        <v>119</v>
      </c>
      <c r="AI418">
        <v>119</v>
      </c>
      <c r="AJ418">
        <v>71</v>
      </c>
      <c r="AK418">
        <v>357</v>
      </c>
      <c r="AL418" t="s">
        <v>170</v>
      </c>
      <c r="AM418" t="s">
        <v>171</v>
      </c>
      <c r="AN418" t="s">
        <v>172</v>
      </c>
      <c r="AO418" t="s">
        <v>173</v>
      </c>
      <c r="AP418" t="s">
        <v>174</v>
      </c>
      <c r="AQ418" t="s">
        <v>74</v>
      </c>
      <c r="AR418" t="s">
        <v>175</v>
      </c>
      <c r="AS418" t="s">
        <v>176</v>
      </c>
      <c r="AT418" t="s">
        <v>177</v>
      </c>
      <c r="AU418">
        <v>2019</v>
      </c>
      <c r="AV418">
        <v>45</v>
      </c>
      <c r="AW418">
        <v>5</v>
      </c>
      <c r="AX418" t="s">
        <v>74</v>
      </c>
      <c r="AY418" t="s">
        <v>74</v>
      </c>
      <c r="AZ418" t="s">
        <v>74</v>
      </c>
      <c r="BA418" t="s">
        <v>74</v>
      </c>
      <c r="BB418">
        <v>988</v>
      </c>
      <c r="BC418">
        <v>1012</v>
      </c>
      <c r="BD418" t="s">
        <v>74</v>
      </c>
      <c r="BE418" t="s">
        <v>1423</v>
      </c>
      <c r="BF418" t="str">
        <f>HYPERLINK("http://dx.doi.org/10.1093/jcr/ucy032","http://dx.doi.org/10.1093/jcr/ucy032")</f>
        <v>http://dx.doi.org/10.1093/jcr/ucy032</v>
      </c>
      <c r="BG418" t="s">
        <v>74</v>
      </c>
      <c r="BH418" t="s">
        <v>74</v>
      </c>
      <c r="BI418">
        <v>25</v>
      </c>
      <c r="BJ418" t="s">
        <v>153</v>
      </c>
      <c r="BK418" t="s">
        <v>101</v>
      </c>
      <c r="BL418" t="s">
        <v>154</v>
      </c>
      <c r="BM418" t="s">
        <v>1424</v>
      </c>
      <c r="BN418" t="s">
        <v>74</v>
      </c>
      <c r="BO418" t="s">
        <v>4240</v>
      </c>
      <c r="BP418" t="s">
        <v>218</v>
      </c>
      <c r="BQ418" t="s">
        <v>219</v>
      </c>
      <c r="BR418" t="s">
        <v>6098</v>
      </c>
      <c r="BS418" t="s">
        <v>1426</v>
      </c>
      <c r="BT418" t="str">
        <f>HYPERLINK("https%3A%2F%2Fwww.webofscience.com%2Fwos%2Fwoscc%2Ffull-record%2FWOS:000481978500006","View Full Record in Web of Science")</f>
        <v>View Full Record in Web of Science</v>
      </c>
      <c r="BU418" t="s">
        <v>6100</v>
      </c>
      <c r="BV418" s="1" t="s">
        <v>6080</v>
      </c>
      <c r="BW418" s="1" t="s">
        <v>6080</v>
      </c>
    </row>
    <row r="419" spans="1:75" x14ac:dyDescent="0.35">
      <c r="A419" t="s">
        <v>72</v>
      </c>
      <c r="B419" t="s">
        <v>6899</v>
      </c>
      <c r="C419" t="s">
        <v>74</v>
      </c>
      <c r="D419" t="s">
        <v>74</v>
      </c>
      <c r="E419" t="s">
        <v>74</v>
      </c>
      <c r="F419" t="s">
        <v>6900</v>
      </c>
      <c r="G419" t="s">
        <v>74</v>
      </c>
      <c r="H419" t="s">
        <v>74</v>
      </c>
      <c r="I419" t="s">
        <v>6901</v>
      </c>
      <c r="J419" t="s">
        <v>6902</v>
      </c>
      <c r="K419" t="s">
        <v>74</v>
      </c>
      <c r="L419" t="s">
        <v>74</v>
      </c>
      <c r="M419" t="s">
        <v>78</v>
      </c>
      <c r="N419" t="s">
        <v>79</v>
      </c>
      <c r="O419" t="s">
        <v>74</v>
      </c>
      <c r="P419" t="s">
        <v>74</v>
      </c>
      <c r="Q419" t="s">
        <v>74</v>
      </c>
      <c r="R419" t="s">
        <v>74</v>
      </c>
      <c r="S419" t="s">
        <v>74</v>
      </c>
      <c r="T419" t="s">
        <v>74</v>
      </c>
      <c r="U419" t="s">
        <v>6903</v>
      </c>
      <c r="V419" t="s">
        <v>6904</v>
      </c>
      <c r="W419" t="s">
        <v>6905</v>
      </c>
      <c r="X419" t="s">
        <v>6906</v>
      </c>
      <c r="Y419" t="s">
        <v>6907</v>
      </c>
      <c r="Z419" t="s">
        <v>6908</v>
      </c>
      <c r="AA419" t="s">
        <v>74</v>
      </c>
      <c r="AB419" t="s">
        <v>6909</v>
      </c>
      <c r="AC419" t="s">
        <v>74</v>
      </c>
      <c r="AD419" t="s">
        <v>74</v>
      </c>
      <c r="AE419" t="s">
        <v>74</v>
      </c>
      <c r="AF419" t="s">
        <v>74</v>
      </c>
      <c r="AG419">
        <v>50</v>
      </c>
      <c r="AH419">
        <v>9</v>
      </c>
      <c r="AI419">
        <v>9</v>
      </c>
      <c r="AJ419">
        <v>5</v>
      </c>
      <c r="AK419">
        <v>15</v>
      </c>
      <c r="AL419" t="s">
        <v>3363</v>
      </c>
      <c r="AM419" t="s">
        <v>1181</v>
      </c>
      <c r="AN419" t="s">
        <v>6910</v>
      </c>
      <c r="AO419" t="s">
        <v>6911</v>
      </c>
      <c r="AP419" t="s">
        <v>6912</v>
      </c>
      <c r="AQ419" t="s">
        <v>74</v>
      </c>
      <c r="AR419" t="s">
        <v>6913</v>
      </c>
      <c r="AS419" t="s">
        <v>6914</v>
      </c>
      <c r="AT419" t="s">
        <v>74</v>
      </c>
      <c r="AU419">
        <v>2019</v>
      </c>
      <c r="AV419">
        <v>40</v>
      </c>
      <c r="AW419">
        <v>1</v>
      </c>
      <c r="AX419" t="s">
        <v>74</v>
      </c>
      <c r="AY419" t="s">
        <v>74</v>
      </c>
      <c r="AZ419" t="s">
        <v>74</v>
      </c>
      <c r="BA419" t="s">
        <v>74</v>
      </c>
      <c r="BB419">
        <v>36</v>
      </c>
      <c r="BC419">
        <v>53</v>
      </c>
      <c r="BD419" t="s">
        <v>74</v>
      </c>
      <c r="BE419" t="s">
        <v>6915</v>
      </c>
      <c r="BF419" t="str">
        <f>HYPERLINK("http://dx.doi.org/10.1080/10641734.2018.1500321","http://dx.doi.org/10.1080/10641734.2018.1500321")</f>
        <v>http://dx.doi.org/10.1080/10641734.2018.1500321</v>
      </c>
      <c r="BG419" t="s">
        <v>74</v>
      </c>
      <c r="BH419" t="s">
        <v>74</v>
      </c>
      <c r="BI419">
        <v>18</v>
      </c>
      <c r="BJ419" t="s">
        <v>2010</v>
      </c>
      <c r="BK419" t="s">
        <v>3880</v>
      </c>
      <c r="BL419" t="s">
        <v>2011</v>
      </c>
      <c r="BM419" t="s">
        <v>6916</v>
      </c>
      <c r="BN419" t="s">
        <v>74</v>
      </c>
      <c r="BO419" t="s">
        <v>74</v>
      </c>
      <c r="BP419" t="s">
        <v>74</v>
      </c>
      <c r="BQ419" t="s">
        <v>74</v>
      </c>
      <c r="BR419" t="s">
        <v>6098</v>
      </c>
      <c r="BS419" t="s">
        <v>6917</v>
      </c>
      <c r="BT419" t="str">
        <f>HYPERLINK("https%3A%2F%2Fwww.webofscience.com%2Fwos%2Fwoscc%2Ffull-record%2FWOS:000558683400004","View Full Record in Web of Science")</f>
        <v>View Full Record in Web of Science</v>
      </c>
      <c r="BU419" t="s">
        <v>6100</v>
      </c>
      <c r="BV419" s="1" t="s">
        <v>6080</v>
      </c>
      <c r="BW419" s="1" t="s">
        <v>10653</v>
      </c>
    </row>
    <row r="420" spans="1:75" x14ac:dyDescent="0.35">
      <c r="A420" t="s">
        <v>72</v>
      </c>
      <c r="B420" t="s">
        <v>6944</v>
      </c>
      <c r="C420" t="s">
        <v>74</v>
      </c>
      <c r="D420" t="s">
        <v>74</v>
      </c>
      <c r="E420" t="s">
        <v>74</v>
      </c>
      <c r="F420" t="s">
        <v>6945</v>
      </c>
      <c r="G420" t="s">
        <v>74</v>
      </c>
      <c r="H420" t="s">
        <v>74</v>
      </c>
      <c r="I420" t="s">
        <v>6946</v>
      </c>
      <c r="J420" t="s">
        <v>6202</v>
      </c>
      <c r="K420" t="s">
        <v>74</v>
      </c>
      <c r="L420" t="s">
        <v>74</v>
      </c>
      <c r="M420" t="s">
        <v>78</v>
      </c>
      <c r="N420" t="s">
        <v>79</v>
      </c>
      <c r="O420" t="s">
        <v>74</v>
      </c>
      <c r="P420" t="s">
        <v>74</v>
      </c>
      <c r="Q420" t="s">
        <v>74</v>
      </c>
      <c r="R420" t="s">
        <v>74</v>
      </c>
      <c r="S420" t="s">
        <v>74</v>
      </c>
      <c r="T420" t="s">
        <v>6947</v>
      </c>
      <c r="U420" t="s">
        <v>6948</v>
      </c>
      <c r="V420" t="s">
        <v>6949</v>
      </c>
      <c r="W420" t="s">
        <v>6950</v>
      </c>
      <c r="X420" t="s">
        <v>6951</v>
      </c>
      <c r="Y420" t="s">
        <v>6952</v>
      </c>
      <c r="Z420" t="s">
        <v>6953</v>
      </c>
      <c r="AA420" t="s">
        <v>6954</v>
      </c>
      <c r="AB420" t="s">
        <v>6955</v>
      </c>
      <c r="AC420" t="s">
        <v>74</v>
      </c>
      <c r="AD420" t="s">
        <v>74</v>
      </c>
      <c r="AE420" t="s">
        <v>74</v>
      </c>
      <c r="AF420" t="s">
        <v>74</v>
      </c>
      <c r="AG420">
        <v>34</v>
      </c>
      <c r="AH420">
        <v>11</v>
      </c>
      <c r="AI420">
        <v>11</v>
      </c>
      <c r="AJ420">
        <v>12</v>
      </c>
      <c r="AK420">
        <v>91</v>
      </c>
      <c r="AL420" t="s">
        <v>820</v>
      </c>
      <c r="AM420" t="s">
        <v>2119</v>
      </c>
      <c r="AN420" t="s">
        <v>2120</v>
      </c>
      <c r="AO420" t="s">
        <v>6211</v>
      </c>
      <c r="AP420" t="s">
        <v>6212</v>
      </c>
      <c r="AQ420" t="s">
        <v>74</v>
      </c>
      <c r="AR420" t="s">
        <v>6213</v>
      </c>
      <c r="AS420" t="s">
        <v>6214</v>
      </c>
      <c r="AT420" t="s">
        <v>348</v>
      </c>
      <c r="AU420">
        <v>2019</v>
      </c>
      <c r="AV420">
        <v>19</v>
      </c>
      <c r="AW420">
        <v>4</v>
      </c>
      <c r="AX420" t="s">
        <v>74</v>
      </c>
      <c r="AY420" t="s">
        <v>74</v>
      </c>
      <c r="AZ420" t="s">
        <v>259</v>
      </c>
      <c r="BA420" t="s">
        <v>74</v>
      </c>
      <c r="BB420">
        <v>823</v>
      </c>
      <c r="BC420">
        <v>840</v>
      </c>
      <c r="BD420" t="s">
        <v>74</v>
      </c>
      <c r="BE420" t="s">
        <v>6956</v>
      </c>
      <c r="BF420" t="str">
        <f>HYPERLINK("http://dx.doi.org/10.1007/s10660-019-09342-x","http://dx.doi.org/10.1007/s10660-019-09342-x")</f>
        <v>http://dx.doi.org/10.1007/s10660-019-09342-x</v>
      </c>
      <c r="BG420" t="s">
        <v>74</v>
      </c>
      <c r="BH420" t="s">
        <v>74</v>
      </c>
      <c r="BI420">
        <v>18</v>
      </c>
      <c r="BJ420" t="s">
        <v>877</v>
      </c>
      <c r="BK420" t="s">
        <v>101</v>
      </c>
      <c r="BL420" t="s">
        <v>154</v>
      </c>
      <c r="BM420" t="s">
        <v>6957</v>
      </c>
      <c r="BN420" t="s">
        <v>74</v>
      </c>
      <c r="BO420" t="s">
        <v>74</v>
      </c>
      <c r="BP420" t="s">
        <v>74</v>
      </c>
      <c r="BQ420" t="s">
        <v>74</v>
      </c>
      <c r="BR420" t="s">
        <v>6098</v>
      </c>
      <c r="BS420" t="s">
        <v>6958</v>
      </c>
      <c r="BT420" t="str">
        <f>HYPERLINK("https%3A%2F%2Fwww.webofscience.com%2Fwos%2Fwoscc%2Ffull-record%2FWOS:000496029800005","View Full Record in Web of Science")</f>
        <v>View Full Record in Web of Science</v>
      </c>
      <c r="BU420" t="s">
        <v>6100</v>
      </c>
      <c r="BV420" s="1" t="s">
        <v>10653</v>
      </c>
    </row>
    <row r="421" spans="1:75" x14ac:dyDescent="0.35">
      <c r="A421" t="s">
        <v>72</v>
      </c>
      <c r="B421" t="s">
        <v>7094</v>
      </c>
      <c r="C421" t="s">
        <v>74</v>
      </c>
      <c r="D421" t="s">
        <v>74</v>
      </c>
      <c r="E421" t="s">
        <v>74</v>
      </c>
      <c r="F421" t="s">
        <v>7095</v>
      </c>
      <c r="G421" t="s">
        <v>74</v>
      </c>
      <c r="H421" t="s">
        <v>74</v>
      </c>
      <c r="I421" t="s">
        <v>7096</v>
      </c>
      <c r="J421" t="s">
        <v>5066</v>
      </c>
      <c r="K421" t="s">
        <v>74</v>
      </c>
      <c r="L421" t="s">
        <v>74</v>
      </c>
      <c r="M421" t="s">
        <v>78</v>
      </c>
      <c r="N421" t="s">
        <v>79</v>
      </c>
      <c r="O421" t="s">
        <v>74</v>
      </c>
      <c r="P421" t="s">
        <v>74</v>
      </c>
      <c r="Q421" t="s">
        <v>74</v>
      </c>
      <c r="R421" t="s">
        <v>74</v>
      </c>
      <c r="S421" t="s">
        <v>74</v>
      </c>
      <c r="T421" t="s">
        <v>7097</v>
      </c>
      <c r="U421" t="s">
        <v>7098</v>
      </c>
      <c r="V421" t="s">
        <v>7099</v>
      </c>
      <c r="W421" t="s">
        <v>7100</v>
      </c>
      <c r="X421" t="s">
        <v>7101</v>
      </c>
      <c r="Y421" t="s">
        <v>7102</v>
      </c>
      <c r="Z421" t="s">
        <v>6504</v>
      </c>
      <c r="AA421" t="s">
        <v>7103</v>
      </c>
      <c r="AB421" t="s">
        <v>7104</v>
      </c>
      <c r="AC421" t="s">
        <v>74</v>
      </c>
      <c r="AD421" t="s">
        <v>74</v>
      </c>
      <c r="AE421" t="s">
        <v>74</v>
      </c>
      <c r="AF421" t="s">
        <v>74</v>
      </c>
      <c r="AG421">
        <v>23</v>
      </c>
      <c r="AH421">
        <v>7</v>
      </c>
      <c r="AI421">
        <v>7</v>
      </c>
      <c r="AJ421">
        <v>4</v>
      </c>
      <c r="AK421">
        <v>28</v>
      </c>
      <c r="AL421" t="s">
        <v>1982</v>
      </c>
      <c r="AM421" t="s">
        <v>1983</v>
      </c>
      <c r="AN421" t="s">
        <v>2573</v>
      </c>
      <c r="AO421" t="s">
        <v>5076</v>
      </c>
      <c r="AP421" t="s">
        <v>5077</v>
      </c>
      <c r="AQ421" t="s">
        <v>74</v>
      </c>
      <c r="AR421" t="s">
        <v>5078</v>
      </c>
      <c r="AS421" t="s">
        <v>5079</v>
      </c>
      <c r="AT421" t="s">
        <v>7105</v>
      </c>
      <c r="AU421">
        <v>2019</v>
      </c>
      <c r="AV421">
        <v>54</v>
      </c>
      <c r="AW421">
        <v>3</v>
      </c>
      <c r="AX421" t="s">
        <v>74</v>
      </c>
      <c r="AY421" t="s">
        <v>74</v>
      </c>
      <c r="AZ421" t="s">
        <v>259</v>
      </c>
      <c r="BA421" t="s">
        <v>74</v>
      </c>
      <c r="BB421">
        <v>511</v>
      </c>
      <c r="BC421">
        <v>524</v>
      </c>
      <c r="BD421" t="s">
        <v>74</v>
      </c>
      <c r="BE421" t="s">
        <v>7106</v>
      </c>
      <c r="BF421" t="str">
        <f>HYPERLINK("http://dx.doi.org/10.1108/EJM-01-2019-0084","http://dx.doi.org/10.1108/EJM-01-2019-0084")</f>
        <v>http://dx.doi.org/10.1108/EJM-01-2019-0084</v>
      </c>
      <c r="BG421" t="s">
        <v>74</v>
      </c>
      <c r="BH421" t="s">
        <v>4213</v>
      </c>
      <c r="BI421">
        <v>14</v>
      </c>
      <c r="BJ421" t="s">
        <v>153</v>
      </c>
      <c r="BK421" t="s">
        <v>101</v>
      </c>
      <c r="BL421" t="s">
        <v>154</v>
      </c>
      <c r="BM421" t="s">
        <v>7107</v>
      </c>
      <c r="BN421" t="s">
        <v>74</v>
      </c>
      <c r="BO421" t="s">
        <v>74</v>
      </c>
      <c r="BP421" t="s">
        <v>74</v>
      </c>
      <c r="BQ421" t="s">
        <v>74</v>
      </c>
      <c r="BR421" t="s">
        <v>6098</v>
      </c>
      <c r="BS421" t="s">
        <v>7108</v>
      </c>
      <c r="BT421" t="str">
        <f>HYPERLINK("https%3A%2F%2Fwww.webofscience.com%2Fwos%2Fwoscc%2Ffull-record%2FWOS:000501757500001","View Full Record in Web of Science")</f>
        <v>View Full Record in Web of Science</v>
      </c>
      <c r="BU421" t="s">
        <v>6100</v>
      </c>
      <c r="BV421" s="1" t="s">
        <v>6080</v>
      </c>
      <c r="BW421" s="1" t="s">
        <v>6080</v>
      </c>
    </row>
    <row r="422" spans="1:75" x14ac:dyDescent="0.35">
      <c r="A422" t="s">
        <v>72</v>
      </c>
      <c r="B422" t="s">
        <v>7265</v>
      </c>
      <c r="C422" t="s">
        <v>74</v>
      </c>
      <c r="D422" t="s">
        <v>74</v>
      </c>
      <c r="E422" t="s">
        <v>74</v>
      </c>
      <c r="F422" t="s">
        <v>7266</v>
      </c>
      <c r="G422" t="s">
        <v>74</v>
      </c>
      <c r="H422" t="s">
        <v>74</v>
      </c>
      <c r="I422" t="s">
        <v>7267</v>
      </c>
      <c r="J422" t="s">
        <v>7268</v>
      </c>
      <c r="K422" t="s">
        <v>74</v>
      </c>
      <c r="L422" t="s">
        <v>74</v>
      </c>
      <c r="M422" t="s">
        <v>78</v>
      </c>
      <c r="N422" t="s">
        <v>79</v>
      </c>
      <c r="O422" t="s">
        <v>74</v>
      </c>
      <c r="P422" t="s">
        <v>74</v>
      </c>
      <c r="Q422" t="s">
        <v>74</v>
      </c>
      <c r="R422" t="s">
        <v>74</v>
      </c>
      <c r="S422" t="s">
        <v>74</v>
      </c>
      <c r="T422" t="s">
        <v>7269</v>
      </c>
      <c r="U422" t="s">
        <v>7270</v>
      </c>
      <c r="V422" t="s">
        <v>7271</v>
      </c>
      <c r="W422" t="s">
        <v>7272</v>
      </c>
      <c r="X422" t="s">
        <v>7273</v>
      </c>
      <c r="Y422" t="s">
        <v>7274</v>
      </c>
      <c r="Z422" t="s">
        <v>7275</v>
      </c>
      <c r="AA422" t="s">
        <v>74</v>
      </c>
      <c r="AB422" t="s">
        <v>74</v>
      </c>
      <c r="AC422" t="s">
        <v>74</v>
      </c>
      <c r="AD422" t="s">
        <v>74</v>
      </c>
      <c r="AE422" t="s">
        <v>74</v>
      </c>
      <c r="AF422" t="s">
        <v>74</v>
      </c>
      <c r="AG422">
        <v>49</v>
      </c>
      <c r="AH422">
        <v>37</v>
      </c>
      <c r="AI422">
        <v>38</v>
      </c>
      <c r="AJ422">
        <v>5</v>
      </c>
      <c r="AK422">
        <v>68</v>
      </c>
      <c r="AL422" t="s">
        <v>1982</v>
      </c>
      <c r="AM422" t="s">
        <v>1983</v>
      </c>
      <c r="AN422" t="s">
        <v>2573</v>
      </c>
      <c r="AO422" t="s">
        <v>7276</v>
      </c>
      <c r="AP422" t="s">
        <v>7277</v>
      </c>
      <c r="AQ422" t="s">
        <v>74</v>
      </c>
      <c r="AR422" t="s">
        <v>7278</v>
      </c>
      <c r="AS422" t="s">
        <v>7279</v>
      </c>
      <c r="AT422" t="s">
        <v>4921</v>
      </c>
      <c r="AU422">
        <v>2019</v>
      </c>
      <c r="AV422">
        <v>36</v>
      </c>
      <c r="AW422">
        <v>5</v>
      </c>
      <c r="AX422" t="s">
        <v>74</v>
      </c>
      <c r="AY422" t="s">
        <v>74</v>
      </c>
      <c r="AZ422" t="s">
        <v>74</v>
      </c>
      <c r="BA422" t="s">
        <v>74</v>
      </c>
      <c r="BB422">
        <v>655</v>
      </c>
      <c r="BC422">
        <v>665</v>
      </c>
      <c r="BD422" t="s">
        <v>74</v>
      </c>
      <c r="BE422" t="s">
        <v>7280</v>
      </c>
      <c r="BF422" t="str">
        <f>HYPERLINK("http://dx.doi.org/10.1108/JCM-02-2018-2581","http://dx.doi.org/10.1108/JCM-02-2018-2581")</f>
        <v>http://dx.doi.org/10.1108/JCM-02-2018-2581</v>
      </c>
      <c r="BG422" t="s">
        <v>74</v>
      </c>
      <c r="BH422" t="s">
        <v>74</v>
      </c>
      <c r="BI422">
        <v>11</v>
      </c>
      <c r="BJ422" t="s">
        <v>153</v>
      </c>
      <c r="BK422" t="s">
        <v>3880</v>
      </c>
      <c r="BL422" t="s">
        <v>154</v>
      </c>
      <c r="BM422" t="s">
        <v>7281</v>
      </c>
      <c r="BN422" t="s">
        <v>74</v>
      </c>
      <c r="BO422" t="s">
        <v>74</v>
      </c>
      <c r="BP422" t="s">
        <v>74</v>
      </c>
      <c r="BQ422" t="s">
        <v>74</v>
      </c>
      <c r="BR422" t="s">
        <v>6098</v>
      </c>
      <c r="BS422" t="s">
        <v>7282</v>
      </c>
      <c r="BT422" t="str">
        <f>HYPERLINK("https%3A%2F%2Fwww.webofscience.com%2Fwos%2Fwoscc%2Ffull-record%2FWOS:000481514300012","View Full Record in Web of Science")</f>
        <v>View Full Record in Web of Science</v>
      </c>
      <c r="BU422" t="s">
        <v>6100</v>
      </c>
      <c r="BV422" s="1" t="s">
        <v>6080</v>
      </c>
      <c r="BW422" s="1" t="s">
        <v>6080</v>
      </c>
    </row>
    <row r="423" spans="1:75" x14ac:dyDescent="0.35">
      <c r="A423" t="s">
        <v>72</v>
      </c>
      <c r="B423" t="s">
        <v>7404</v>
      </c>
      <c r="C423" t="s">
        <v>74</v>
      </c>
      <c r="D423" t="s">
        <v>74</v>
      </c>
      <c r="E423" t="s">
        <v>74</v>
      </c>
      <c r="F423" t="s">
        <v>7405</v>
      </c>
      <c r="G423" t="s">
        <v>74</v>
      </c>
      <c r="H423" t="s">
        <v>74</v>
      </c>
      <c r="I423" t="s">
        <v>7406</v>
      </c>
      <c r="J423" t="s">
        <v>7407</v>
      </c>
      <c r="K423" t="s">
        <v>74</v>
      </c>
      <c r="L423" t="s">
        <v>74</v>
      </c>
      <c r="M423" t="s">
        <v>78</v>
      </c>
      <c r="N423" t="s">
        <v>110</v>
      </c>
      <c r="O423" t="s">
        <v>74</v>
      </c>
      <c r="P423" t="s">
        <v>74</v>
      </c>
      <c r="Q423" t="s">
        <v>74</v>
      </c>
      <c r="R423" t="s">
        <v>74</v>
      </c>
      <c r="S423" t="s">
        <v>74</v>
      </c>
      <c r="T423" t="s">
        <v>7408</v>
      </c>
      <c r="U423" t="s">
        <v>74</v>
      </c>
      <c r="V423" t="s">
        <v>7409</v>
      </c>
      <c r="W423" t="s">
        <v>7410</v>
      </c>
      <c r="X423" t="s">
        <v>74</v>
      </c>
      <c r="Y423" t="s">
        <v>7411</v>
      </c>
      <c r="Z423" t="s">
        <v>7412</v>
      </c>
      <c r="AA423" t="s">
        <v>74</v>
      </c>
      <c r="AB423" t="s">
        <v>7413</v>
      </c>
      <c r="AC423" t="s">
        <v>74</v>
      </c>
      <c r="AD423" t="s">
        <v>74</v>
      </c>
      <c r="AE423" t="s">
        <v>74</v>
      </c>
      <c r="AF423" t="s">
        <v>74</v>
      </c>
      <c r="AG423">
        <v>20</v>
      </c>
      <c r="AH423">
        <v>0</v>
      </c>
      <c r="AI423">
        <v>0</v>
      </c>
      <c r="AJ423">
        <v>2</v>
      </c>
      <c r="AK423">
        <v>7</v>
      </c>
      <c r="AL423" t="s">
        <v>7414</v>
      </c>
      <c r="AM423" t="s">
        <v>7415</v>
      </c>
      <c r="AN423" t="s">
        <v>7416</v>
      </c>
      <c r="AO423" t="s">
        <v>7417</v>
      </c>
      <c r="AP423" t="s">
        <v>7418</v>
      </c>
      <c r="AQ423" t="s">
        <v>74</v>
      </c>
      <c r="AR423" t="s">
        <v>7419</v>
      </c>
      <c r="AS423" t="s">
        <v>7420</v>
      </c>
      <c r="AT423" t="s">
        <v>74</v>
      </c>
      <c r="AU423">
        <v>2019</v>
      </c>
      <c r="AV423">
        <v>17</v>
      </c>
      <c r="AW423">
        <v>5</v>
      </c>
      <c r="AX423" t="s">
        <v>74</v>
      </c>
      <c r="AY423" t="s">
        <v>74</v>
      </c>
      <c r="AZ423" t="s">
        <v>74</v>
      </c>
      <c r="BA423" t="s">
        <v>74</v>
      </c>
      <c r="BB423">
        <v>154</v>
      </c>
      <c r="BC423">
        <v>175</v>
      </c>
      <c r="BD423" t="s">
        <v>74</v>
      </c>
      <c r="BE423" t="s">
        <v>7421</v>
      </c>
      <c r="BF423" t="str">
        <f>HYPERLINK("http://dx.doi.org/10.7172/1644-9584.85.9","http://dx.doi.org/10.7172/1644-9584.85.9")</f>
        <v>http://dx.doi.org/10.7172/1644-9584.85.9</v>
      </c>
      <c r="BG423" t="s">
        <v>74</v>
      </c>
      <c r="BH423" t="s">
        <v>74</v>
      </c>
      <c r="BI423">
        <v>22</v>
      </c>
      <c r="BJ423" t="s">
        <v>2493</v>
      </c>
      <c r="BK423" t="s">
        <v>3880</v>
      </c>
      <c r="BL423" t="s">
        <v>154</v>
      </c>
      <c r="BM423" t="s">
        <v>7422</v>
      </c>
      <c r="BN423" t="s">
        <v>74</v>
      </c>
      <c r="BO423" t="s">
        <v>4746</v>
      </c>
      <c r="BP423" t="s">
        <v>74</v>
      </c>
      <c r="BQ423" t="s">
        <v>74</v>
      </c>
      <c r="BR423" t="s">
        <v>6098</v>
      </c>
      <c r="BS423" t="s">
        <v>7423</v>
      </c>
      <c r="BT423" t="str">
        <f>HYPERLINK("https%3A%2F%2Fwww.webofscience.com%2Fwos%2Fwoscc%2Ffull-record%2FWOS:000519933000010","View Full Record in Web of Science")</f>
        <v>View Full Record in Web of Science</v>
      </c>
      <c r="BU423" t="s">
        <v>6100</v>
      </c>
      <c r="BV423" s="1" t="s">
        <v>10653</v>
      </c>
      <c r="BW423" s="1" t="s">
        <v>10653</v>
      </c>
    </row>
    <row r="424" spans="1:75" x14ac:dyDescent="0.35">
      <c r="A424" t="s">
        <v>72</v>
      </c>
      <c r="B424" t="s">
        <v>7771</v>
      </c>
      <c r="C424" t="s">
        <v>74</v>
      </c>
      <c r="D424" t="s">
        <v>74</v>
      </c>
      <c r="E424" t="s">
        <v>74</v>
      </c>
      <c r="F424" t="s">
        <v>7772</v>
      </c>
      <c r="G424" t="s">
        <v>74</v>
      </c>
      <c r="H424" t="s">
        <v>74</v>
      </c>
      <c r="I424" t="s">
        <v>7773</v>
      </c>
      <c r="J424" t="s">
        <v>7427</v>
      </c>
      <c r="K424" t="s">
        <v>74</v>
      </c>
      <c r="L424" t="s">
        <v>74</v>
      </c>
      <c r="M424" t="s">
        <v>78</v>
      </c>
      <c r="N424" t="s">
        <v>110</v>
      </c>
      <c r="O424" t="s">
        <v>74</v>
      </c>
      <c r="P424" t="s">
        <v>74</v>
      </c>
      <c r="Q424" t="s">
        <v>74</v>
      </c>
      <c r="R424" t="s">
        <v>74</v>
      </c>
      <c r="S424" t="s">
        <v>74</v>
      </c>
      <c r="T424" t="s">
        <v>7774</v>
      </c>
      <c r="U424" t="s">
        <v>7775</v>
      </c>
      <c r="V424" t="s">
        <v>7776</v>
      </c>
      <c r="W424" t="s">
        <v>7777</v>
      </c>
      <c r="X424" t="s">
        <v>7778</v>
      </c>
      <c r="Y424" t="s">
        <v>7779</v>
      </c>
      <c r="Z424" t="s">
        <v>7780</v>
      </c>
      <c r="AA424" t="s">
        <v>7781</v>
      </c>
      <c r="AB424" t="s">
        <v>74</v>
      </c>
      <c r="AC424" t="s">
        <v>74</v>
      </c>
      <c r="AD424" t="s">
        <v>74</v>
      </c>
      <c r="AE424" t="s">
        <v>74</v>
      </c>
      <c r="AF424" t="s">
        <v>74</v>
      </c>
      <c r="AG424">
        <v>95</v>
      </c>
      <c r="AH424">
        <v>30</v>
      </c>
      <c r="AI424">
        <v>30</v>
      </c>
      <c r="AJ424">
        <v>4</v>
      </c>
      <c r="AK424">
        <v>82</v>
      </c>
      <c r="AL424" t="s">
        <v>1982</v>
      </c>
      <c r="AM424" t="s">
        <v>1983</v>
      </c>
      <c r="AN424" t="s">
        <v>2573</v>
      </c>
      <c r="AO424" t="s">
        <v>7437</v>
      </c>
      <c r="AP424" t="s">
        <v>74</v>
      </c>
      <c r="AQ424" t="s">
        <v>74</v>
      </c>
      <c r="AR424" t="s">
        <v>7438</v>
      </c>
      <c r="AS424" t="s">
        <v>7439</v>
      </c>
      <c r="AT424" t="s">
        <v>74</v>
      </c>
      <c r="AU424">
        <v>2019</v>
      </c>
      <c r="AV424">
        <v>33</v>
      </c>
      <c r="AW424">
        <v>1</v>
      </c>
      <c r="AX424" t="s">
        <v>74</v>
      </c>
      <c r="AY424" t="s">
        <v>74</v>
      </c>
      <c r="AZ424" t="s">
        <v>74</v>
      </c>
      <c r="BA424" t="s">
        <v>74</v>
      </c>
      <c r="BB424">
        <v>88</v>
      </c>
      <c r="BC424">
        <v>103</v>
      </c>
      <c r="BD424" t="s">
        <v>74</v>
      </c>
      <c r="BE424" t="s">
        <v>7782</v>
      </c>
      <c r="BF424" t="str">
        <f>HYPERLINK("http://dx.doi.org/10.1108/JSM-10-2018-0295","http://dx.doi.org/10.1108/JSM-10-2018-0295")</f>
        <v>http://dx.doi.org/10.1108/JSM-10-2018-0295</v>
      </c>
      <c r="BG424" t="s">
        <v>74</v>
      </c>
      <c r="BH424" t="s">
        <v>74</v>
      </c>
      <c r="BI424">
        <v>16</v>
      </c>
      <c r="BJ424" t="s">
        <v>153</v>
      </c>
      <c r="BK424" t="s">
        <v>101</v>
      </c>
      <c r="BL424" t="s">
        <v>154</v>
      </c>
      <c r="BM424" t="s">
        <v>7783</v>
      </c>
      <c r="BN424" t="s">
        <v>74</v>
      </c>
      <c r="BO424" t="s">
        <v>156</v>
      </c>
      <c r="BP424" t="s">
        <v>74</v>
      </c>
      <c r="BQ424" t="s">
        <v>74</v>
      </c>
      <c r="BR424" t="s">
        <v>6098</v>
      </c>
      <c r="BS424" t="s">
        <v>7784</v>
      </c>
      <c r="BT424" t="str">
        <f>HYPERLINK("https%3A%2F%2Fwww.webofscience.com%2Fwos%2Fwoscc%2Ffull-record%2FWOS:000467622600008","View Full Record in Web of Science")</f>
        <v>View Full Record in Web of Science</v>
      </c>
      <c r="BU424" t="s">
        <v>6100</v>
      </c>
      <c r="BV424" s="1" t="s">
        <v>6080</v>
      </c>
      <c r="BW424" s="1" t="s">
        <v>6080</v>
      </c>
    </row>
    <row r="425" spans="1:75" x14ac:dyDescent="0.35">
      <c r="A425" t="s">
        <v>72</v>
      </c>
      <c r="B425" t="s">
        <v>7912</v>
      </c>
      <c r="C425" t="s">
        <v>74</v>
      </c>
      <c r="D425" t="s">
        <v>74</v>
      </c>
      <c r="E425" t="s">
        <v>74</v>
      </c>
      <c r="F425" t="s">
        <v>7913</v>
      </c>
      <c r="G425" t="s">
        <v>74</v>
      </c>
      <c r="H425" t="s">
        <v>74</v>
      </c>
      <c r="I425" t="s">
        <v>7914</v>
      </c>
      <c r="J425" t="s">
        <v>7112</v>
      </c>
      <c r="K425" t="s">
        <v>74</v>
      </c>
      <c r="L425" t="s">
        <v>74</v>
      </c>
      <c r="M425" t="s">
        <v>78</v>
      </c>
      <c r="N425" t="s">
        <v>79</v>
      </c>
      <c r="O425" t="s">
        <v>74</v>
      </c>
      <c r="P425" t="s">
        <v>74</v>
      </c>
      <c r="Q425" t="s">
        <v>74</v>
      </c>
      <c r="R425" t="s">
        <v>74</v>
      </c>
      <c r="S425" t="s">
        <v>74</v>
      </c>
      <c r="T425" t="s">
        <v>7915</v>
      </c>
      <c r="U425" t="s">
        <v>7916</v>
      </c>
      <c r="V425" t="s">
        <v>7917</v>
      </c>
      <c r="W425" t="s">
        <v>7918</v>
      </c>
      <c r="X425" t="s">
        <v>6710</v>
      </c>
      <c r="Y425" t="s">
        <v>7919</v>
      </c>
      <c r="Z425" t="s">
        <v>7920</v>
      </c>
      <c r="AA425" t="s">
        <v>7921</v>
      </c>
      <c r="AB425" t="s">
        <v>7922</v>
      </c>
      <c r="AC425" t="s">
        <v>74</v>
      </c>
      <c r="AD425" t="s">
        <v>74</v>
      </c>
      <c r="AE425" t="s">
        <v>74</v>
      </c>
      <c r="AF425" t="s">
        <v>74</v>
      </c>
      <c r="AG425">
        <v>47</v>
      </c>
      <c r="AH425">
        <v>21</v>
      </c>
      <c r="AI425">
        <v>21</v>
      </c>
      <c r="AJ425">
        <v>3</v>
      </c>
      <c r="AK425">
        <v>17</v>
      </c>
      <c r="AL425" t="s">
        <v>652</v>
      </c>
      <c r="AM425" t="s">
        <v>653</v>
      </c>
      <c r="AN425" t="s">
        <v>654</v>
      </c>
      <c r="AO425" t="s">
        <v>7122</v>
      </c>
      <c r="AP425" t="s">
        <v>7123</v>
      </c>
      <c r="AQ425" t="s">
        <v>74</v>
      </c>
      <c r="AR425" t="s">
        <v>7124</v>
      </c>
      <c r="AS425" t="s">
        <v>7125</v>
      </c>
      <c r="AT425" t="s">
        <v>7923</v>
      </c>
      <c r="AU425">
        <v>2019</v>
      </c>
      <c r="AV425">
        <v>25</v>
      </c>
      <c r="AW425">
        <v>3</v>
      </c>
      <c r="AX425" t="s">
        <v>74</v>
      </c>
      <c r="AY425" t="s">
        <v>74</v>
      </c>
      <c r="AZ425" t="s">
        <v>74</v>
      </c>
      <c r="BA425" t="s">
        <v>74</v>
      </c>
      <c r="BB425">
        <v>138</v>
      </c>
      <c r="BC425">
        <v>143</v>
      </c>
      <c r="BD425" t="s">
        <v>74</v>
      </c>
      <c r="BE425" t="s">
        <v>7924</v>
      </c>
      <c r="BF425" t="str">
        <f>HYPERLINK("http://dx.doi.org/10.1016/j.iedeen.2019.07.001","http://dx.doi.org/10.1016/j.iedeen.2019.07.001")</f>
        <v>http://dx.doi.org/10.1016/j.iedeen.2019.07.001</v>
      </c>
      <c r="BG425" t="s">
        <v>74</v>
      </c>
      <c r="BH425" t="s">
        <v>74</v>
      </c>
      <c r="BI425">
        <v>6</v>
      </c>
      <c r="BJ425" t="s">
        <v>7128</v>
      </c>
      <c r="BK425" t="s">
        <v>101</v>
      </c>
      <c r="BL425" t="s">
        <v>154</v>
      </c>
      <c r="BM425" t="s">
        <v>7925</v>
      </c>
      <c r="BN425" t="s">
        <v>74</v>
      </c>
      <c r="BO425" t="s">
        <v>2196</v>
      </c>
      <c r="BP425" t="s">
        <v>74</v>
      </c>
      <c r="BQ425" t="s">
        <v>74</v>
      </c>
      <c r="BR425" t="s">
        <v>6098</v>
      </c>
      <c r="BS425" t="s">
        <v>7926</v>
      </c>
      <c r="BT425" t="str">
        <f>HYPERLINK("https%3A%2F%2Fwww.webofscience.com%2Fwos%2Fwoscc%2Ffull-record%2FWOS:000484683000005","View Full Record in Web of Science")</f>
        <v>View Full Record in Web of Science</v>
      </c>
      <c r="BU425" t="s">
        <v>6100</v>
      </c>
      <c r="BV425" s="1" t="s">
        <v>10653</v>
      </c>
    </row>
    <row r="426" spans="1:75" x14ac:dyDescent="0.35">
      <c r="A426" t="s">
        <v>72</v>
      </c>
      <c r="B426" t="s">
        <v>4197</v>
      </c>
      <c r="C426" t="s">
        <v>74</v>
      </c>
      <c r="D426" t="s">
        <v>74</v>
      </c>
      <c r="E426" t="s">
        <v>74</v>
      </c>
      <c r="F426" t="s">
        <v>4198</v>
      </c>
      <c r="G426" t="s">
        <v>74</v>
      </c>
      <c r="H426" t="s">
        <v>74</v>
      </c>
      <c r="I426" t="s">
        <v>4199</v>
      </c>
      <c r="J426" t="s">
        <v>136</v>
      </c>
      <c r="K426" t="s">
        <v>74</v>
      </c>
      <c r="L426" t="s">
        <v>74</v>
      </c>
      <c r="M426" t="s">
        <v>78</v>
      </c>
      <c r="N426" t="s">
        <v>110</v>
      </c>
      <c r="O426" t="s">
        <v>74</v>
      </c>
      <c r="P426" t="s">
        <v>74</v>
      </c>
      <c r="Q426" t="s">
        <v>74</v>
      </c>
      <c r="R426" t="s">
        <v>74</v>
      </c>
      <c r="S426" t="s">
        <v>74</v>
      </c>
      <c r="T426" t="s">
        <v>4200</v>
      </c>
      <c r="U426" t="s">
        <v>4201</v>
      </c>
      <c r="V426" t="s">
        <v>4202</v>
      </c>
      <c r="W426" t="s">
        <v>4203</v>
      </c>
      <c r="X426" t="s">
        <v>4204</v>
      </c>
      <c r="Y426" t="s">
        <v>4205</v>
      </c>
      <c r="Z426" t="s">
        <v>4206</v>
      </c>
      <c r="AA426" t="s">
        <v>4207</v>
      </c>
      <c r="AB426" t="s">
        <v>4208</v>
      </c>
      <c r="AC426" t="s">
        <v>4209</v>
      </c>
      <c r="AD426" t="s">
        <v>4209</v>
      </c>
      <c r="AE426" t="s">
        <v>4210</v>
      </c>
      <c r="AF426" t="s">
        <v>74</v>
      </c>
      <c r="AG426">
        <v>56</v>
      </c>
      <c r="AH426">
        <v>46</v>
      </c>
      <c r="AI426">
        <v>47</v>
      </c>
      <c r="AJ426">
        <v>24</v>
      </c>
      <c r="AK426">
        <v>188</v>
      </c>
      <c r="AL426" t="s">
        <v>144</v>
      </c>
      <c r="AM426" t="s">
        <v>145</v>
      </c>
      <c r="AN426" t="s">
        <v>146</v>
      </c>
      <c r="AO426" t="s">
        <v>147</v>
      </c>
      <c r="AP426" t="s">
        <v>148</v>
      </c>
      <c r="AQ426" t="s">
        <v>74</v>
      </c>
      <c r="AR426" t="s">
        <v>149</v>
      </c>
      <c r="AS426" t="s">
        <v>150</v>
      </c>
      <c r="AT426" t="s">
        <v>348</v>
      </c>
      <c r="AU426">
        <v>2019</v>
      </c>
      <c r="AV426">
        <v>56</v>
      </c>
      <c r="AW426">
        <v>6</v>
      </c>
      <c r="AX426" t="s">
        <v>74</v>
      </c>
      <c r="AY426" t="s">
        <v>74</v>
      </c>
      <c r="AZ426" t="s">
        <v>74</v>
      </c>
      <c r="BA426" t="s">
        <v>74</v>
      </c>
      <c r="BB426">
        <v>918</v>
      </c>
      <c r="BC426">
        <v>943</v>
      </c>
      <c r="BD426" t="s">
        <v>74</v>
      </c>
      <c r="BE426" t="s">
        <v>4211</v>
      </c>
      <c r="BF426" t="str">
        <f>HYPERLINK("http://dx.doi.org/10.1177/0022243719866690","http://dx.doi.org/10.1177/0022243719866690")</f>
        <v>http://dx.doi.org/10.1177/0022243719866690</v>
      </c>
      <c r="BG426" t="s">
        <v>74</v>
      </c>
      <c r="BH426" t="s">
        <v>74</v>
      </c>
      <c r="BI426">
        <v>26</v>
      </c>
      <c r="BJ426" t="s">
        <v>153</v>
      </c>
      <c r="BK426" t="s">
        <v>101</v>
      </c>
      <c r="BL426" t="s">
        <v>154</v>
      </c>
      <c r="BM426" t="s">
        <v>350</v>
      </c>
      <c r="BN426" t="s">
        <v>74</v>
      </c>
      <c r="BO426" t="s">
        <v>74</v>
      </c>
      <c r="BP426" t="s">
        <v>74</v>
      </c>
      <c r="BQ426" t="s">
        <v>74</v>
      </c>
      <c r="BR426" t="s">
        <v>6098</v>
      </c>
      <c r="BS426" t="s">
        <v>4212</v>
      </c>
      <c r="BT426" t="str">
        <f>HYPERLINK("https%3A%2F%2Fwww.webofscience.com%2Fwos%2Fwoscc%2Ffull-record%2FWOS:000500198400002","View Full Record in Web of Science")</f>
        <v>View Full Record in Web of Science</v>
      </c>
      <c r="BU426" t="s">
        <v>6100</v>
      </c>
      <c r="BV426" s="1" t="s">
        <v>6080</v>
      </c>
      <c r="BW426" s="1" t="s">
        <v>6080</v>
      </c>
    </row>
    <row r="427" spans="1:75" x14ac:dyDescent="0.35">
      <c r="A427" t="s">
        <v>72</v>
      </c>
      <c r="B427" t="s">
        <v>8388</v>
      </c>
      <c r="C427" t="s">
        <v>74</v>
      </c>
      <c r="D427" t="s">
        <v>74</v>
      </c>
      <c r="E427" t="s">
        <v>74</v>
      </c>
      <c r="F427" t="s">
        <v>8389</v>
      </c>
      <c r="G427" t="s">
        <v>74</v>
      </c>
      <c r="H427" t="s">
        <v>74</v>
      </c>
      <c r="I427" t="s">
        <v>8390</v>
      </c>
      <c r="J427" t="s">
        <v>6202</v>
      </c>
      <c r="K427" t="s">
        <v>74</v>
      </c>
      <c r="L427" t="s">
        <v>74</v>
      </c>
      <c r="M427" t="s">
        <v>78</v>
      </c>
      <c r="N427" t="s">
        <v>79</v>
      </c>
      <c r="O427" t="s">
        <v>74</v>
      </c>
      <c r="P427" t="s">
        <v>74</v>
      </c>
      <c r="Q427" t="s">
        <v>74</v>
      </c>
      <c r="R427" t="s">
        <v>74</v>
      </c>
      <c r="S427" t="s">
        <v>74</v>
      </c>
      <c r="T427" t="s">
        <v>8391</v>
      </c>
      <c r="U427" t="s">
        <v>8392</v>
      </c>
      <c r="V427" t="s">
        <v>8393</v>
      </c>
      <c r="W427" t="s">
        <v>8394</v>
      </c>
      <c r="X427" t="s">
        <v>8395</v>
      </c>
      <c r="Y427" t="s">
        <v>8396</v>
      </c>
      <c r="Z427" t="s">
        <v>8397</v>
      </c>
      <c r="AA427" t="s">
        <v>8398</v>
      </c>
      <c r="AB427" t="s">
        <v>8399</v>
      </c>
      <c r="AC427" t="s">
        <v>74</v>
      </c>
      <c r="AD427" t="s">
        <v>74</v>
      </c>
      <c r="AE427" t="s">
        <v>74</v>
      </c>
      <c r="AF427" t="s">
        <v>74</v>
      </c>
      <c r="AG427">
        <v>60</v>
      </c>
      <c r="AH427">
        <v>3</v>
      </c>
      <c r="AI427">
        <v>3</v>
      </c>
      <c r="AJ427">
        <v>13</v>
      </c>
      <c r="AK427">
        <v>41</v>
      </c>
      <c r="AL427" t="s">
        <v>820</v>
      </c>
      <c r="AM427" t="s">
        <v>2119</v>
      </c>
      <c r="AN427" t="s">
        <v>2120</v>
      </c>
      <c r="AO427" t="s">
        <v>6211</v>
      </c>
      <c r="AP427" t="s">
        <v>6212</v>
      </c>
      <c r="AQ427" t="s">
        <v>74</v>
      </c>
      <c r="AR427" t="s">
        <v>6213</v>
      </c>
      <c r="AS427" t="s">
        <v>6214</v>
      </c>
      <c r="AT427" t="s">
        <v>517</v>
      </c>
      <c r="AU427">
        <v>2019</v>
      </c>
      <c r="AV427">
        <v>19</v>
      </c>
      <c r="AW427">
        <v>3</v>
      </c>
      <c r="AX427" t="s">
        <v>74</v>
      </c>
      <c r="AY427" t="s">
        <v>74</v>
      </c>
      <c r="AZ427" t="s">
        <v>74</v>
      </c>
      <c r="BA427" t="s">
        <v>74</v>
      </c>
      <c r="BB427">
        <v>603</v>
      </c>
      <c r="BC427">
        <v>627</v>
      </c>
      <c r="BD427" t="s">
        <v>74</v>
      </c>
      <c r="BE427" t="s">
        <v>8400</v>
      </c>
      <c r="BF427" t="str">
        <f>HYPERLINK("http://dx.doi.org/10.1007/s10660-019-09355-6","http://dx.doi.org/10.1007/s10660-019-09355-6")</f>
        <v>http://dx.doi.org/10.1007/s10660-019-09355-6</v>
      </c>
      <c r="BG427" t="s">
        <v>74</v>
      </c>
      <c r="BH427" t="s">
        <v>74</v>
      </c>
      <c r="BI427">
        <v>25</v>
      </c>
      <c r="BJ427" t="s">
        <v>877</v>
      </c>
      <c r="BK427" t="s">
        <v>101</v>
      </c>
      <c r="BL427" t="s">
        <v>154</v>
      </c>
      <c r="BM427" t="s">
        <v>8401</v>
      </c>
      <c r="BN427" t="s">
        <v>74</v>
      </c>
      <c r="BO427" t="s">
        <v>74</v>
      </c>
      <c r="BP427" t="s">
        <v>74</v>
      </c>
      <c r="BQ427" t="s">
        <v>74</v>
      </c>
      <c r="BR427" t="s">
        <v>6098</v>
      </c>
      <c r="BS427" t="s">
        <v>8402</v>
      </c>
      <c r="BT427" t="str">
        <f>HYPERLINK("https%3A%2F%2Fwww.webofscience.com%2Fwos%2Fwoscc%2Ffull-record%2FWOS:000482479500007","View Full Record in Web of Science")</f>
        <v>View Full Record in Web of Science</v>
      </c>
      <c r="BU427" t="s">
        <v>6100</v>
      </c>
      <c r="BV427" s="1" t="s">
        <v>10653</v>
      </c>
    </row>
    <row r="428" spans="1:75" x14ac:dyDescent="0.35">
      <c r="A428" t="s">
        <v>72</v>
      </c>
      <c r="B428" t="s">
        <v>8629</v>
      </c>
      <c r="C428" t="s">
        <v>74</v>
      </c>
      <c r="D428" t="s">
        <v>74</v>
      </c>
      <c r="E428" t="s">
        <v>74</v>
      </c>
      <c r="F428" t="s">
        <v>8630</v>
      </c>
      <c r="G428" t="s">
        <v>74</v>
      </c>
      <c r="H428" t="s">
        <v>74</v>
      </c>
      <c r="I428" t="s">
        <v>8631</v>
      </c>
      <c r="J428" t="s">
        <v>8158</v>
      </c>
      <c r="K428" t="s">
        <v>74</v>
      </c>
      <c r="L428" t="s">
        <v>74</v>
      </c>
      <c r="M428" t="s">
        <v>78</v>
      </c>
      <c r="N428" t="s">
        <v>79</v>
      </c>
      <c r="O428" t="s">
        <v>74</v>
      </c>
      <c r="P428" t="s">
        <v>74</v>
      </c>
      <c r="Q428" t="s">
        <v>74</v>
      </c>
      <c r="R428" t="s">
        <v>74</v>
      </c>
      <c r="S428" t="s">
        <v>74</v>
      </c>
      <c r="T428" t="s">
        <v>8632</v>
      </c>
      <c r="U428" t="s">
        <v>8633</v>
      </c>
      <c r="V428" t="s">
        <v>8634</v>
      </c>
      <c r="W428" t="s">
        <v>8635</v>
      </c>
      <c r="X428" t="s">
        <v>8636</v>
      </c>
      <c r="Y428" t="s">
        <v>8637</v>
      </c>
      <c r="Z428" t="s">
        <v>8638</v>
      </c>
      <c r="AA428" t="s">
        <v>8639</v>
      </c>
      <c r="AB428" t="s">
        <v>8640</v>
      </c>
      <c r="AC428" t="s">
        <v>8325</v>
      </c>
      <c r="AD428" t="s">
        <v>6716</v>
      </c>
      <c r="AE428" t="s">
        <v>8641</v>
      </c>
      <c r="AF428" t="s">
        <v>74</v>
      </c>
      <c r="AG428">
        <v>124</v>
      </c>
      <c r="AH428">
        <v>48</v>
      </c>
      <c r="AI428">
        <v>48</v>
      </c>
      <c r="AJ428">
        <v>14</v>
      </c>
      <c r="AK428">
        <v>172</v>
      </c>
      <c r="AL428" t="s">
        <v>1180</v>
      </c>
      <c r="AM428" t="s">
        <v>1181</v>
      </c>
      <c r="AN428" t="s">
        <v>1182</v>
      </c>
      <c r="AO428" t="s">
        <v>8167</v>
      </c>
      <c r="AP428" t="s">
        <v>8168</v>
      </c>
      <c r="AQ428" t="s">
        <v>74</v>
      </c>
      <c r="AR428" t="s">
        <v>8169</v>
      </c>
      <c r="AS428" t="s">
        <v>8170</v>
      </c>
      <c r="AT428" t="s">
        <v>8642</v>
      </c>
      <c r="AU428">
        <v>2019</v>
      </c>
      <c r="AV428">
        <v>28</v>
      </c>
      <c r="AW428">
        <v>2</v>
      </c>
      <c r="AX428" t="s">
        <v>74</v>
      </c>
      <c r="AY428" t="s">
        <v>74</v>
      </c>
      <c r="AZ428" t="s">
        <v>74</v>
      </c>
      <c r="BA428" t="s">
        <v>74</v>
      </c>
      <c r="BB428">
        <v>147</v>
      </c>
      <c r="BC428">
        <v>171</v>
      </c>
      <c r="BD428" t="s">
        <v>74</v>
      </c>
      <c r="BE428" t="s">
        <v>8643</v>
      </c>
      <c r="BF428" t="str">
        <f>HYPERLINK("http://dx.doi.org/10.1080/19368623.2018.1506375","http://dx.doi.org/10.1080/19368623.2018.1506375")</f>
        <v>http://dx.doi.org/10.1080/19368623.2018.1506375</v>
      </c>
      <c r="BG428" t="s">
        <v>74</v>
      </c>
      <c r="BH428" t="s">
        <v>74</v>
      </c>
      <c r="BI428">
        <v>25</v>
      </c>
      <c r="BJ428" t="s">
        <v>8172</v>
      </c>
      <c r="BK428" t="s">
        <v>101</v>
      </c>
      <c r="BL428" t="s">
        <v>7215</v>
      </c>
      <c r="BM428" t="s">
        <v>8644</v>
      </c>
      <c r="BN428" t="s">
        <v>74</v>
      </c>
      <c r="BO428" t="s">
        <v>74</v>
      </c>
      <c r="BP428" t="s">
        <v>74</v>
      </c>
      <c r="BQ428" t="s">
        <v>74</v>
      </c>
      <c r="BR428" t="s">
        <v>6098</v>
      </c>
      <c r="BS428" t="s">
        <v>8645</v>
      </c>
      <c r="BT428" t="str">
        <f>HYPERLINK("https%3A%2F%2Fwww.webofscience.com%2Fwos%2Fwoscc%2Ffull-record%2FWOS:000456485900001","View Full Record in Web of Science")</f>
        <v>View Full Record in Web of Science</v>
      </c>
      <c r="BU428" t="s">
        <v>6100</v>
      </c>
      <c r="BV428" s="1" t="s">
        <v>6080</v>
      </c>
      <c r="BW428" s="1" t="s">
        <v>6080</v>
      </c>
    </row>
    <row r="429" spans="1:75" x14ac:dyDescent="0.35">
      <c r="A429" t="s">
        <v>72</v>
      </c>
      <c r="B429" t="s">
        <v>8772</v>
      </c>
      <c r="C429" t="s">
        <v>74</v>
      </c>
      <c r="D429" t="s">
        <v>74</v>
      </c>
      <c r="E429" t="s">
        <v>74</v>
      </c>
      <c r="F429" t="s">
        <v>5884</v>
      </c>
      <c r="G429" t="s">
        <v>74</v>
      </c>
      <c r="H429" t="s">
        <v>74</v>
      </c>
      <c r="I429" t="s">
        <v>5908</v>
      </c>
      <c r="J429" t="s">
        <v>2057</v>
      </c>
      <c r="K429" t="s">
        <v>74</v>
      </c>
      <c r="L429" t="s">
        <v>74</v>
      </c>
      <c r="M429" t="s">
        <v>78</v>
      </c>
      <c r="N429" t="s">
        <v>110</v>
      </c>
      <c r="O429" t="s">
        <v>74</v>
      </c>
      <c r="P429" t="s">
        <v>74</v>
      </c>
      <c r="Q429" t="s">
        <v>74</v>
      </c>
      <c r="R429" t="s">
        <v>74</v>
      </c>
      <c r="S429" t="s">
        <v>74</v>
      </c>
      <c r="T429" t="s">
        <v>8773</v>
      </c>
      <c r="U429" t="s">
        <v>8774</v>
      </c>
      <c r="V429" t="s">
        <v>6003</v>
      </c>
      <c r="W429" t="s">
        <v>8775</v>
      </c>
      <c r="X429" t="s">
        <v>8776</v>
      </c>
      <c r="Y429" t="s">
        <v>8777</v>
      </c>
      <c r="Z429" t="s">
        <v>8778</v>
      </c>
      <c r="AA429" t="s">
        <v>74</v>
      </c>
      <c r="AB429" t="s">
        <v>8779</v>
      </c>
      <c r="AC429" t="s">
        <v>74</v>
      </c>
      <c r="AD429" t="s">
        <v>74</v>
      </c>
      <c r="AE429" t="s">
        <v>74</v>
      </c>
      <c r="AF429" t="s">
        <v>74</v>
      </c>
      <c r="AG429">
        <v>81</v>
      </c>
      <c r="AH429">
        <v>70</v>
      </c>
      <c r="AI429">
        <v>70</v>
      </c>
      <c r="AJ429">
        <v>13</v>
      </c>
      <c r="AK429">
        <v>123</v>
      </c>
      <c r="AL429" t="s">
        <v>324</v>
      </c>
      <c r="AM429" t="s">
        <v>325</v>
      </c>
      <c r="AN429" t="s">
        <v>2004</v>
      </c>
      <c r="AO429" t="s">
        <v>2058</v>
      </c>
      <c r="AP429" t="s">
        <v>2059</v>
      </c>
      <c r="AQ429" t="s">
        <v>74</v>
      </c>
      <c r="AR429" t="s">
        <v>2060</v>
      </c>
      <c r="AS429" t="s">
        <v>2061</v>
      </c>
      <c r="AT429" t="s">
        <v>258</v>
      </c>
      <c r="AU429">
        <v>2019</v>
      </c>
      <c r="AV429">
        <v>48</v>
      </c>
      <c r="AW429" t="s">
        <v>74</v>
      </c>
      <c r="AX429" t="s">
        <v>74</v>
      </c>
      <c r="AY429" t="s">
        <v>74</v>
      </c>
      <c r="AZ429" t="s">
        <v>74</v>
      </c>
      <c r="BA429" t="s">
        <v>74</v>
      </c>
      <c r="BB429">
        <v>33</v>
      </c>
      <c r="BC429">
        <v>50</v>
      </c>
      <c r="BD429" t="s">
        <v>74</v>
      </c>
      <c r="BE429" t="s">
        <v>8780</v>
      </c>
      <c r="BF429" t="str">
        <f>HYPERLINK("http://dx.doi.org/10.1016/j.intmar.2018.12.003","http://dx.doi.org/10.1016/j.intmar.2018.12.003")</f>
        <v>http://dx.doi.org/10.1016/j.intmar.2018.12.003</v>
      </c>
      <c r="BG429" t="s">
        <v>74</v>
      </c>
      <c r="BH429" t="s">
        <v>74</v>
      </c>
      <c r="BI429">
        <v>18</v>
      </c>
      <c r="BJ429" t="s">
        <v>153</v>
      </c>
      <c r="BK429" t="s">
        <v>101</v>
      </c>
      <c r="BL429" t="s">
        <v>154</v>
      </c>
      <c r="BM429" t="s">
        <v>5151</v>
      </c>
      <c r="BN429" t="s">
        <v>74</v>
      </c>
      <c r="BO429" t="s">
        <v>74</v>
      </c>
      <c r="BP429" t="s">
        <v>74</v>
      </c>
      <c r="BQ429" t="s">
        <v>74</v>
      </c>
      <c r="BR429" t="s">
        <v>6098</v>
      </c>
      <c r="BS429" t="s">
        <v>8781</v>
      </c>
      <c r="BT429" t="str">
        <f>HYPERLINK("https%3A%2F%2Fwww.webofscience.com%2Fwos%2Fwoscc%2Ffull-record%2FWOS:000495146900003","View Full Record in Web of Science")</f>
        <v>View Full Record in Web of Science</v>
      </c>
      <c r="BU429" t="s">
        <v>6100</v>
      </c>
      <c r="BV429" s="1" t="s">
        <v>6080</v>
      </c>
      <c r="BW429" s="1" t="s">
        <v>6080</v>
      </c>
    </row>
    <row r="430" spans="1:75" x14ac:dyDescent="0.35">
      <c r="A430" t="s">
        <v>72</v>
      </c>
      <c r="B430" t="s">
        <v>6529</v>
      </c>
      <c r="C430" t="s">
        <v>74</v>
      </c>
      <c r="D430" t="s">
        <v>74</v>
      </c>
      <c r="E430" t="s">
        <v>74</v>
      </c>
      <c r="F430" t="s">
        <v>6530</v>
      </c>
      <c r="G430" t="s">
        <v>74</v>
      </c>
      <c r="H430" t="s">
        <v>74</v>
      </c>
      <c r="I430" t="s">
        <v>6531</v>
      </c>
      <c r="J430" t="s">
        <v>6330</v>
      </c>
      <c r="K430" t="s">
        <v>74</v>
      </c>
      <c r="L430" t="s">
        <v>74</v>
      </c>
      <c r="M430" t="s">
        <v>78</v>
      </c>
      <c r="N430" t="s">
        <v>79</v>
      </c>
      <c r="O430" t="s">
        <v>74</v>
      </c>
      <c r="P430" t="s">
        <v>74</v>
      </c>
      <c r="Q430" t="s">
        <v>74</v>
      </c>
      <c r="R430" t="s">
        <v>74</v>
      </c>
      <c r="S430" t="s">
        <v>74</v>
      </c>
      <c r="T430" t="s">
        <v>6532</v>
      </c>
      <c r="U430" t="s">
        <v>6533</v>
      </c>
      <c r="V430" t="s">
        <v>6534</v>
      </c>
      <c r="W430" t="s">
        <v>6535</v>
      </c>
      <c r="X430" t="s">
        <v>6536</v>
      </c>
      <c r="Y430" t="s">
        <v>6537</v>
      </c>
      <c r="Z430" t="s">
        <v>6538</v>
      </c>
      <c r="AA430" t="s">
        <v>6539</v>
      </c>
      <c r="AB430" t="s">
        <v>6540</v>
      </c>
      <c r="AC430" t="s">
        <v>74</v>
      </c>
      <c r="AD430" t="s">
        <v>74</v>
      </c>
      <c r="AE430" t="s">
        <v>74</v>
      </c>
      <c r="AF430" t="s">
        <v>74</v>
      </c>
      <c r="AG430">
        <v>48</v>
      </c>
      <c r="AH430">
        <v>23</v>
      </c>
      <c r="AI430">
        <v>23</v>
      </c>
      <c r="AJ430">
        <v>12</v>
      </c>
      <c r="AK430">
        <v>15</v>
      </c>
      <c r="AL430" t="s">
        <v>1180</v>
      </c>
      <c r="AM430" t="s">
        <v>1181</v>
      </c>
      <c r="AN430" t="s">
        <v>1182</v>
      </c>
      <c r="AO430" t="s">
        <v>6339</v>
      </c>
      <c r="AP430" t="s">
        <v>6340</v>
      </c>
      <c r="AQ430" t="s">
        <v>74</v>
      </c>
      <c r="AR430" t="s">
        <v>6341</v>
      </c>
      <c r="AS430" t="s">
        <v>6342</v>
      </c>
      <c r="AT430" t="s">
        <v>6541</v>
      </c>
      <c r="AU430">
        <v>2021</v>
      </c>
      <c r="AV430">
        <v>40</v>
      </c>
      <c r="AW430">
        <v>2</v>
      </c>
      <c r="AX430" t="s">
        <v>74</v>
      </c>
      <c r="AY430" t="s">
        <v>74</v>
      </c>
      <c r="AZ430" t="s">
        <v>74</v>
      </c>
      <c r="BA430" t="s">
        <v>74</v>
      </c>
      <c r="BB430">
        <v>148</v>
      </c>
      <c r="BC430">
        <v>174</v>
      </c>
      <c r="BD430" t="s">
        <v>74</v>
      </c>
      <c r="BE430" t="s">
        <v>6542</v>
      </c>
      <c r="BF430" t="str">
        <f>HYPERLINK("http://dx.doi.org/10.1080/02650487.2020.1756655","http://dx.doi.org/10.1080/02650487.2020.1756655")</f>
        <v>http://dx.doi.org/10.1080/02650487.2020.1756655</v>
      </c>
      <c r="BG430" t="s">
        <v>74</v>
      </c>
      <c r="BH430" t="s">
        <v>5003</v>
      </c>
      <c r="BI430">
        <v>27</v>
      </c>
      <c r="BJ430" t="s">
        <v>2010</v>
      </c>
      <c r="BK430" t="s">
        <v>101</v>
      </c>
      <c r="BL430" t="s">
        <v>2011</v>
      </c>
      <c r="BM430" t="s">
        <v>6543</v>
      </c>
      <c r="BN430" t="s">
        <v>74</v>
      </c>
      <c r="BO430" t="s">
        <v>74</v>
      </c>
      <c r="BP430" t="s">
        <v>74</v>
      </c>
      <c r="BQ430" t="s">
        <v>74</v>
      </c>
      <c r="BR430" t="s">
        <v>6098</v>
      </c>
      <c r="BS430" t="s">
        <v>6544</v>
      </c>
      <c r="BT430" t="str">
        <f>HYPERLINK("https%3A%2F%2Fwww.webofscience.com%2Fwos%2Fwoscc%2Ffull-record%2FWOS:000528460900001","View Full Record in Web of Science")</f>
        <v>View Full Record in Web of Science</v>
      </c>
      <c r="BU430" t="s">
        <v>6100</v>
      </c>
      <c r="BV430" s="1" t="s">
        <v>6080</v>
      </c>
      <c r="BW430" s="1" t="s">
        <v>10653</v>
      </c>
    </row>
    <row r="431" spans="1:75" x14ac:dyDescent="0.35">
      <c r="A431" t="s">
        <v>72</v>
      </c>
      <c r="B431" t="s">
        <v>1850</v>
      </c>
      <c r="C431" t="s">
        <v>74</v>
      </c>
      <c r="D431" t="s">
        <v>74</v>
      </c>
      <c r="E431" t="s">
        <v>74</v>
      </c>
      <c r="F431" t="s">
        <v>1851</v>
      </c>
      <c r="G431" t="s">
        <v>74</v>
      </c>
      <c r="H431" t="s">
        <v>74</v>
      </c>
      <c r="I431" t="s">
        <v>1852</v>
      </c>
      <c r="J431" t="s">
        <v>136</v>
      </c>
      <c r="K431" t="s">
        <v>74</v>
      </c>
      <c r="L431" t="s">
        <v>74</v>
      </c>
      <c r="M431" t="s">
        <v>78</v>
      </c>
      <c r="N431" t="s">
        <v>79</v>
      </c>
      <c r="O431" t="s">
        <v>74</v>
      </c>
      <c r="P431" t="s">
        <v>74</v>
      </c>
      <c r="Q431" t="s">
        <v>74</v>
      </c>
      <c r="R431" t="s">
        <v>74</v>
      </c>
      <c r="S431" t="s">
        <v>74</v>
      </c>
      <c r="T431" t="s">
        <v>1853</v>
      </c>
      <c r="U431" t="s">
        <v>1854</v>
      </c>
      <c r="V431" t="s">
        <v>1855</v>
      </c>
      <c r="W431" t="s">
        <v>1856</v>
      </c>
      <c r="X431" t="s">
        <v>1857</v>
      </c>
      <c r="Y431" t="s">
        <v>1858</v>
      </c>
      <c r="Z431" t="s">
        <v>1859</v>
      </c>
      <c r="AA431" t="s">
        <v>74</v>
      </c>
      <c r="AB431" t="s">
        <v>74</v>
      </c>
      <c r="AC431" t="s">
        <v>74</v>
      </c>
      <c r="AD431" t="s">
        <v>74</v>
      </c>
      <c r="AE431" t="s">
        <v>74</v>
      </c>
      <c r="AF431" t="s">
        <v>74</v>
      </c>
      <c r="AG431">
        <v>74</v>
      </c>
      <c r="AH431">
        <v>48</v>
      </c>
      <c r="AI431">
        <v>49</v>
      </c>
      <c r="AJ431">
        <v>15</v>
      </c>
      <c r="AK431">
        <v>121</v>
      </c>
      <c r="AL431" t="s">
        <v>144</v>
      </c>
      <c r="AM431" t="s">
        <v>145</v>
      </c>
      <c r="AN431" t="s">
        <v>146</v>
      </c>
      <c r="AO431" t="s">
        <v>147</v>
      </c>
      <c r="AP431" t="s">
        <v>148</v>
      </c>
      <c r="AQ431" t="s">
        <v>74</v>
      </c>
      <c r="AR431" t="s">
        <v>149</v>
      </c>
      <c r="AS431" t="s">
        <v>150</v>
      </c>
      <c r="AT431" t="s">
        <v>177</v>
      </c>
      <c r="AU431">
        <v>2019</v>
      </c>
      <c r="AV431">
        <v>56</v>
      </c>
      <c r="AW431">
        <v>1</v>
      </c>
      <c r="AX431" t="s">
        <v>74</v>
      </c>
      <c r="AY431" t="s">
        <v>74</v>
      </c>
      <c r="AZ431" t="s">
        <v>74</v>
      </c>
      <c r="BA431" t="s">
        <v>74</v>
      </c>
      <c r="BB431">
        <v>18</v>
      </c>
      <c r="BC431">
        <v>36</v>
      </c>
      <c r="BD431" t="s">
        <v>74</v>
      </c>
      <c r="BE431" t="s">
        <v>1860</v>
      </c>
      <c r="BF431" t="str">
        <f>HYPERLINK("http://dx.doi.org/10.1177/0022243718820559","http://dx.doi.org/10.1177/0022243718820559")</f>
        <v>http://dx.doi.org/10.1177/0022243718820559</v>
      </c>
      <c r="BG431" t="s">
        <v>74</v>
      </c>
      <c r="BH431" t="s">
        <v>74</v>
      </c>
      <c r="BI431">
        <v>19</v>
      </c>
      <c r="BJ431" t="s">
        <v>153</v>
      </c>
      <c r="BK431" t="s">
        <v>101</v>
      </c>
      <c r="BL431" t="s">
        <v>154</v>
      </c>
      <c r="BM431" t="s">
        <v>1861</v>
      </c>
      <c r="BN431" t="s">
        <v>74</v>
      </c>
      <c r="BO431" t="s">
        <v>662</v>
      </c>
      <c r="BP431" t="s">
        <v>74</v>
      </c>
      <c r="BQ431" t="s">
        <v>74</v>
      </c>
      <c r="BR431" t="s">
        <v>6098</v>
      </c>
      <c r="BS431" t="s">
        <v>1862</v>
      </c>
      <c r="BT431" t="str">
        <f>HYPERLINK("https%3A%2F%2Fwww.webofscience.com%2Fwos%2Fwoscc%2Ffull-record%2FWOS:000456817200002","View Full Record in Web of Science")</f>
        <v>View Full Record in Web of Science</v>
      </c>
      <c r="BU431" t="s">
        <v>6100</v>
      </c>
      <c r="BV431" s="1" t="s">
        <v>6080</v>
      </c>
      <c r="BW431" s="1" t="s">
        <v>6080</v>
      </c>
    </row>
    <row r="432" spans="1:75" ht="304.5" x14ac:dyDescent="0.35">
      <c r="A432" t="s">
        <v>72</v>
      </c>
      <c r="B432" t="s">
        <v>8956</v>
      </c>
      <c r="C432" t="s">
        <v>74</v>
      </c>
      <c r="D432" t="s">
        <v>74</v>
      </c>
      <c r="E432" t="s">
        <v>74</v>
      </c>
      <c r="F432" t="s">
        <v>8957</v>
      </c>
      <c r="G432" t="s">
        <v>74</v>
      </c>
      <c r="H432" t="s">
        <v>74</v>
      </c>
      <c r="I432" t="s">
        <v>8958</v>
      </c>
      <c r="J432" t="s">
        <v>6330</v>
      </c>
      <c r="K432" t="s">
        <v>74</v>
      </c>
      <c r="L432" t="s">
        <v>74</v>
      </c>
      <c r="M432" t="s">
        <v>78</v>
      </c>
      <c r="N432" t="s">
        <v>79</v>
      </c>
      <c r="O432" t="s">
        <v>74</v>
      </c>
      <c r="P432" t="s">
        <v>74</v>
      </c>
      <c r="Q432" t="s">
        <v>74</v>
      </c>
      <c r="R432" t="s">
        <v>74</v>
      </c>
      <c r="S432" t="s">
        <v>74</v>
      </c>
      <c r="T432" t="s">
        <v>8959</v>
      </c>
      <c r="U432" t="s">
        <v>8960</v>
      </c>
      <c r="V432" s="1" t="s">
        <v>8961</v>
      </c>
      <c r="W432" t="s">
        <v>8962</v>
      </c>
      <c r="X432" t="s">
        <v>8963</v>
      </c>
      <c r="Y432" t="s">
        <v>8964</v>
      </c>
      <c r="Z432" t="s">
        <v>8965</v>
      </c>
      <c r="AA432" t="s">
        <v>74</v>
      </c>
      <c r="AB432" t="s">
        <v>8966</v>
      </c>
      <c r="AC432" t="s">
        <v>74</v>
      </c>
      <c r="AD432" t="s">
        <v>74</v>
      </c>
      <c r="AE432" t="s">
        <v>74</v>
      </c>
      <c r="AF432" t="s">
        <v>74</v>
      </c>
      <c r="AG432">
        <v>56</v>
      </c>
      <c r="AH432">
        <v>9</v>
      </c>
      <c r="AI432">
        <v>10</v>
      </c>
      <c r="AJ432">
        <v>2</v>
      </c>
      <c r="AK432">
        <v>27</v>
      </c>
      <c r="AL432" t="s">
        <v>1180</v>
      </c>
      <c r="AM432" t="s">
        <v>1181</v>
      </c>
      <c r="AN432" t="s">
        <v>1182</v>
      </c>
      <c r="AO432" t="s">
        <v>6339</v>
      </c>
      <c r="AP432" t="s">
        <v>6340</v>
      </c>
      <c r="AQ432" t="s">
        <v>74</v>
      </c>
      <c r="AR432" t="s">
        <v>6341</v>
      </c>
      <c r="AS432" t="s">
        <v>6342</v>
      </c>
      <c r="AT432" t="s">
        <v>6343</v>
      </c>
      <c r="AU432">
        <v>2019</v>
      </c>
      <c r="AV432">
        <v>38</v>
      </c>
      <c r="AW432">
        <v>4</v>
      </c>
      <c r="AX432" t="s">
        <v>74</v>
      </c>
      <c r="AY432" t="s">
        <v>74</v>
      </c>
      <c r="AZ432" t="s">
        <v>259</v>
      </c>
      <c r="BA432" t="s">
        <v>74</v>
      </c>
      <c r="BB432">
        <v>563</v>
      </c>
      <c r="BC432">
        <v>576</v>
      </c>
      <c r="BD432" t="s">
        <v>74</v>
      </c>
      <c r="BE432" t="s">
        <v>8967</v>
      </c>
      <c r="BF432" t="str">
        <f>HYPERLINK("http://dx.doi.org/10.1080/02650487.2019.1601910","http://dx.doi.org/10.1080/02650487.2019.1601910")</f>
        <v>http://dx.doi.org/10.1080/02650487.2019.1601910</v>
      </c>
      <c r="BG432" t="s">
        <v>74</v>
      </c>
      <c r="BH432" t="s">
        <v>8968</v>
      </c>
      <c r="BI432">
        <v>14</v>
      </c>
      <c r="BJ432" t="s">
        <v>2010</v>
      </c>
      <c r="BK432" t="s">
        <v>101</v>
      </c>
      <c r="BL432" t="s">
        <v>2011</v>
      </c>
      <c r="BM432" t="s">
        <v>8969</v>
      </c>
      <c r="BN432" t="s">
        <v>74</v>
      </c>
      <c r="BO432" t="s">
        <v>74</v>
      </c>
      <c r="BP432" t="s">
        <v>74</v>
      </c>
      <c r="BQ432" t="s">
        <v>74</v>
      </c>
      <c r="BR432" t="s">
        <v>6098</v>
      </c>
      <c r="BS432" t="s">
        <v>8970</v>
      </c>
      <c r="BT432" t="str">
        <f>HYPERLINK("https%3A%2F%2Fwww.webofscience.com%2Fwos%2Fwoscc%2Ffull-record%2FWOS:000470374200001","View Full Record in Web of Science")</f>
        <v>View Full Record in Web of Science</v>
      </c>
      <c r="BU432" t="s">
        <v>6100</v>
      </c>
      <c r="BV432" s="1" t="s">
        <v>6080</v>
      </c>
      <c r="BW432" s="1" t="s">
        <v>6080</v>
      </c>
    </row>
    <row r="433" spans="1:75" x14ac:dyDescent="0.35">
      <c r="A433" t="s">
        <v>72</v>
      </c>
      <c r="B433" t="s">
        <v>9063</v>
      </c>
      <c r="C433" t="s">
        <v>74</v>
      </c>
      <c r="D433" t="s">
        <v>74</v>
      </c>
      <c r="E433" t="s">
        <v>74</v>
      </c>
      <c r="F433" t="s">
        <v>9064</v>
      </c>
      <c r="G433" t="s">
        <v>74</v>
      </c>
      <c r="H433" t="s">
        <v>74</v>
      </c>
      <c r="I433" t="s">
        <v>5930</v>
      </c>
      <c r="J433" t="s">
        <v>161</v>
      </c>
      <c r="K433" t="s">
        <v>74</v>
      </c>
      <c r="L433" t="s">
        <v>74</v>
      </c>
      <c r="M433" t="s">
        <v>78</v>
      </c>
      <c r="N433" t="s">
        <v>79</v>
      </c>
      <c r="O433" t="s">
        <v>74</v>
      </c>
      <c r="P433" t="s">
        <v>74</v>
      </c>
      <c r="Q433" t="s">
        <v>74</v>
      </c>
      <c r="R433" t="s">
        <v>74</v>
      </c>
      <c r="S433" t="s">
        <v>74</v>
      </c>
      <c r="T433" t="s">
        <v>9065</v>
      </c>
      <c r="U433" t="s">
        <v>9066</v>
      </c>
      <c r="V433" t="s">
        <v>9067</v>
      </c>
      <c r="W433" t="s">
        <v>9068</v>
      </c>
      <c r="X433" t="s">
        <v>9069</v>
      </c>
      <c r="Y433" t="s">
        <v>9070</v>
      </c>
      <c r="Z433" t="s">
        <v>9071</v>
      </c>
      <c r="AA433" t="s">
        <v>9072</v>
      </c>
      <c r="AB433" t="s">
        <v>1179</v>
      </c>
      <c r="AC433" t="s">
        <v>9073</v>
      </c>
      <c r="AD433" t="s">
        <v>1794</v>
      </c>
      <c r="AE433" t="s">
        <v>9074</v>
      </c>
      <c r="AF433" t="s">
        <v>74</v>
      </c>
      <c r="AG433">
        <v>91</v>
      </c>
      <c r="AH433">
        <v>53</v>
      </c>
      <c r="AI433">
        <v>53</v>
      </c>
      <c r="AJ433">
        <v>41</v>
      </c>
      <c r="AK433">
        <v>255</v>
      </c>
      <c r="AL433" t="s">
        <v>170</v>
      </c>
      <c r="AM433" t="s">
        <v>171</v>
      </c>
      <c r="AN433" t="s">
        <v>172</v>
      </c>
      <c r="AO433" t="s">
        <v>173</v>
      </c>
      <c r="AP433" t="s">
        <v>174</v>
      </c>
      <c r="AQ433" t="s">
        <v>74</v>
      </c>
      <c r="AR433" t="s">
        <v>175</v>
      </c>
      <c r="AS433" t="s">
        <v>176</v>
      </c>
      <c r="AT433" t="s">
        <v>469</v>
      </c>
      <c r="AU433">
        <v>2019</v>
      </c>
      <c r="AV433">
        <v>46</v>
      </c>
      <c r="AW433">
        <v>2</v>
      </c>
      <c r="AX433" t="s">
        <v>74</v>
      </c>
      <c r="AY433" t="s">
        <v>74</v>
      </c>
      <c r="AZ433" t="s">
        <v>74</v>
      </c>
      <c r="BA433" t="s">
        <v>74</v>
      </c>
      <c r="BB433">
        <v>267</v>
      </c>
      <c r="BC433">
        <v>285</v>
      </c>
      <c r="BD433" t="s">
        <v>74</v>
      </c>
      <c r="BE433" t="s">
        <v>9075</v>
      </c>
      <c r="BF433" t="str">
        <f>HYPERLINK("http://dx.doi.org/10.1093/jcr/ucy067","http://dx.doi.org/10.1093/jcr/ucy067")</f>
        <v>http://dx.doi.org/10.1093/jcr/ucy067</v>
      </c>
      <c r="BG433" t="s">
        <v>74</v>
      </c>
      <c r="BH433" t="s">
        <v>74</v>
      </c>
      <c r="BI433">
        <v>19</v>
      </c>
      <c r="BJ433" t="s">
        <v>153</v>
      </c>
      <c r="BK433" t="s">
        <v>101</v>
      </c>
      <c r="BL433" t="s">
        <v>154</v>
      </c>
      <c r="BM433" t="s">
        <v>9076</v>
      </c>
      <c r="BN433" t="s">
        <v>74</v>
      </c>
      <c r="BO433" t="s">
        <v>828</v>
      </c>
      <c r="BP433" t="s">
        <v>74</v>
      </c>
      <c r="BQ433" t="s">
        <v>74</v>
      </c>
      <c r="BR433" t="s">
        <v>6098</v>
      </c>
      <c r="BS433" t="s">
        <v>9077</v>
      </c>
      <c r="BT433" t="str">
        <f>HYPERLINK("https%3A%2F%2Fwww.webofscience.com%2Fwos%2Fwoscc%2Ffull-record%2FWOS:000482137800004","View Full Record in Web of Science")</f>
        <v>View Full Record in Web of Science</v>
      </c>
      <c r="BU433" t="s">
        <v>6100</v>
      </c>
      <c r="BV433" s="1" t="s">
        <v>6080</v>
      </c>
      <c r="BW433" s="1" t="s">
        <v>6080</v>
      </c>
    </row>
    <row r="434" spans="1:75" x14ac:dyDescent="0.35">
      <c r="A434" t="s">
        <v>72</v>
      </c>
      <c r="B434" t="s">
        <v>9078</v>
      </c>
      <c r="C434" t="s">
        <v>74</v>
      </c>
      <c r="D434" t="s">
        <v>74</v>
      </c>
      <c r="E434" t="s">
        <v>74</v>
      </c>
      <c r="F434" t="s">
        <v>9079</v>
      </c>
      <c r="G434" t="s">
        <v>74</v>
      </c>
      <c r="H434" t="s">
        <v>74</v>
      </c>
      <c r="I434" t="s">
        <v>9080</v>
      </c>
      <c r="J434" t="s">
        <v>788</v>
      </c>
      <c r="K434" t="s">
        <v>74</v>
      </c>
      <c r="L434" t="s">
        <v>74</v>
      </c>
      <c r="M434" t="s">
        <v>78</v>
      </c>
      <c r="N434" t="s">
        <v>79</v>
      </c>
      <c r="O434" t="s">
        <v>74</v>
      </c>
      <c r="P434" t="s">
        <v>74</v>
      </c>
      <c r="Q434" t="s">
        <v>74</v>
      </c>
      <c r="R434" t="s">
        <v>74</v>
      </c>
      <c r="S434" t="s">
        <v>74</v>
      </c>
      <c r="T434" t="s">
        <v>9081</v>
      </c>
      <c r="U434" t="s">
        <v>9082</v>
      </c>
      <c r="V434" t="s">
        <v>9083</v>
      </c>
      <c r="W434" t="s">
        <v>9084</v>
      </c>
      <c r="X434" t="s">
        <v>9085</v>
      </c>
      <c r="Y434" t="s">
        <v>9086</v>
      </c>
      <c r="Z434" t="s">
        <v>9087</v>
      </c>
      <c r="AA434" t="s">
        <v>74</v>
      </c>
      <c r="AB434" t="s">
        <v>9088</v>
      </c>
      <c r="AC434" t="s">
        <v>74</v>
      </c>
      <c r="AD434" t="s">
        <v>74</v>
      </c>
      <c r="AE434" t="s">
        <v>74</v>
      </c>
      <c r="AF434" t="s">
        <v>74</v>
      </c>
      <c r="AG434">
        <v>109</v>
      </c>
      <c r="AH434">
        <v>15</v>
      </c>
      <c r="AI434">
        <v>15</v>
      </c>
      <c r="AJ434">
        <v>8</v>
      </c>
      <c r="AK434">
        <v>44</v>
      </c>
      <c r="AL434" t="s">
        <v>409</v>
      </c>
      <c r="AM434" t="s">
        <v>410</v>
      </c>
      <c r="AN434" t="s">
        <v>411</v>
      </c>
      <c r="AO434" t="s">
        <v>800</v>
      </c>
      <c r="AP434" t="s">
        <v>801</v>
      </c>
      <c r="AQ434" t="s">
        <v>74</v>
      </c>
      <c r="AR434" t="s">
        <v>802</v>
      </c>
      <c r="AS434" t="s">
        <v>803</v>
      </c>
      <c r="AT434" t="s">
        <v>348</v>
      </c>
      <c r="AU434">
        <v>2019</v>
      </c>
      <c r="AV434">
        <v>36</v>
      </c>
      <c r="AW434">
        <v>4</v>
      </c>
      <c r="AX434" t="s">
        <v>74</v>
      </c>
      <c r="AY434" t="s">
        <v>74</v>
      </c>
      <c r="AZ434" t="s">
        <v>74</v>
      </c>
      <c r="BA434" t="s">
        <v>74</v>
      </c>
      <c r="BB434">
        <v>509</v>
      </c>
      <c r="BC434">
        <v>527</v>
      </c>
      <c r="BD434" t="s">
        <v>74</v>
      </c>
      <c r="BE434" t="s">
        <v>9089</v>
      </c>
      <c r="BF434" t="str">
        <f>HYPERLINK("http://dx.doi.org/10.1016/j.ijresmar.2019.01.004","http://dx.doi.org/10.1016/j.ijresmar.2019.01.004")</f>
        <v>http://dx.doi.org/10.1016/j.ijresmar.2019.01.004</v>
      </c>
      <c r="BG434" t="s">
        <v>74</v>
      </c>
      <c r="BH434" t="s">
        <v>74</v>
      </c>
      <c r="BI434">
        <v>19</v>
      </c>
      <c r="BJ434" t="s">
        <v>153</v>
      </c>
      <c r="BK434" t="s">
        <v>101</v>
      </c>
      <c r="BL434" t="s">
        <v>154</v>
      </c>
      <c r="BM434" t="s">
        <v>9090</v>
      </c>
      <c r="BN434" t="s">
        <v>74</v>
      </c>
      <c r="BO434" t="s">
        <v>156</v>
      </c>
      <c r="BP434" t="s">
        <v>74</v>
      </c>
      <c r="BQ434" t="s">
        <v>74</v>
      </c>
      <c r="BR434" t="s">
        <v>6098</v>
      </c>
      <c r="BS434" t="s">
        <v>9091</v>
      </c>
      <c r="BT434" t="str">
        <f>HYPERLINK("https%3A%2F%2Fwww.webofscience.com%2Fwos%2Fwoscc%2Ffull-record%2FWOS:000505642900001","View Full Record in Web of Science")</f>
        <v>View Full Record in Web of Science</v>
      </c>
      <c r="BU434" t="s">
        <v>6100</v>
      </c>
      <c r="BV434" s="1" t="s">
        <v>6080</v>
      </c>
      <c r="BW434" s="1" t="s">
        <v>6080</v>
      </c>
    </row>
    <row r="435" spans="1:75" x14ac:dyDescent="0.35">
      <c r="A435" t="s">
        <v>72</v>
      </c>
      <c r="B435" t="s">
        <v>1261</v>
      </c>
      <c r="C435" t="s">
        <v>74</v>
      </c>
      <c r="D435" t="s">
        <v>74</v>
      </c>
      <c r="E435" t="s">
        <v>74</v>
      </c>
      <c r="F435" t="s">
        <v>1262</v>
      </c>
      <c r="G435" t="s">
        <v>74</v>
      </c>
      <c r="H435" t="s">
        <v>74</v>
      </c>
      <c r="I435" t="s">
        <v>1263</v>
      </c>
      <c r="J435" t="s">
        <v>136</v>
      </c>
      <c r="K435" t="s">
        <v>74</v>
      </c>
      <c r="L435" t="s">
        <v>74</v>
      </c>
      <c r="M435" t="s">
        <v>78</v>
      </c>
      <c r="N435" t="s">
        <v>79</v>
      </c>
      <c r="O435" t="s">
        <v>74</v>
      </c>
      <c r="P435" t="s">
        <v>74</v>
      </c>
      <c r="Q435" t="s">
        <v>74</v>
      </c>
      <c r="R435" t="s">
        <v>74</v>
      </c>
      <c r="S435" t="s">
        <v>74</v>
      </c>
      <c r="T435" t="s">
        <v>1264</v>
      </c>
      <c r="U435" t="s">
        <v>1265</v>
      </c>
      <c r="V435" t="s">
        <v>1266</v>
      </c>
      <c r="W435" t="s">
        <v>1267</v>
      </c>
      <c r="X435" t="s">
        <v>1268</v>
      </c>
      <c r="Y435" t="s">
        <v>1269</v>
      </c>
      <c r="Z435" t="s">
        <v>1270</v>
      </c>
      <c r="AA435" t="s">
        <v>1271</v>
      </c>
      <c r="AB435" t="s">
        <v>74</v>
      </c>
      <c r="AC435" t="s">
        <v>74</v>
      </c>
      <c r="AD435" t="s">
        <v>74</v>
      </c>
      <c r="AE435" t="s">
        <v>74</v>
      </c>
      <c r="AF435" t="s">
        <v>74</v>
      </c>
      <c r="AG435">
        <v>42</v>
      </c>
      <c r="AH435">
        <v>65</v>
      </c>
      <c r="AI435">
        <v>65</v>
      </c>
      <c r="AJ435">
        <v>18</v>
      </c>
      <c r="AK435">
        <v>148</v>
      </c>
      <c r="AL435" t="s">
        <v>144</v>
      </c>
      <c r="AM435" t="s">
        <v>145</v>
      </c>
      <c r="AN435" t="s">
        <v>146</v>
      </c>
      <c r="AO435" t="s">
        <v>147</v>
      </c>
      <c r="AP435" t="s">
        <v>148</v>
      </c>
      <c r="AQ435" t="s">
        <v>74</v>
      </c>
      <c r="AR435" t="s">
        <v>149</v>
      </c>
      <c r="AS435" t="s">
        <v>150</v>
      </c>
      <c r="AT435" t="s">
        <v>294</v>
      </c>
      <c r="AU435">
        <v>2019</v>
      </c>
      <c r="AV435">
        <v>56</v>
      </c>
      <c r="AW435">
        <v>2</v>
      </c>
      <c r="AX435" t="s">
        <v>74</v>
      </c>
      <c r="AY435" t="s">
        <v>74</v>
      </c>
      <c r="AZ435" t="s">
        <v>74</v>
      </c>
      <c r="BA435" t="s">
        <v>74</v>
      </c>
      <c r="BB435">
        <v>259</v>
      </c>
      <c r="BC435">
        <v>275</v>
      </c>
      <c r="BD435" t="s">
        <v>74</v>
      </c>
      <c r="BE435" t="s">
        <v>1272</v>
      </c>
      <c r="BF435" t="str">
        <f>HYPERLINK("http://dx.doi.org/10.1177/0022243718815429","http://dx.doi.org/10.1177/0022243718815429")</f>
        <v>http://dx.doi.org/10.1177/0022243718815429</v>
      </c>
      <c r="BG435" t="s">
        <v>74</v>
      </c>
      <c r="BH435" t="s">
        <v>74</v>
      </c>
      <c r="BI435">
        <v>17</v>
      </c>
      <c r="BJ435" t="s">
        <v>153</v>
      </c>
      <c r="BK435" t="s">
        <v>101</v>
      </c>
      <c r="BL435" t="s">
        <v>154</v>
      </c>
      <c r="BM435" t="s">
        <v>1273</v>
      </c>
      <c r="BN435" t="s">
        <v>74</v>
      </c>
      <c r="BO435" t="s">
        <v>74</v>
      </c>
      <c r="BP435" t="s">
        <v>74</v>
      </c>
      <c r="BQ435" t="s">
        <v>74</v>
      </c>
      <c r="BR435" t="s">
        <v>6098</v>
      </c>
      <c r="BS435" t="s">
        <v>1274</v>
      </c>
      <c r="BT435" t="str">
        <f>HYPERLINK("https%3A%2F%2Fwww.webofscience.com%2Fwos%2Fwoscc%2Ffull-record%2FWOS:000461770900006","View Full Record in Web of Science")</f>
        <v>View Full Record in Web of Science</v>
      </c>
      <c r="BU435" t="s">
        <v>6100</v>
      </c>
      <c r="BV435" s="1" t="s">
        <v>6080</v>
      </c>
      <c r="BW435" s="1" t="s">
        <v>6080</v>
      </c>
    </row>
    <row r="436" spans="1:75" x14ac:dyDescent="0.35">
      <c r="A436" t="s">
        <v>72</v>
      </c>
      <c r="B436" t="s">
        <v>9222</v>
      </c>
      <c r="C436" t="s">
        <v>74</v>
      </c>
      <c r="D436" t="s">
        <v>74</v>
      </c>
      <c r="E436" t="s">
        <v>74</v>
      </c>
      <c r="F436" t="s">
        <v>9223</v>
      </c>
      <c r="G436" t="s">
        <v>74</v>
      </c>
      <c r="H436" t="s">
        <v>74</v>
      </c>
      <c r="I436" t="s">
        <v>9224</v>
      </c>
      <c r="J436" t="s">
        <v>7427</v>
      </c>
      <c r="K436" t="s">
        <v>74</v>
      </c>
      <c r="L436" t="s">
        <v>74</v>
      </c>
      <c r="M436" t="s">
        <v>78</v>
      </c>
      <c r="N436" t="s">
        <v>79</v>
      </c>
      <c r="O436" t="s">
        <v>74</v>
      </c>
      <c r="P436" t="s">
        <v>74</v>
      </c>
      <c r="Q436" t="s">
        <v>74</v>
      </c>
      <c r="R436" t="s">
        <v>74</v>
      </c>
      <c r="S436" t="s">
        <v>74</v>
      </c>
      <c r="T436" t="s">
        <v>9225</v>
      </c>
      <c r="U436" t="s">
        <v>9226</v>
      </c>
      <c r="V436" t="s">
        <v>9227</v>
      </c>
      <c r="W436" t="s">
        <v>9228</v>
      </c>
      <c r="X436" t="s">
        <v>9229</v>
      </c>
      <c r="Y436" t="s">
        <v>9230</v>
      </c>
      <c r="Z436" t="s">
        <v>9231</v>
      </c>
      <c r="AA436" t="s">
        <v>9232</v>
      </c>
      <c r="AB436" t="s">
        <v>9233</v>
      </c>
      <c r="AC436" t="s">
        <v>74</v>
      </c>
      <c r="AD436" t="s">
        <v>74</v>
      </c>
      <c r="AE436" t="s">
        <v>74</v>
      </c>
      <c r="AF436" t="s">
        <v>74</v>
      </c>
      <c r="AG436">
        <v>99</v>
      </c>
      <c r="AH436">
        <v>20</v>
      </c>
      <c r="AI436">
        <v>20</v>
      </c>
      <c r="AJ436">
        <v>11</v>
      </c>
      <c r="AK436">
        <v>42</v>
      </c>
      <c r="AL436" t="s">
        <v>1982</v>
      </c>
      <c r="AM436" t="s">
        <v>1983</v>
      </c>
      <c r="AN436" t="s">
        <v>2573</v>
      </c>
      <c r="AO436" t="s">
        <v>7437</v>
      </c>
      <c r="AP436" t="s">
        <v>74</v>
      </c>
      <c r="AQ436" t="s">
        <v>74</v>
      </c>
      <c r="AR436" t="s">
        <v>7438</v>
      </c>
      <c r="AS436" t="s">
        <v>7439</v>
      </c>
      <c r="AT436" t="s">
        <v>8528</v>
      </c>
      <c r="AU436">
        <v>2019</v>
      </c>
      <c r="AV436">
        <v>33</v>
      </c>
      <c r="AW436">
        <v>6</v>
      </c>
      <c r="AX436" t="s">
        <v>74</v>
      </c>
      <c r="AY436" t="s">
        <v>74</v>
      </c>
      <c r="AZ436" t="s">
        <v>259</v>
      </c>
      <c r="BA436" t="s">
        <v>74</v>
      </c>
      <c r="BB436">
        <v>702</v>
      </c>
      <c r="BC436">
        <v>720</v>
      </c>
      <c r="BD436" t="s">
        <v>74</v>
      </c>
      <c r="BE436" t="s">
        <v>9234</v>
      </c>
      <c r="BF436" t="str">
        <f>HYPERLINK("http://dx.doi.org/10.1108/JSM-09-2018-0262","http://dx.doi.org/10.1108/JSM-09-2018-0262")</f>
        <v>http://dx.doi.org/10.1108/JSM-09-2018-0262</v>
      </c>
      <c r="BG436" t="s">
        <v>74</v>
      </c>
      <c r="BH436" t="s">
        <v>74</v>
      </c>
      <c r="BI436">
        <v>19</v>
      </c>
      <c r="BJ436" t="s">
        <v>153</v>
      </c>
      <c r="BK436" t="s">
        <v>101</v>
      </c>
      <c r="BL436" t="s">
        <v>154</v>
      </c>
      <c r="BM436" t="s">
        <v>8530</v>
      </c>
      <c r="BN436" t="s">
        <v>74</v>
      </c>
      <c r="BO436" t="s">
        <v>156</v>
      </c>
      <c r="BP436" t="s">
        <v>74</v>
      </c>
      <c r="BQ436" t="s">
        <v>74</v>
      </c>
      <c r="BR436" t="s">
        <v>6098</v>
      </c>
      <c r="BS436" t="s">
        <v>9235</v>
      </c>
      <c r="BT436" t="str">
        <f>HYPERLINK("https%3A%2F%2Fwww.webofscience.com%2Fwos%2Fwoscc%2Ffull-record%2FWOS:000497776700008","View Full Record in Web of Science")</f>
        <v>View Full Record in Web of Science</v>
      </c>
      <c r="BU436" t="s">
        <v>6100</v>
      </c>
      <c r="BV436" s="1" t="s">
        <v>6080</v>
      </c>
      <c r="BW436" s="1" t="s">
        <v>6080</v>
      </c>
    </row>
    <row r="437" spans="1:75" x14ac:dyDescent="0.35">
      <c r="A437" t="s">
        <v>72</v>
      </c>
      <c r="B437" t="s">
        <v>9236</v>
      </c>
      <c r="C437" t="s">
        <v>74</v>
      </c>
      <c r="D437" t="s">
        <v>74</v>
      </c>
      <c r="E437" t="s">
        <v>74</v>
      </c>
      <c r="F437" t="s">
        <v>9237</v>
      </c>
      <c r="G437" t="s">
        <v>74</v>
      </c>
      <c r="H437" t="s">
        <v>74</v>
      </c>
      <c r="I437" t="s">
        <v>9238</v>
      </c>
      <c r="J437" t="s">
        <v>7930</v>
      </c>
      <c r="K437" t="s">
        <v>74</v>
      </c>
      <c r="L437" t="s">
        <v>74</v>
      </c>
      <c r="M437" t="s">
        <v>78</v>
      </c>
      <c r="N437" t="s">
        <v>79</v>
      </c>
      <c r="O437" t="s">
        <v>74</v>
      </c>
      <c r="P437" t="s">
        <v>74</v>
      </c>
      <c r="Q437" t="s">
        <v>74</v>
      </c>
      <c r="R437" t="s">
        <v>74</v>
      </c>
      <c r="S437" t="s">
        <v>74</v>
      </c>
      <c r="T437" t="s">
        <v>9239</v>
      </c>
      <c r="U437" t="s">
        <v>9240</v>
      </c>
      <c r="V437" t="s">
        <v>9241</v>
      </c>
      <c r="W437" t="s">
        <v>9242</v>
      </c>
      <c r="X437" t="s">
        <v>9243</v>
      </c>
      <c r="Y437" t="s">
        <v>9244</v>
      </c>
      <c r="Z437" t="s">
        <v>9245</v>
      </c>
      <c r="AA437" t="s">
        <v>9246</v>
      </c>
      <c r="AB437" t="s">
        <v>9247</v>
      </c>
      <c r="AC437" t="s">
        <v>9248</v>
      </c>
      <c r="AD437" t="s">
        <v>9249</v>
      </c>
      <c r="AE437" t="s">
        <v>9250</v>
      </c>
      <c r="AF437" t="s">
        <v>74</v>
      </c>
      <c r="AG437">
        <v>113</v>
      </c>
      <c r="AH437">
        <v>26</v>
      </c>
      <c r="AI437">
        <v>26</v>
      </c>
      <c r="AJ437">
        <v>10</v>
      </c>
      <c r="AK437">
        <v>109</v>
      </c>
      <c r="AL437" t="s">
        <v>652</v>
      </c>
      <c r="AM437" t="s">
        <v>653</v>
      </c>
      <c r="AN437" t="s">
        <v>654</v>
      </c>
      <c r="AO437" t="s">
        <v>7940</v>
      </c>
      <c r="AP437" t="s">
        <v>7941</v>
      </c>
      <c r="AQ437" t="s">
        <v>74</v>
      </c>
      <c r="AR437" t="s">
        <v>7942</v>
      </c>
      <c r="AS437" t="s">
        <v>7943</v>
      </c>
      <c r="AT437" t="s">
        <v>294</v>
      </c>
      <c r="AU437">
        <v>2019</v>
      </c>
      <c r="AV437">
        <v>71</v>
      </c>
      <c r="AW437" t="s">
        <v>74</v>
      </c>
      <c r="AX437" t="s">
        <v>74</v>
      </c>
      <c r="AY437" t="s">
        <v>74</v>
      </c>
      <c r="AZ437" t="s">
        <v>74</v>
      </c>
      <c r="BA437" t="s">
        <v>74</v>
      </c>
      <c r="BB437">
        <v>490</v>
      </c>
      <c r="BC437">
        <v>503</v>
      </c>
      <c r="BD437" t="s">
        <v>74</v>
      </c>
      <c r="BE437" t="s">
        <v>9251</v>
      </c>
      <c r="BF437" t="str">
        <f>HYPERLINK("http://dx.doi.org/10.1016/j.tourman.2018.10.013","http://dx.doi.org/10.1016/j.tourman.2018.10.013")</f>
        <v>http://dx.doi.org/10.1016/j.tourman.2018.10.013</v>
      </c>
      <c r="BG437" t="s">
        <v>74</v>
      </c>
      <c r="BH437" t="s">
        <v>74</v>
      </c>
      <c r="BI437">
        <v>14</v>
      </c>
      <c r="BJ437" t="s">
        <v>7945</v>
      </c>
      <c r="BK437" t="s">
        <v>101</v>
      </c>
      <c r="BL437" t="s">
        <v>7946</v>
      </c>
      <c r="BM437" t="s">
        <v>9252</v>
      </c>
      <c r="BN437" t="s">
        <v>74</v>
      </c>
      <c r="BO437" t="s">
        <v>74</v>
      </c>
      <c r="BP437" t="s">
        <v>74</v>
      </c>
      <c r="BQ437" t="s">
        <v>74</v>
      </c>
      <c r="BR437" t="s">
        <v>6098</v>
      </c>
      <c r="BS437" t="s">
        <v>9253</v>
      </c>
      <c r="BT437" t="str">
        <f>HYPERLINK("https%3A%2F%2Fwww.webofscience.com%2Fwos%2Fwoscc%2Ffull-record%2FWOS:000452815100043","View Full Record in Web of Science")</f>
        <v>View Full Record in Web of Science</v>
      </c>
      <c r="BU437" t="s">
        <v>6100</v>
      </c>
      <c r="BV437" s="1" t="s">
        <v>10653</v>
      </c>
    </row>
    <row r="438" spans="1:75" ht="409.5" x14ac:dyDescent="0.35">
      <c r="A438" t="s">
        <v>72</v>
      </c>
      <c r="B438" t="s">
        <v>9254</v>
      </c>
      <c r="C438" t="s">
        <v>74</v>
      </c>
      <c r="D438" t="s">
        <v>74</v>
      </c>
      <c r="E438" t="s">
        <v>74</v>
      </c>
      <c r="F438" t="s">
        <v>9255</v>
      </c>
      <c r="G438" t="s">
        <v>74</v>
      </c>
      <c r="H438" t="s">
        <v>74</v>
      </c>
      <c r="I438" t="s">
        <v>9256</v>
      </c>
      <c r="J438" t="s">
        <v>9257</v>
      </c>
      <c r="K438" t="s">
        <v>74</v>
      </c>
      <c r="L438" t="s">
        <v>74</v>
      </c>
      <c r="M438" t="s">
        <v>78</v>
      </c>
      <c r="N438" t="s">
        <v>79</v>
      </c>
      <c r="O438" t="s">
        <v>74</v>
      </c>
      <c r="P438" t="s">
        <v>74</v>
      </c>
      <c r="Q438" t="s">
        <v>74</v>
      </c>
      <c r="R438" t="s">
        <v>74</v>
      </c>
      <c r="S438" t="s">
        <v>74</v>
      </c>
      <c r="T438" t="s">
        <v>9258</v>
      </c>
      <c r="U438" t="s">
        <v>9259</v>
      </c>
      <c r="V438" s="1" t="s">
        <v>9260</v>
      </c>
      <c r="W438" t="s">
        <v>9261</v>
      </c>
      <c r="X438" t="s">
        <v>9262</v>
      </c>
      <c r="Y438" t="s">
        <v>9263</v>
      </c>
      <c r="Z438" t="s">
        <v>9264</v>
      </c>
      <c r="AA438" t="s">
        <v>74</v>
      </c>
      <c r="AB438" t="s">
        <v>74</v>
      </c>
      <c r="AC438" t="s">
        <v>74</v>
      </c>
      <c r="AD438" t="s">
        <v>74</v>
      </c>
      <c r="AE438" t="s">
        <v>74</v>
      </c>
      <c r="AF438" t="s">
        <v>74</v>
      </c>
      <c r="AG438">
        <v>43</v>
      </c>
      <c r="AH438">
        <v>10</v>
      </c>
      <c r="AI438">
        <v>10</v>
      </c>
      <c r="AJ438">
        <v>3</v>
      </c>
      <c r="AK438">
        <v>28</v>
      </c>
      <c r="AL438" t="s">
        <v>1982</v>
      </c>
      <c r="AM438" t="s">
        <v>1983</v>
      </c>
      <c r="AN438" t="s">
        <v>2573</v>
      </c>
      <c r="AO438" t="s">
        <v>9265</v>
      </c>
      <c r="AP438" t="s">
        <v>9266</v>
      </c>
      <c r="AQ438" t="s">
        <v>74</v>
      </c>
      <c r="AR438" t="s">
        <v>9267</v>
      </c>
      <c r="AS438" t="s">
        <v>9268</v>
      </c>
      <c r="AT438" t="s">
        <v>74</v>
      </c>
      <c r="AU438">
        <v>2019</v>
      </c>
      <c r="AV438">
        <v>37</v>
      </c>
      <c r="AW438">
        <v>4</v>
      </c>
      <c r="AX438" t="s">
        <v>74</v>
      </c>
      <c r="AY438" t="s">
        <v>74</v>
      </c>
      <c r="AZ438" t="s">
        <v>74</v>
      </c>
      <c r="BA438" t="s">
        <v>74</v>
      </c>
      <c r="BB438">
        <v>433</v>
      </c>
      <c r="BC438">
        <v>450</v>
      </c>
      <c r="BD438" t="s">
        <v>74</v>
      </c>
      <c r="BE438" t="s">
        <v>9269</v>
      </c>
      <c r="BF438" t="str">
        <f>HYPERLINK("http://dx.doi.org/10.1108/MIP-05-2018-0136","http://dx.doi.org/10.1108/MIP-05-2018-0136")</f>
        <v>http://dx.doi.org/10.1108/MIP-05-2018-0136</v>
      </c>
      <c r="BG438" t="s">
        <v>74</v>
      </c>
      <c r="BH438" t="s">
        <v>74</v>
      </c>
      <c r="BI438">
        <v>18</v>
      </c>
      <c r="BJ438" t="s">
        <v>153</v>
      </c>
      <c r="BK438" t="s">
        <v>101</v>
      </c>
      <c r="BL438" t="s">
        <v>154</v>
      </c>
      <c r="BM438" t="s">
        <v>9270</v>
      </c>
      <c r="BN438" t="s">
        <v>74</v>
      </c>
      <c r="BO438" t="s">
        <v>74</v>
      </c>
      <c r="BP438" t="s">
        <v>74</v>
      </c>
      <c r="BQ438" t="s">
        <v>74</v>
      </c>
      <c r="BR438" t="s">
        <v>6098</v>
      </c>
      <c r="BS438" t="s">
        <v>9271</v>
      </c>
      <c r="BT438" t="str">
        <f>HYPERLINK("https%3A%2F%2Fwww.webofscience.com%2Fwos%2Fwoscc%2Ffull-record%2FWOS:000469415000006","View Full Record in Web of Science")</f>
        <v>View Full Record in Web of Science</v>
      </c>
      <c r="BU438" t="s">
        <v>6100</v>
      </c>
      <c r="BV438" s="1" t="s">
        <v>6080</v>
      </c>
      <c r="BW438" s="1" t="s">
        <v>6080</v>
      </c>
    </row>
    <row r="439" spans="1:75" x14ac:dyDescent="0.35">
      <c r="A439" t="s">
        <v>72</v>
      </c>
      <c r="B439" t="s">
        <v>9438</v>
      </c>
      <c r="C439" t="s">
        <v>74</v>
      </c>
      <c r="D439" t="s">
        <v>74</v>
      </c>
      <c r="E439" t="s">
        <v>74</v>
      </c>
      <c r="F439" t="s">
        <v>9439</v>
      </c>
      <c r="G439" t="s">
        <v>74</v>
      </c>
      <c r="H439" t="s">
        <v>74</v>
      </c>
      <c r="I439" t="s">
        <v>9440</v>
      </c>
      <c r="J439" t="s">
        <v>9441</v>
      </c>
      <c r="K439" t="s">
        <v>74</v>
      </c>
      <c r="L439" t="s">
        <v>74</v>
      </c>
      <c r="M439" t="s">
        <v>78</v>
      </c>
      <c r="N439" t="s">
        <v>79</v>
      </c>
      <c r="O439" t="s">
        <v>74</v>
      </c>
      <c r="P439" t="s">
        <v>74</v>
      </c>
      <c r="Q439" t="s">
        <v>74</v>
      </c>
      <c r="R439" t="s">
        <v>74</v>
      </c>
      <c r="S439" t="s">
        <v>74</v>
      </c>
      <c r="T439" t="s">
        <v>9442</v>
      </c>
      <c r="U439" t="s">
        <v>9443</v>
      </c>
      <c r="V439" t="s">
        <v>9444</v>
      </c>
      <c r="W439" t="s">
        <v>9445</v>
      </c>
      <c r="X439" t="s">
        <v>9446</v>
      </c>
      <c r="Y439" t="s">
        <v>9447</v>
      </c>
      <c r="Z439" t="s">
        <v>9448</v>
      </c>
      <c r="AA439" t="s">
        <v>74</v>
      </c>
      <c r="AB439" t="s">
        <v>74</v>
      </c>
      <c r="AC439" t="s">
        <v>74</v>
      </c>
      <c r="AD439" t="s">
        <v>74</v>
      </c>
      <c r="AE439" t="s">
        <v>74</v>
      </c>
      <c r="AF439" t="s">
        <v>74</v>
      </c>
      <c r="AG439">
        <v>33</v>
      </c>
      <c r="AH439">
        <v>4</v>
      </c>
      <c r="AI439">
        <v>4</v>
      </c>
      <c r="AJ439">
        <v>3</v>
      </c>
      <c r="AK439">
        <v>17</v>
      </c>
      <c r="AL439" t="s">
        <v>1982</v>
      </c>
      <c r="AM439" t="s">
        <v>1983</v>
      </c>
      <c r="AN439" t="s">
        <v>2573</v>
      </c>
      <c r="AO439" t="s">
        <v>9449</v>
      </c>
      <c r="AP439" t="s">
        <v>9450</v>
      </c>
      <c r="AQ439" t="s">
        <v>74</v>
      </c>
      <c r="AR439" t="s">
        <v>9451</v>
      </c>
      <c r="AS439" t="s">
        <v>9452</v>
      </c>
      <c r="AT439" t="s">
        <v>9453</v>
      </c>
      <c r="AU439">
        <v>2019</v>
      </c>
      <c r="AV439">
        <v>33</v>
      </c>
      <c r="AW439">
        <v>1</v>
      </c>
      <c r="AX439" t="s">
        <v>74</v>
      </c>
      <c r="AY439" t="s">
        <v>74</v>
      </c>
      <c r="AZ439" t="s">
        <v>259</v>
      </c>
      <c r="BA439" t="s">
        <v>74</v>
      </c>
      <c r="BB439">
        <v>86</v>
      </c>
      <c r="BC439">
        <v>97</v>
      </c>
      <c r="BD439" t="s">
        <v>74</v>
      </c>
      <c r="BE439" t="s">
        <v>9454</v>
      </c>
      <c r="BF439" t="str">
        <f>HYPERLINK("http://dx.doi.org/10.1108/IJEM-03-2018-0107","http://dx.doi.org/10.1108/IJEM-03-2018-0107")</f>
        <v>http://dx.doi.org/10.1108/IJEM-03-2018-0107</v>
      </c>
      <c r="BG439" t="s">
        <v>74</v>
      </c>
      <c r="BH439" t="s">
        <v>74</v>
      </c>
      <c r="BI439">
        <v>12</v>
      </c>
      <c r="BJ439" t="s">
        <v>2493</v>
      </c>
      <c r="BK439" t="s">
        <v>3880</v>
      </c>
      <c r="BL439" t="s">
        <v>154</v>
      </c>
      <c r="BM439" t="s">
        <v>9455</v>
      </c>
      <c r="BN439" t="s">
        <v>74</v>
      </c>
      <c r="BO439" t="s">
        <v>74</v>
      </c>
      <c r="BP439" t="s">
        <v>74</v>
      </c>
      <c r="BQ439" t="s">
        <v>74</v>
      </c>
      <c r="BR439" t="s">
        <v>6098</v>
      </c>
      <c r="BS439" t="s">
        <v>9456</v>
      </c>
      <c r="BT439" t="str">
        <f>HYPERLINK("https%3A%2F%2Fwww.webofscience.com%2Fwos%2Fwoscc%2Ffull-record%2FWOS:000458209500006","View Full Record in Web of Science")</f>
        <v>View Full Record in Web of Science</v>
      </c>
      <c r="BU439" t="s">
        <v>6100</v>
      </c>
      <c r="BV439" s="1" t="s">
        <v>10653</v>
      </c>
    </row>
    <row r="440" spans="1:75" x14ac:dyDescent="0.35">
      <c r="A440" t="s">
        <v>72</v>
      </c>
      <c r="B440" t="s">
        <v>4214</v>
      </c>
      <c r="C440" t="s">
        <v>74</v>
      </c>
      <c r="D440" t="s">
        <v>74</v>
      </c>
      <c r="E440" t="s">
        <v>74</v>
      </c>
      <c r="F440" t="s">
        <v>4215</v>
      </c>
      <c r="G440" t="s">
        <v>74</v>
      </c>
      <c r="H440" t="s">
        <v>74</v>
      </c>
      <c r="I440" t="s">
        <v>4216</v>
      </c>
      <c r="J440" t="s">
        <v>240</v>
      </c>
      <c r="K440" t="s">
        <v>74</v>
      </c>
      <c r="L440" t="s">
        <v>74</v>
      </c>
      <c r="M440" t="s">
        <v>78</v>
      </c>
      <c r="N440" t="s">
        <v>79</v>
      </c>
      <c r="O440" t="s">
        <v>74</v>
      </c>
      <c r="P440" t="s">
        <v>74</v>
      </c>
      <c r="Q440" t="s">
        <v>74</v>
      </c>
      <c r="R440" t="s">
        <v>74</v>
      </c>
      <c r="S440" t="s">
        <v>74</v>
      </c>
      <c r="T440" t="s">
        <v>4217</v>
      </c>
      <c r="U440" t="s">
        <v>4218</v>
      </c>
      <c r="V440" t="s">
        <v>4219</v>
      </c>
      <c r="W440" t="s">
        <v>4220</v>
      </c>
      <c r="X440" t="s">
        <v>4221</v>
      </c>
      <c r="Y440" t="s">
        <v>4222</v>
      </c>
      <c r="Z440" t="s">
        <v>4223</v>
      </c>
      <c r="AA440" t="s">
        <v>4224</v>
      </c>
      <c r="AB440" t="s">
        <v>4225</v>
      </c>
      <c r="AC440" t="s">
        <v>74</v>
      </c>
      <c r="AD440" t="s">
        <v>74</v>
      </c>
      <c r="AE440" t="s">
        <v>74</v>
      </c>
      <c r="AF440" t="s">
        <v>74</v>
      </c>
      <c r="AG440">
        <v>75</v>
      </c>
      <c r="AH440">
        <v>34</v>
      </c>
      <c r="AI440">
        <v>34</v>
      </c>
      <c r="AJ440">
        <v>10</v>
      </c>
      <c r="AK440">
        <v>152</v>
      </c>
      <c r="AL440" t="s">
        <v>144</v>
      </c>
      <c r="AM440" t="s">
        <v>145</v>
      </c>
      <c r="AN440" t="s">
        <v>146</v>
      </c>
      <c r="AO440" t="s">
        <v>254</v>
      </c>
      <c r="AP440" t="s">
        <v>255</v>
      </c>
      <c r="AQ440" t="s">
        <v>74</v>
      </c>
      <c r="AR440" t="s">
        <v>256</v>
      </c>
      <c r="AS440" t="s">
        <v>257</v>
      </c>
      <c r="AT440" t="s">
        <v>517</v>
      </c>
      <c r="AU440">
        <v>2019</v>
      </c>
      <c r="AV440">
        <v>83</v>
      </c>
      <c r="AW440">
        <v>5</v>
      </c>
      <c r="AX440" t="s">
        <v>74</v>
      </c>
      <c r="AY440" t="s">
        <v>74</v>
      </c>
      <c r="AZ440" t="s">
        <v>74</v>
      </c>
      <c r="BA440" t="s">
        <v>74</v>
      </c>
      <c r="BB440">
        <v>133</v>
      </c>
      <c r="BC440">
        <v>152</v>
      </c>
      <c r="BD440" t="s">
        <v>74</v>
      </c>
      <c r="BE440" t="s">
        <v>4226</v>
      </c>
      <c r="BF440" t="str">
        <f>HYPERLINK("http://dx.doi.org/10.1177/0022242919847221","http://dx.doi.org/10.1177/0022242919847221")</f>
        <v>http://dx.doi.org/10.1177/0022242919847221</v>
      </c>
      <c r="BG440" t="s">
        <v>74</v>
      </c>
      <c r="BH440" t="s">
        <v>74</v>
      </c>
      <c r="BI440">
        <v>20</v>
      </c>
      <c r="BJ440" t="s">
        <v>153</v>
      </c>
      <c r="BK440" t="s">
        <v>101</v>
      </c>
      <c r="BL440" t="s">
        <v>154</v>
      </c>
      <c r="BM440" t="s">
        <v>4227</v>
      </c>
      <c r="BN440" t="s">
        <v>74</v>
      </c>
      <c r="BO440" t="s">
        <v>74</v>
      </c>
      <c r="BP440" t="s">
        <v>74</v>
      </c>
      <c r="BQ440" t="s">
        <v>74</v>
      </c>
      <c r="BR440" t="s">
        <v>6098</v>
      </c>
      <c r="BS440" t="s">
        <v>4228</v>
      </c>
      <c r="BT440" t="str">
        <f>HYPERLINK("https%3A%2F%2Fwww.webofscience.com%2Fwos%2Fwoscc%2Ffull-record%2FWOS:000481446700010","View Full Record in Web of Science")</f>
        <v>View Full Record in Web of Science</v>
      </c>
      <c r="BU440" t="s">
        <v>6100</v>
      </c>
      <c r="BV440" s="1" t="s">
        <v>6080</v>
      </c>
      <c r="BW440" s="1" t="s">
        <v>6080</v>
      </c>
    </row>
    <row r="441" spans="1:75" x14ac:dyDescent="0.35">
      <c r="A441" t="s">
        <v>72</v>
      </c>
      <c r="B441" t="s">
        <v>6702</v>
      </c>
      <c r="C441" t="s">
        <v>74</v>
      </c>
      <c r="D441" t="s">
        <v>74</v>
      </c>
      <c r="E441" t="s">
        <v>74</v>
      </c>
      <c r="F441" t="s">
        <v>6703</v>
      </c>
      <c r="G441" t="s">
        <v>74</v>
      </c>
      <c r="H441" t="s">
        <v>74</v>
      </c>
      <c r="I441" t="s">
        <v>6704</v>
      </c>
      <c r="J441" t="s">
        <v>6705</v>
      </c>
      <c r="K441" t="s">
        <v>74</v>
      </c>
      <c r="L441" t="s">
        <v>74</v>
      </c>
      <c r="M441" t="s">
        <v>78</v>
      </c>
      <c r="N441" t="s">
        <v>110</v>
      </c>
      <c r="O441" t="s">
        <v>74</v>
      </c>
      <c r="P441" t="s">
        <v>74</v>
      </c>
      <c r="Q441" t="s">
        <v>74</v>
      </c>
      <c r="R441" t="s">
        <v>74</v>
      </c>
      <c r="S441" t="s">
        <v>74</v>
      </c>
      <c r="T441" t="s">
        <v>6706</v>
      </c>
      <c r="U441" t="s">
        <v>6707</v>
      </c>
      <c r="V441" t="s">
        <v>6708</v>
      </c>
      <c r="W441" t="s">
        <v>6709</v>
      </c>
      <c r="X441" t="s">
        <v>6710</v>
      </c>
      <c r="Y441" t="s">
        <v>6711</v>
      </c>
      <c r="Z441" t="s">
        <v>6712</v>
      </c>
      <c r="AA441" t="s">
        <v>6713</v>
      </c>
      <c r="AB441" t="s">
        <v>6714</v>
      </c>
      <c r="AC441" t="s">
        <v>6715</v>
      </c>
      <c r="AD441" t="s">
        <v>6716</v>
      </c>
      <c r="AE441" t="s">
        <v>6717</v>
      </c>
      <c r="AF441" t="s">
        <v>74</v>
      </c>
      <c r="AG441">
        <v>105</v>
      </c>
      <c r="AH441">
        <v>5</v>
      </c>
      <c r="AI441">
        <v>5</v>
      </c>
      <c r="AJ441">
        <v>18</v>
      </c>
      <c r="AK441">
        <v>36</v>
      </c>
      <c r="AL441" t="s">
        <v>206</v>
      </c>
      <c r="AM441" t="s">
        <v>207</v>
      </c>
      <c r="AN441" t="s">
        <v>208</v>
      </c>
      <c r="AO441" t="s">
        <v>6718</v>
      </c>
      <c r="AP441" t="s">
        <v>6719</v>
      </c>
      <c r="AQ441" t="s">
        <v>74</v>
      </c>
      <c r="AR441" t="s">
        <v>6720</v>
      </c>
      <c r="AS441" t="s">
        <v>6721</v>
      </c>
      <c r="AT441" t="s">
        <v>517</v>
      </c>
      <c r="AU441">
        <v>2022</v>
      </c>
      <c r="AV441">
        <v>46</v>
      </c>
      <c r="AW441">
        <v>5</v>
      </c>
      <c r="AX441" t="s">
        <v>74</v>
      </c>
      <c r="AY441" t="s">
        <v>74</v>
      </c>
      <c r="AZ441" t="s">
        <v>259</v>
      </c>
      <c r="BA441" t="s">
        <v>74</v>
      </c>
      <c r="BB441">
        <v>2041</v>
      </c>
      <c r="BC441">
        <v>2067</v>
      </c>
      <c r="BD441" t="s">
        <v>74</v>
      </c>
      <c r="BE441" t="s">
        <v>6722</v>
      </c>
      <c r="BF441" t="str">
        <f>HYPERLINK("http://dx.doi.org/10.1111/ijcs.12800","http://dx.doi.org/10.1111/ijcs.12800")</f>
        <v>http://dx.doi.org/10.1111/ijcs.12800</v>
      </c>
      <c r="BG441" t="s">
        <v>74</v>
      </c>
      <c r="BH441" t="s">
        <v>6723</v>
      </c>
      <c r="BI441">
        <v>27</v>
      </c>
      <c r="BJ441" t="s">
        <v>153</v>
      </c>
      <c r="BK441" t="s">
        <v>101</v>
      </c>
      <c r="BL441" t="s">
        <v>154</v>
      </c>
      <c r="BM441" t="s">
        <v>6724</v>
      </c>
      <c r="BN441" t="s">
        <v>74</v>
      </c>
      <c r="BO441" t="s">
        <v>74</v>
      </c>
      <c r="BP441" t="s">
        <v>74</v>
      </c>
      <c r="BQ441" t="s">
        <v>74</v>
      </c>
      <c r="BR441" t="s">
        <v>6098</v>
      </c>
      <c r="BS441" t="s">
        <v>6725</v>
      </c>
      <c r="BT441" t="str">
        <f>HYPERLINK("https%3A%2F%2Fwww.webofscience.com%2Fwos%2Fwoscc%2Ffull-record%2FWOS:000774732300001","View Full Record in Web of Science")</f>
        <v>View Full Record in Web of Science</v>
      </c>
      <c r="BU441" t="s">
        <v>6100</v>
      </c>
      <c r="BV441" s="1" t="s">
        <v>6080</v>
      </c>
      <c r="BW441" s="1" t="s">
        <v>10653</v>
      </c>
    </row>
    <row r="442" spans="1:75" x14ac:dyDescent="0.35">
      <c r="A442" t="s">
        <v>72</v>
      </c>
      <c r="B442" t="s">
        <v>9636</v>
      </c>
      <c r="C442" t="s">
        <v>74</v>
      </c>
      <c r="D442" t="s">
        <v>74</v>
      </c>
      <c r="E442" t="s">
        <v>74</v>
      </c>
      <c r="F442" t="s">
        <v>9637</v>
      </c>
      <c r="G442" t="s">
        <v>74</v>
      </c>
      <c r="H442" t="s">
        <v>74</v>
      </c>
      <c r="I442" t="s">
        <v>9638</v>
      </c>
      <c r="J442" t="s">
        <v>9639</v>
      </c>
      <c r="K442" t="s">
        <v>74</v>
      </c>
      <c r="L442" t="s">
        <v>74</v>
      </c>
      <c r="M442" t="s">
        <v>78</v>
      </c>
      <c r="N442" t="s">
        <v>79</v>
      </c>
      <c r="O442" t="s">
        <v>74</v>
      </c>
      <c r="P442" t="s">
        <v>74</v>
      </c>
      <c r="Q442" t="s">
        <v>74</v>
      </c>
      <c r="R442" t="s">
        <v>74</v>
      </c>
      <c r="S442" t="s">
        <v>74</v>
      </c>
      <c r="T442" t="s">
        <v>9640</v>
      </c>
      <c r="U442" t="s">
        <v>9641</v>
      </c>
      <c r="V442" t="s">
        <v>9642</v>
      </c>
      <c r="W442" t="s">
        <v>9643</v>
      </c>
      <c r="X442" t="s">
        <v>9644</v>
      </c>
      <c r="Y442" t="s">
        <v>9645</v>
      </c>
      <c r="Z442" t="s">
        <v>9646</v>
      </c>
      <c r="AA442" t="s">
        <v>74</v>
      </c>
      <c r="AB442" t="s">
        <v>9647</v>
      </c>
      <c r="AC442" t="s">
        <v>74</v>
      </c>
      <c r="AD442" t="s">
        <v>74</v>
      </c>
      <c r="AE442" t="s">
        <v>74</v>
      </c>
      <c r="AF442" t="s">
        <v>74</v>
      </c>
      <c r="AG442">
        <v>65</v>
      </c>
      <c r="AH442">
        <v>7</v>
      </c>
      <c r="AI442">
        <v>8</v>
      </c>
      <c r="AJ442">
        <v>5</v>
      </c>
      <c r="AK442">
        <v>40</v>
      </c>
      <c r="AL442" t="s">
        <v>206</v>
      </c>
      <c r="AM442" t="s">
        <v>207</v>
      </c>
      <c r="AN442" t="s">
        <v>208</v>
      </c>
      <c r="AO442" t="s">
        <v>9648</v>
      </c>
      <c r="AP442" t="s">
        <v>9649</v>
      </c>
      <c r="AQ442" t="s">
        <v>74</v>
      </c>
      <c r="AR442" t="s">
        <v>9650</v>
      </c>
      <c r="AS442" t="s">
        <v>9651</v>
      </c>
      <c r="AT442" t="s">
        <v>517</v>
      </c>
      <c r="AU442">
        <v>2019</v>
      </c>
      <c r="AV442">
        <v>38</v>
      </c>
      <c r="AW442">
        <v>6</v>
      </c>
      <c r="AX442" t="s">
        <v>74</v>
      </c>
      <c r="AY442" t="s">
        <v>74</v>
      </c>
      <c r="AZ442" t="s">
        <v>74</v>
      </c>
      <c r="BA442" t="s">
        <v>74</v>
      </c>
      <c r="BB442">
        <v>504</v>
      </c>
      <c r="BC442">
        <v>518</v>
      </c>
      <c r="BD442" t="s">
        <v>74</v>
      </c>
      <c r="BE442" t="s">
        <v>9652</v>
      </c>
      <c r="BF442" t="str">
        <f>HYPERLINK("http://dx.doi.org/10.1002/for.2584","http://dx.doi.org/10.1002/for.2584")</f>
        <v>http://dx.doi.org/10.1002/for.2584</v>
      </c>
      <c r="BG442" t="s">
        <v>74</v>
      </c>
      <c r="BH442" t="s">
        <v>74</v>
      </c>
      <c r="BI442">
        <v>15</v>
      </c>
      <c r="BJ442" t="s">
        <v>9653</v>
      </c>
      <c r="BK442" t="s">
        <v>101</v>
      </c>
      <c r="BL442" t="s">
        <v>154</v>
      </c>
      <c r="BM442" t="s">
        <v>9654</v>
      </c>
      <c r="BN442" t="s">
        <v>74</v>
      </c>
      <c r="BO442" t="s">
        <v>74</v>
      </c>
      <c r="BP442" t="s">
        <v>74</v>
      </c>
      <c r="BQ442" t="s">
        <v>74</v>
      </c>
      <c r="BR442" t="s">
        <v>6098</v>
      </c>
      <c r="BS442" t="s">
        <v>9655</v>
      </c>
      <c r="BT442" t="str">
        <f>HYPERLINK("https%3A%2F%2Fwww.webofscience.com%2Fwos%2Fwoscc%2Ffull-record%2FWOS:000478595100002","View Full Record in Web of Science")</f>
        <v>View Full Record in Web of Science</v>
      </c>
      <c r="BU442" t="s">
        <v>6100</v>
      </c>
      <c r="BV442" s="1" t="s">
        <v>10653</v>
      </c>
    </row>
    <row r="443" spans="1:75" x14ac:dyDescent="0.35">
      <c r="A443" t="s">
        <v>72</v>
      </c>
      <c r="B443" t="s">
        <v>5138</v>
      </c>
      <c r="C443" t="s">
        <v>74</v>
      </c>
      <c r="D443" t="s">
        <v>74</v>
      </c>
      <c r="E443" t="s">
        <v>74</v>
      </c>
      <c r="F443" t="s">
        <v>5139</v>
      </c>
      <c r="G443" t="s">
        <v>74</v>
      </c>
      <c r="H443" t="s">
        <v>74</v>
      </c>
      <c r="I443" t="s">
        <v>5140</v>
      </c>
      <c r="J443" t="s">
        <v>2057</v>
      </c>
      <c r="K443" t="s">
        <v>74</v>
      </c>
      <c r="L443" t="s">
        <v>74</v>
      </c>
      <c r="M443" t="s">
        <v>78</v>
      </c>
      <c r="N443" t="s">
        <v>79</v>
      </c>
      <c r="O443" t="s">
        <v>74</v>
      </c>
      <c r="P443" t="s">
        <v>74</v>
      </c>
      <c r="Q443" t="s">
        <v>74</v>
      </c>
      <c r="R443" t="s">
        <v>74</v>
      </c>
      <c r="S443" t="s">
        <v>74</v>
      </c>
      <c r="T443" t="s">
        <v>5141</v>
      </c>
      <c r="U443" t="s">
        <v>5142</v>
      </c>
      <c r="V443" t="s">
        <v>5143</v>
      </c>
      <c r="W443" t="s">
        <v>5144</v>
      </c>
      <c r="X443" t="s">
        <v>5145</v>
      </c>
      <c r="Y443" t="s">
        <v>5146</v>
      </c>
      <c r="Z443" t="s">
        <v>5147</v>
      </c>
      <c r="AA443" t="s">
        <v>9677</v>
      </c>
      <c r="AB443" t="s">
        <v>5149</v>
      </c>
      <c r="AC443" t="s">
        <v>74</v>
      </c>
      <c r="AD443" t="s">
        <v>74</v>
      </c>
      <c r="AE443" t="s">
        <v>74</v>
      </c>
      <c r="AF443" t="s">
        <v>74</v>
      </c>
      <c r="AG443">
        <v>90</v>
      </c>
      <c r="AH443">
        <v>37</v>
      </c>
      <c r="AI443">
        <v>37</v>
      </c>
      <c r="AJ443">
        <v>15</v>
      </c>
      <c r="AK443">
        <v>77</v>
      </c>
      <c r="AL443" t="s">
        <v>144</v>
      </c>
      <c r="AM443" t="s">
        <v>145</v>
      </c>
      <c r="AN443" t="s">
        <v>146</v>
      </c>
      <c r="AO443" t="s">
        <v>2058</v>
      </c>
      <c r="AP443" t="s">
        <v>2059</v>
      </c>
      <c r="AQ443" t="s">
        <v>74</v>
      </c>
      <c r="AR443" t="s">
        <v>2060</v>
      </c>
      <c r="AS443" t="s">
        <v>2061</v>
      </c>
      <c r="AT443" t="s">
        <v>258</v>
      </c>
      <c r="AU443">
        <v>2019</v>
      </c>
      <c r="AV443">
        <v>48</v>
      </c>
      <c r="AW443" t="s">
        <v>74</v>
      </c>
      <c r="AX443" t="s">
        <v>74</v>
      </c>
      <c r="AY443" t="s">
        <v>74</v>
      </c>
      <c r="AZ443" t="s">
        <v>74</v>
      </c>
      <c r="BA443" t="s">
        <v>74</v>
      </c>
      <c r="BB443">
        <v>17</v>
      </c>
      <c r="BC443">
        <v>32</v>
      </c>
      <c r="BD443" t="s">
        <v>74</v>
      </c>
      <c r="BE443" t="s">
        <v>5150</v>
      </c>
      <c r="BF443" t="str">
        <f>HYPERLINK("http://dx.doi.org/10.1016/j.intmar.2019.03.003","http://dx.doi.org/10.1016/j.intmar.2019.03.003")</f>
        <v>http://dx.doi.org/10.1016/j.intmar.2019.03.003</v>
      </c>
      <c r="BG443" t="s">
        <v>74</v>
      </c>
      <c r="BH443" t="s">
        <v>74</v>
      </c>
      <c r="BI443">
        <v>16</v>
      </c>
      <c r="BJ443" t="s">
        <v>153</v>
      </c>
      <c r="BK443" t="s">
        <v>101</v>
      </c>
      <c r="BL443" t="s">
        <v>154</v>
      </c>
      <c r="BM443" t="s">
        <v>5151</v>
      </c>
      <c r="BN443" t="s">
        <v>74</v>
      </c>
      <c r="BO443" t="s">
        <v>74</v>
      </c>
      <c r="BP443" t="s">
        <v>74</v>
      </c>
      <c r="BQ443" t="s">
        <v>74</v>
      </c>
      <c r="BR443" t="s">
        <v>6098</v>
      </c>
      <c r="BS443" t="s">
        <v>5152</v>
      </c>
      <c r="BT443" t="str">
        <f>HYPERLINK("https%3A%2F%2Fwww.webofscience.com%2Fwos%2Fwoscc%2Ffull-record%2FWOS:000495146900002","View Full Record in Web of Science")</f>
        <v>View Full Record in Web of Science</v>
      </c>
      <c r="BU443" t="s">
        <v>6100</v>
      </c>
      <c r="BV443" s="1" t="s">
        <v>6080</v>
      </c>
      <c r="BW443" s="1" t="s">
        <v>6080</v>
      </c>
    </row>
    <row r="444" spans="1:75" x14ac:dyDescent="0.35">
      <c r="A444" t="s">
        <v>72</v>
      </c>
      <c r="B444" t="s">
        <v>9693</v>
      </c>
      <c r="C444" t="s">
        <v>74</v>
      </c>
      <c r="D444" t="s">
        <v>74</v>
      </c>
      <c r="E444" t="s">
        <v>74</v>
      </c>
      <c r="F444" t="s">
        <v>9694</v>
      </c>
      <c r="G444" t="s">
        <v>74</v>
      </c>
      <c r="H444" t="s">
        <v>74</v>
      </c>
      <c r="I444" t="s">
        <v>9695</v>
      </c>
      <c r="J444" t="s">
        <v>9517</v>
      </c>
      <c r="K444" t="s">
        <v>74</v>
      </c>
      <c r="L444" t="s">
        <v>74</v>
      </c>
      <c r="M444" t="s">
        <v>78</v>
      </c>
      <c r="N444" t="s">
        <v>79</v>
      </c>
      <c r="O444" t="s">
        <v>74</v>
      </c>
      <c r="P444" t="s">
        <v>74</v>
      </c>
      <c r="Q444" t="s">
        <v>74</v>
      </c>
      <c r="R444" t="s">
        <v>74</v>
      </c>
      <c r="S444" t="s">
        <v>74</v>
      </c>
      <c r="T444" t="s">
        <v>9696</v>
      </c>
      <c r="U444" t="s">
        <v>74</v>
      </c>
      <c r="V444" t="s">
        <v>9697</v>
      </c>
      <c r="W444" t="s">
        <v>9698</v>
      </c>
      <c r="X444" t="s">
        <v>9699</v>
      </c>
      <c r="Y444" t="s">
        <v>9700</v>
      </c>
      <c r="Z444" t="s">
        <v>9701</v>
      </c>
      <c r="AA444" t="s">
        <v>9702</v>
      </c>
      <c r="AB444" t="s">
        <v>9703</v>
      </c>
      <c r="AC444" t="s">
        <v>9704</v>
      </c>
      <c r="AD444" t="s">
        <v>9704</v>
      </c>
      <c r="AE444" t="s">
        <v>9705</v>
      </c>
      <c r="AF444" t="s">
        <v>74</v>
      </c>
      <c r="AG444">
        <v>38</v>
      </c>
      <c r="AH444">
        <v>7</v>
      </c>
      <c r="AI444">
        <v>7</v>
      </c>
      <c r="AJ444">
        <v>1</v>
      </c>
      <c r="AK444">
        <v>6</v>
      </c>
      <c r="AL444" t="s">
        <v>9528</v>
      </c>
      <c r="AM444" t="s">
        <v>9706</v>
      </c>
      <c r="AN444" t="s">
        <v>9707</v>
      </c>
      <c r="AO444" t="s">
        <v>9531</v>
      </c>
      <c r="AP444" t="s">
        <v>9532</v>
      </c>
      <c r="AQ444" t="s">
        <v>74</v>
      </c>
      <c r="AR444" t="s">
        <v>9533</v>
      </c>
      <c r="AS444" t="s">
        <v>9534</v>
      </c>
      <c r="AT444" t="s">
        <v>469</v>
      </c>
      <c r="AU444">
        <v>2019</v>
      </c>
      <c r="AV444">
        <v>6</v>
      </c>
      <c r="AW444">
        <v>3</v>
      </c>
      <c r="AX444" t="s">
        <v>74</v>
      </c>
      <c r="AY444" t="s">
        <v>74</v>
      </c>
      <c r="AZ444" t="s">
        <v>74</v>
      </c>
      <c r="BA444" t="s">
        <v>74</v>
      </c>
      <c r="BB444">
        <v>173</v>
      </c>
      <c r="BC444">
        <v>183</v>
      </c>
      <c r="BD444" t="s">
        <v>74</v>
      </c>
      <c r="BE444" t="s">
        <v>9708</v>
      </c>
      <c r="BF444" t="str">
        <f>HYPERLINK("http://dx.doi.org/10.13106/jafeb.2019.vol6.no3.173","http://dx.doi.org/10.13106/jafeb.2019.vol6.no3.173")</f>
        <v>http://dx.doi.org/10.13106/jafeb.2019.vol6.no3.173</v>
      </c>
      <c r="BG444" t="s">
        <v>74</v>
      </c>
      <c r="BH444" t="s">
        <v>74</v>
      </c>
      <c r="BI444">
        <v>11</v>
      </c>
      <c r="BJ444" t="s">
        <v>153</v>
      </c>
      <c r="BK444" t="s">
        <v>3880</v>
      </c>
      <c r="BL444" t="s">
        <v>154</v>
      </c>
      <c r="BM444" t="s">
        <v>9709</v>
      </c>
      <c r="BN444" t="s">
        <v>74</v>
      </c>
      <c r="BO444" t="s">
        <v>4746</v>
      </c>
      <c r="BP444" t="s">
        <v>74</v>
      </c>
      <c r="BQ444" t="s">
        <v>74</v>
      </c>
      <c r="BR444" t="s">
        <v>6098</v>
      </c>
      <c r="BS444" t="s">
        <v>9710</v>
      </c>
      <c r="BT444" t="str">
        <f>HYPERLINK("https%3A%2F%2Fwww.webofscience.com%2Fwos%2Fwoscc%2Ffull-record%2FWOS:000484352800016","View Full Record in Web of Science")</f>
        <v>View Full Record in Web of Science</v>
      </c>
      <c r="BU444" t="s">
        <v>6100</v>
      </c>
      <c r="BV444" s="1" t="s">
        <v>10653</v>
      </c>
    </row>
    <row r="445" spans="1:75" x14ac:dyDescent="0.35">
      <c r="A445" t="s">
        <v>72</v>
      </c>
      <c r="B445" t="s">
        <v>6777</v>
      </c>
      <c r="C445" t="s">
        <v>74</v>
      </c>
      <c r="D445" t="s">
        <v>74</v>
      </c>
      <c r="E445" t="s">
        <v>74</v>
      </c>
      <c r="F445" t="s">
        <v>6778</v>
      </c>
      <c r="G445" t="s">
        <v>74</v>
      </c>
      <c r="H445" t="s">
        <v>74</v>
      </c>
      <c r="I445" t="s">
        <v>6779</v>
      </c>
      <c r="J445" t="s">
        <v>6705</v>
      </c>
      <c r="K445" t="s">
        <v>74</v>
      </c>
      <c r="L445" t="s">
        <v>74</v>
      </c>
      <c r="M445" t="s">
        <v>78</v>
      </c>
      <c r="N445" t="s">
        <v>110</v>
      </c>
      <c r="O445" t="s">
        <v>74</v>
      </c>
      <c r="P445" t="s">
        <v>74</v>
      </c>
      <c r="Q445" t="s">
        <v>74</v>
      </c>
      <c r="R445" t="s">
        <v>74</v>
      </c>
      <c r="S445" t="s">
        <v>74</v>
      </c>
      <c r="T445" t="s">
        <v>6780</v>
      </c>
      <c r="U445" t="s">
        <v>6781</v>
      </c>
      <c r="V445" t="s">
        <v>6782</v>
      </c>
      <c r="W445" t="s">
        <v>6783</v>
      </c>
      <c r="X445" t="s">
        <v>6784</v>
      </c>
      <c r="Y445" t="s">
        <v>6785</v>
      </c>
      <c r="Z445" t="s">
        <v>6786</v>
      </c>
      <c r="AA445" t="s">
        <v>6787</v>
      </c>
      <c r="AB445" t="s">
        <v>6788</v>
      </c>
      <c r="AC445" t="s">
        <v>6789</v>
      </c>
      <c r="AD445" t="s">
        <v>6790</v>
      </c>
      <c r="AE445" t="s">
        <v>6791</v>
      </c>
      <c r="AF445" t="s">
        <v>74</v>
      </c>
      <c r="AG445">
        <v>290</v>
      </c>
      <c r="AH445">
        <v>6</v>
      </c>
      <c r="AI445">
        <v>6</v>
      </c>
      <c r="AJ445">
        <v>63</v>
      </c>
      <c r="AK445">
        <v>120</v>
      </c>
      <c r="AL445" t="s">
        <v>206</v>
      </c>
      <c r="AM445" t="s">
        <v>207</v>
      </c>
      <c r="AN445" t="s">
        <v>208</v>
      </c>
      <c r="AO445" t="s">
        <v>6718</v>
      </c>
      <c r="AP445" t="s">
        <v>6719</v>
      </c>
      <c r="AQ445" t="s">
        <v>74</v>
      </c>
      <c r="AR445" t="s">
        <v>6720</v>
      </c>
      <c r="AS445" t="s">
        <v>6721</v>
      </c>
      <c r="AT445" t="s">
        <v>517</v>
      </c>
      <c r="AU445">
        <v>2022</v>
      </c>
      <c r="AV445">
        <v>46</v>
      </c>
      <c r="AW445">
        <v>5</v>
      </c>
      <c r="AX445" t="s">
        <v>74</v>
      </c>
      <c r="AY445" t="s">
        <v>74</v>
      </c>
      <c r="AZ445" t="s">
        <v>259</v>
      </c>
      <c r="BA445" t="s">
        <v>74</v>
      </c>
      <c r="BB445">
        <v>1829</v>
      </c>
      <c r="BC445">
        <v>1858</v>
      </c>
      <c r="BD445" t="s">
        <v>74</v>
      </c>
      <c r="BE445" t="s">
        <v>6792</v>
      </c>
      <c r="BF445" t="str">
        <f>HYPERLINK("http://dx.doi.org/10.1111/ijcs.12809","http://dx.doi.org/10.1111/ijcs.12809")</f>
        <v>http://dx.doi.org/10.1111/ijcs.12809</v>
      </c>
      <c r="BG445" t="s">
        <v>74</v>
      </c>
      <c r="BH445" t="s">
        <v>4441</v>
      </c>
      <c r="BI445">
        <v>30</v>
      </c>
      <c r="BJ445" t="s">
        <v>153</v>
      </c>
      <c r="BK445" t="s">
        <v>101</v>
      </c>
      <c r="BL445" t="s">
        <v>154</v>
      </c>
      <c r="BM445" t="s">
        <v>6724</v>
      </c>
      <c r="BN445" t="s">
        <v>74</v>
      </c>
      <c r="BO445" t="s">
        <v>74</v>
      </c>
      <c r="BP445" t="s">
        <v>74</v>
      </c>
      <c r="BQ445" t="s">
        <v>74</v>
      </c>
      <c r="BR445" t="s">
        <v>6098</v>
      </c>
      <c r="BS445" t="s">
        <v>6793</v>
      </c>
      <c r="BT445" t="str">
        <f>HYPERLINK("https%3A%2F%2Fwww.webofscience.com%2Fwos%2Fwoscc%2Ffull-record%2FWOS:000777504000001","View Full Record in Web of Science")</f>
        <v>View Full Record in Web of Science</v>
      </c>
      <c r="BU445" t="s">
        <v>6100</v>
      </c>
      <c r="BV445" s="1" t="s">
        <v>6080</v>
      </c>
      <c r="BW445" s="1" t="s">
        <v>10653</v>
      </c>
    </row>
    <row r="446" spans="1:75" x14ac:dyDescent="0.35">
      <c r="A446" t="s">
        <v>72</v>
      </c>
      <c r="B446" t="s">
        <v>9711</v>
      </c>
      <c r="C446" t="s">
        <v>74</v>
      </c>
      <c r="D446" t="s">
        <v>74</v>
      </c>
      <c r="E446" t="s">
        <v>74</v>
      </c>
      <c r="F446" t="s">
        <v>9712</v>
      </c>
      <c r="G446" t="s">
        <v>74</v>
      </c>
      <c r="H446" t="s">
        <v>74</v>
      </c>
      <c r="I446" t="s">
        <v>9713</v>
      </c>
      <c r="J446" t="s">
        <v>9517</v>
      </c>
      <c r="K446" t="s">
        <v>74</v>
      </c>
      <c r="L446" t="s">
        <v>74</v>
      </c>
      <c r="M446" t="s">
        <v>78</v>
      </c>
      <c r="N446" t="s">
        <v>79</v>
      </c>
      <c r="O446" t="s">
        <v>74</v>
      </c>
      <c r="P446" t="s">
        <v>74</v>
      </c>
      <c r="Q446" t="s">
        <v>74</v>
      </c>
      <c r="R446" t="s">
        <v>74</v>
      </c>
      <c r="S446" t="s">
        <v>74</v>
      </c>
      <c r="T446" t="s">
        <v>9714</v>
      </c>
      <c r="U446" t="s">
        <v>9715</v>
      </c>
      <c r="V446" t="s">
        <v>9716</v>
      </c>
      <c r="W446" t="s">
        <v>9717</v>
      </c>
      <c r="X446" t="s">
        <v>9718</v>
      </c>
      <c r="Y446" t="s">
        <v>9719</v>
      </c>
      <c r="Z446" t="s">
        <v>9720</v>
      </c>
      <c r="AA446" t="s">
        <v>74</v>
      </c>
      <c r="AB446" t="s">
        <v>74</v>
      </c>
      <c r="AC446" t="s">
        <v>9721</v>
      </c>
      <c r="AD446" t="s">
        <v>9722</v>
      </c>
      <c r="AE446" t="s">
        <v>9723</v>
      </c>
      <c r="AF446" t="s">
        <v>74</v>
      </c>
      <c r="AG446">
        <v>24</v>
      </c>
      <c r="AH446">
        <v>3</v>
      </c>
      <c r="AI446">
        <v>3</v>
      </c>
      <c r="AJ446">
        <v>5</v>
      </c>
      <c r="AK446">
        <v>21</v>
      </c>
      <c r="AL446" t="s">
        <v>9528</v>
      </c>
      <c r="AM446" t="s">
        <v>9706</v>
      </c>
      <c r="AN446" t="s">
        <v>9707</v>
      </c>
      <c r="AO446" t="s">
        <v>9531</v>
      </c>
      <c r="AP446" t="s">
        <v>9532</v>
      </c>
      <c r="AQ446" t="s">
        <v>74</v>
      </c>
      <c r="AR446" t="s">
        <v>9533</v>
      </c>
      <c r="AS446" t="s">
        <v>9534</v>
      </c>
      <c r="AT446" t="s">
        <v>177</v>
      </c>
      <c r="AU446">
        <v>2019</v>
      </c>
      <c r="AV446">
        <v>6</v>
      </c>
      <c r="AW446">
        <v>1</v>
      </c>
      <c r="AX446" t="s">
        <v>74</v>
      </c>
      <c r="AY446" t="s">
        <v>74</v>
      </c>
      <c r="AZ446" t="s">
        <v>74</v>
      </c>
      <c r="BA446" t="s">
        <v>74</v>
      </c>
      <c r="BB446">
        <v>149</v>
      </c>
      <c r="BC446">
        <v>158</v>
      </c>
      <c r="BD446" t="s">
        <v>74</v>
      </c>
      <c r="BE446" t="s">
        <v>9724</v>
      </c>
      <c r="BF446" t="str">
        <f>HYPERLINK("http://dx.doi.org/10.13106/jafeb.2019.vol6.no1.149","http://dx.doi.org/10.13106/jafeb.2019.vol6.no1.149")</f>
        <v>http://dx.doi.org/10.13106/jafeb.2019.vol6.no1.149</v>
      </c>
      <c r="BG446" t="s">
        <v>74</v>
      </c>
      <c r="BH446" t="s">
        <v>74</v>
      </c>
      <c r="BI446">
        <v>10</v>
      </c>
      <c r="BJ446" t="s">
        <v>153</v>
      </c>
      <c r="BK446" t="s">
        <v>3880</v>
      </c>
      <c r="BL446" t="s">
        <v>154</v>
      </c>
      <c r="BM446" t="s">
        <v>9725</v>
      </c>
      <c r="BN446" t="s">
        <v>74</v>
      </c>
      <c r="BO446" t="s">
        <v>4746</v>
      </c>
      <c r="BP446" t="s">
        <v>74</v>
      </c>
      <c r="BQ446" t="s">
        <v>74</v>
      </c>
      <c r="BR446" t="s">
        <v>6098</v>
      </c>
      <c r="BS446" t="s">
        <v>9726</v>
      </c>
      <c r="BT446" t="str">
        <f>HYPERLINK("https%3A%2F%2Fwww.webofscience.com%2Fwos%2Fwoscc%2Ffull-record%2FWOS:000462333200013","View Full Record in Web of Science")</f>
        <v>View Full Record in Web of Science</v>
      </c>
      <c r="BU446" t="s">
        <v>6100</v>
      </c>
      <c r="BV446" s="1" t="s">
        <v>10653</v>
      </c>
    </row>
    <row r="447" spans="1:75" x14ac:dyDescent="0.35">
      <c r="A447" t="s">
        <v>2064</v>
      </c>
      <c r="B447" t="s">
        <v>9956</v>
      </c>
      <c r="C447" t="s">
        <v>74</v>
      </c>
      <c r="D447" t="s">
        <v>9957</v>
      </c>
      <c r="E447" t="s">
        <v>74</v>
      </c>
      <c r="F447" t="s">
        <v>9958</v>
      </c>
      <c r="G447" t="s">
        <v>74</v>
      </c>
      <c r="H447" t="s">
        <v>74</v>
      </c>
      <c r="I447" t="s">
        <v>9959</v>
      </c>
      <c r="J447" t="s">
        <v>9960</v>
      </c>
      <c r="K447" t="s">
        <v>74</v>
      </c>
      <c r="L447" t="s">
        <v>74</v>
      </c>
      <c r="M447" t="s">
        <v>78</v>
      </c>
      <c r="N447" t="s">
        <v>3379</v>
      </c>
      <c r="O447" t="s">
        <v>74</v>
      </c>
      <c r="P447" t="s">
        <v>74</v>
      </c>
      <c r="Q447" t="s">
        <v>74</v>
      </c>
      <c r="R447" t="s">
        <v>74</v>
      </c>
      <c r="S447" t="s">
        <v>74</v>
      </c>
      <c r="T447" t="s">
        <v>74</v>
      </c>
      <c r="U447" t="s">
        <v>9961</v>
      </c>
      <c r="V447" t="s">
        <v>9962</v>
      </c>
      <c r="W447" t="s">
        <v>9963</v>
      </c>
      <c r="X447" t="s">
        <v>9964</v>
      </c>
      <c r="Y447" t="s">
        <v>9965</v>
      </c>
      <c r="Z447" t="s">
        <v>74</v>
      </c>
      <c r="AA447" t="s">
        <v>74</v>
      </c>
      <c r="AB447" t="s">
        <v>74</v>
      </c>
      <c r="AC447" t="s">
        <v>74</v>
      </c>
      <c r="AD447" t="s">
        <v>74</v>
      </c>
      <c r="AE447" t="s">
        <v>74</v>
      </c>
      <c r="AF447" t="s">
        <v>74</v>
      </c>
      <c r="AG447">
        <v>62</v>
      </c>
      <c r="AH447">
        <v>1</v>
      </c>
      <c r="AI447">
        <v>1</v>
      </c>
      <c r="AJ447">
        <v>0</v>
      </c>
      <c r="AK447">
        <v>1</v>
      </c>
      <c r="AL447" t="s">
        <v>9966</v>
      </c>
      <c r="AM447" t="s">
        <v>1181</v>
      </c>
      <c r="AN447" t="s">
        <v>9967</v>
      </c>
      <c r="AO447" t="s">
        <v>74</v>
      </c>
      <c r="AP447" t="s">
        <v>74</v>
      </c>
      <c r="AQ447" t="s">
        <v>9968</v>
      </c>
      <c r="AR447" t="s">
        <v>74</v>
      </c>
      <c r="AS447" t="s">
        <v>74</v>
      </c>
      <c r="AT447" t="s">
        <v>74</v>
      </c>
      <c r="AU447">
        <v>2019</v>
      </c>
      <c r="AV447" t="s">
        <v>74</v>
      </c>
      <c r="AW447" t="s">
        <v>74</v>
      </c>
      <c r="AX447" t="s">
        <v>74</v>
      </c>
      <c r="AY447" t="s">
        <v>74</v>
      </c>
      <c r="AZ447" t="s">
        <v>74</v>
      </c>
      <c r="BA447" t="s">
        <v>74</v>
      </c>
      <c r="BB447">
        <v>385</v>
      </c>
      <c r="BC447">
        <v>402</v>
      </c>
      <c r="BD447" t="s">
        <v>74</v>
      </c>
      <c r="BE447" t="s">
        <v>74</v>
      </c>
      <c r="BF447" t="s">
        <v>74</v>
      </c>
      <c r="BG447" t="s">
        <v>74</v>
      </c>
      <c r="BH447" t="s">
        <v>74</v>
      </c>
      <c r="BI447">
        <v>18</v>
      </c>
      <c r="BJ447" t="s">
        <v>9969</v>
      </c>
      <c r="BK447" t="s">
        <v>1989</v>
      </c>
      <c r="BL447" t="s">
        <v>216</v>
      </c>
      <c r="BM447" t="s">
        <v>9970</v>
      </c>
      <c r="BN447" t="s">
        <v>74</v>
      </c>
      <c r="BO447" t="s">
        <v>74</v>
      </c>
      <c r="BP447" t="s">
        <v>74</v>
      </c>
      <c r="BQ447" t="s">
        <v>74</v>
      </c>
      <c r="BR447" t="s">
        <v>6098</v>
      </c>
      <c r="BS447" t="s">
        <v>9971</v>
      </c>
      <c r="BT447" t="str">
        <f>HYPERLINK("https%3A%2F%2Fwww.webofscience.com%2Fwos%2Fwoscc%2Ffull-record%2FWOS:000509553400022","View Full Record in Web of Science")</f>
        <v>View Full Record in Web of Science</v>
      </c>
      <c r="BU447" t="s">
        <v>6100</v>
      </c>
      <c r="BV447" s="1" t="s">
        <v>6080</v>
      </c>
      <c r="BW447" s="1" t="s">
        <v>6080</v>
      </c>
    </row>
    <row r="448" spans="1:75" x14ac:dyDescent="0.35">
      <c r="A448" t="s">
        <v>72</v>
      </c>
      <c r="B448" t="s">
        <v>4609</v>
      </c>
      <c r="C448" t="s">
        <v>74</v>
      </c>
      <c r="D448" t="s">
        <v>74</v>
      </c>
      <c r="E448" t="s">
        <v>74</v>
      </c>
      <c r="F448" t="s">
        <v>4610</v>
      </c>
      <c r="G448" t="s">
        <v>74</v>
      </c>
      <c r="H448" t="s">
        <v>74</v>
      </c>
      <c r="I448" t="s">
        <v>4611</v>
      </c>
      <c r="J448" t="s">
        <v>240</v>
      </c>
      <c r="K448" t="s">
        <v>74</v>
      </c>
      <c r="L448" t="s">
        <v>74</v>
      </c>
      <c r="M448" t="s">
        <v>78</v>
      </c>
      <c r="N448" t="s">
        <v>79</v>
      </c>
      <c r="O448" t="s">
        <v>74</v>
      </c>
      <c r="P448" t="s">
        <v>74</v>
      </c>
      <c r="Q448" t="s">
        <v>74</v>
      </c>
      <c r="R448" t="s">
        <v>74</v>
      </c>
      <c r="S448" t="s">
        <v>74</v>
      </c>
      <c r="T448" t="s">
        <v>4612</v>
      </c>
      <c r="U448" t="s">
        <v>4613</v>
      </c>
      <c r="V448" t="s">
        <v>4614</v>
      </c>
      <c r="W448" t="s">
        <v>4615</v>
      </c>
      <c r="X448" t="s">
        <v>4616</v>
      </c>
      <c r="Y448" t="s">
        <v>4617</v>
      </c>
      <c r="Z448" t="s">
        <v>4618</v>
      </c>
      <c r="AA448" t="s">
        <v>74</v>
      </c>
      <c r="AB448" t="s">
        <v>4619</v>
      </c>
      <c r="AC448" t="s">
        <v>74</v>
      </c>
      <c r="AD448" t="s">
        <v>74</v>
      </c>
      <c r="AE448" t="s">
        <v>74</v>
      </c>
      <c r="AF448" t="s">
        <v>74</v>
      </c>
      <c r="AG448">
        <v>51</v>
      </c>
      <c r="AH448">
        <v>5</v>
      </c>
      <c r="AI448">
        <v>5</v>
      </c>
      <c r="AJ448">
        <v>7</v>
      </c>
      <c r="AK448">
        <v>43</v>
      </c>
      <c r="AL448" t="s">
        <v>144</v>
      </c>
      <c r="AM448" t="s">
        <v>145</v>
      </c>
      <c r="AN448" t="s">
        <v>146</v>
      </c>
      <c r="AO448" t="s">
        <v>254</v>
      </c>
      <c r="AP448" t="s">
        <v>255</v>
      </c>
      <c r="AQ448" t="s">
        <v>74</v>
      </c>
      <c r="AR448" t="s">
        <v>256</v>
      </c>
      <c r="AS448" t="s">
        <v>257</v>
      </c>
      <c r="AT448" t="s">
        <v>517</v>
      </c>
      <c r="AU448">
        <v>2021</v>
      </c>
      <c r="AV448">
        <v>85</v>
      </c>
      <c r="AW448">
        <v>5</v>
      </c>
      <c r="AX448" t="s">
        <v>74</v>
      </c>
      <c r="AY448" t="s">
        <v>74</v>
      </c>
      <c r="AZ448" t="s">
        <v>74</v>
      </c>
      <c r="BA448" t="s">
        <v>74</v>
      </c>
      <c r="BB448">
        <v>22</v>
      </c>
      <c r="BC448">
        <v>41</v>
      </c>
      <c r="BD448" t="s">
        <v>74</v>
      </c>
      <c r="BE448" t="s">
        <v>4620</v>
      </c>
      <c r="BF448" t="str">
        <f>HYPERLINK("http://dx.doi.org/10.1177/00222429211028145","http://dx.doi.org/10.1177/00222429211028145")</f>
        <v>http://dx.doi.org/10.1177/00222429211028145</v>
      </c>
      <c r="BG448" t="s">
        <v>74</v>
      </c>
      <c r="BH448" t="s">
        <v>74</v>
      </c>
      <c r="BI448">
        <v>20</v>
      </c>
      <c r="BJ448" t="s">
        <v>153</v>
      </c>
      <c r="BK448" t="s">
        <v>101</v>
      </c>
      <c r="BL448" t="s">
        <v>154</v>
      </c>
      <c r="BM448" t="s">
        <v>4621</v>
      </c>
      <c r="BN448" t="s">
        <v>74</v>
      </c>
      <c r="BO448" t="s">
        <v>74</v>
      </c>
      <c r="BP448" t="s">
        <v>74</v>
      </c>
      <c r="BQ448" t="s">
        <v>74</v>
      </c>
      <c r="BR448" t="s">
        <v>6098</v>
      </c>
      <c r="BS448" t="s">
        <v>4622</v>
      </c>
      <c r="BT448" t="str">
        <f>HYPERLINK("https%3A%2F%2Fwww.webofscience.com%2Fwos%2Fwoscc%2Ffull-record%2FWOS:000687648900002","View Full Record in Web of Science")</f>
        <v>View Full Record in Web of Science</v>
      </c>
      <c r="BU448" t="s">
        <v>6100</v>
      </c>
      <c r="BV448" s="1" t="s">
        <v>6080</v>
      </c>
      <c r="BW448" s="1" t="s">
        <v>10653</v>
      </c>
    </row>
    <row r="449" spans="1:75" x14ac:dyDescent="0.35">
      <c r="A449" t="s">
        <v>72</v>
      </c>
      <c r="B449" t="s">
        <v>6827</v>
      </c>
      <c r="C449" t="s">
        <v>74</v>
      </c>
      <c r="D449" t="s">
        <v>74</v>
      </c>
      <c r="E449" t="s">
        <v>74</v>
      </c>
      <c r="F449" t="s">
        <v>6828</v>
      </c>
      <c r="G449" t="s">
        <v>74</v>
      </c>
      <c r="H449" t="s">
        <v>74</v>
      </c>
      <c r="I449" t="s">
        <v>6829</v>
      </c>
      <c r="J449" t="s">
        <v>3737</v>
      </c>
      <c r="K449" t="s">
        <v>74</v>
      </c>
      <c r="L449" t="s">
        <v>74</v>
      </c>
      <c r="M449" t="s">
        <v>78</v>
      </c>
      <c r="N449" t="s">
        <v>79</v>
      </c>
      <c r="O449" t="s">
        <v>74</v>
      </c>
      <c r="P449" t="s">
        <v>74</v>
      </c>
      <c r="Q449" t="s">
        <v>74</v>
      </c>
      <c r="R449" t="s">
        <v>74</v>
      </c>
      <c r="S449" t="s">
        <v>74</v>
      </c>
      <c r="T449" t="s">
        <v>6830</v>
      </c>
      <c r="U449" t="s">
        <v>6831</v>
      </c>
      <c r="V449" t="s">
        <v>6832</v>
      </c>
      <c r="W449" t="s">
        <v>6833</v>
      </c>
      <c r="X449" t="s">
        <v>6834</v>
      </c>
      <c r="Y449" t="s">
        <v>6835</v>
      </c>
      <c r="Z449" t="s">
        <v>6836</v>
      </c>
      <c r="AA449" t="s">
        <v>6837</v>
      </c>
      <c r="AB449" t="s">
        <v>6838</v>
      </c>
      <c r="AC449" t="s">
        <v>6839</v>
      </c>
      <c r="AD449" t="s">
        <v>6839</v>
      </c>
      <c r="AE449" t="s">
        <v>6840</v>
      </c>
      <c r="AF449" t="s">
        <v>74</v>
      </c>
      <c r="AG449">
        <v>92</v>
      </c>
      <c r="AH449">
        <v>61</v>
      </c>
      <c r="AI449">
        <v>61</v>
      </c>
      <c r="AJ449">
        <v>74</v>
      </c>
      <c r="AK449">
        <v>238</v>
      </c>
      <c r="AL449" t="s">
        <v>324</v>
      </c>
      <c r="AM449" t="s">
        <v>325</v>
      </c>
      <c r="AN449" t="s">
        <v>2004</v>
      </c>
      <c r="AO449" t="s">
        <v>3743</v>
      </c>
      <c r="AP449" t="s">
        <v>3831</v>
      </c>
      <c r="AQ449" t="s">
        <v>74</v>
      </c>
      <c r="AR449" t="s">
        <v>3744</v>
      </c>
      <c r="AS449" t="s">
        <v>3745</v>
      </c>
      <c r="AT449" t="s">
        <v>213</v>
      </c>
      <c r="AU449">
        <v>2021</v>
      </c>
      <c r="AV449">
        <v>124</v>
      </c>
      <c r="AW449" t="s">
        <v>74</v>
      </c>
      <c r="AX449" t="s">
        <v>74</v>
      </c>
      <c r="AY449" t="s">
        <v>74</v>
      </c>
      <c r="AZ449" t="s">
        <v>74</v>
      </c>
      <c r="BA449" t="s">
        <v>74</v>
      </c>
      <c r="BB449">
        <v>389</v>
      </c>
      <c r="BC449">
        <v>404</v>
      </c>
      <c r="BD449" t="s">
        <v>74</v>
      </c>
      <c r="BE449" t="s">
        <v>6841</v>
      </c>
      <c r="BF449" t="str">
        <f>HYPERLINK("http://dx.doi.org/10.1016/j.jbusres.2020.10.044","http://dx.doi.org/10.1016/j.jbusres.2020.10.044")</f>
        <v>http://dx.doi.org/10.1016/j.jbusres.2020.10.044</v>
      </c>
      <c r="BG449" t="s">
        <v>74</v>
      </c>
      <c r="BH449" t="s">
        <v>6842</v>
      </c>
      <c r="BI449">
        <v>16</v>
      </c>
      <c r="BJ449" t="s">
        <v>153</v>
      </c>
      <c r="BK449" t="s">
        <v>101</v>
      </c>
      <c r="BL449" t="s">
        <v>154</v>
      </c>
      <c r="BM449" t="s">
        <v>6843</v>
      </c>
      <c r="BN449" t="s">
        <v>74</v>
      </c>
      <c r="BO449" t="s">
        <v>74</v>
      </c>
      <c r="BP449" t="s">
        <v>218</v>
      </c>
      <c r="BQ449" t="s">
        <v>219</v>
      </c>
      <c r="BR449" t="s">
        <v>6098</v>
      </c>
      <c r="BS449" t="s">
        <v>6844</v>
      </c>
      <c r="BT449" t="str">
        <f>HYPERLINK("https%3A%2F%2Fwww.webofscience.com%2Fwos%2Fwoscc%2Ffull-record%2FWOS:000605608800032","View Full Record in Web of Science")</f>
        <v>View Full Record in Web of Science</v>
      </c>
      <c r="BU449" t="s">
        <v>6100</v>
      </c>
      <c r="BV449" s="1" t="s">
        <v>6080</v>
      </c>
      <c r="BW449" s="1" t="s">
        <v>10653</v>
      </c>
    </row>
    <row r="450" spans="1:75" x14ac:dyDescent="0.35">
      <c r="A450" t="s">
        <v>72</v>
      </c>
      <c r="B450" t="s">
        <v>10082</v>
      </c>
      <c r="C450" t="s">
        <v>74</v>
      </c>
      <c r="D450" t="s">
        <v>74</v>
      </c>
      <c r="E450" t="s">
        <v>74</v>
      </c>
      <c r="F450" t="s">
        <v>10083</v>
      </c>
      <c r="G450" t="s">
        <v>74</v>
      </c>
      <c r="H450" t="s">
        <v>74</v>
      </c>
      <c r="I450" t="s">
        <v>10084</v>
      </c>
      <c r="J450" t="s">
        <v>7930</v>
      </c>
      <c r="K450" t="s">
        <v>74</v>
      </c>
      <c r="L450" t="s">
        <v>74</v>
      </c>
      <c r="M450" t="s">
        <v>78</v>
      </c>
      <c r="N450" t="s">
        <v>79</v>
      </c>
      <c r="O450" t="s">
        <v>74</v>
      </c>
      <c r="P450" t="s">
        <v>74</v>
      </c>
      <c r="Q450" t="s">
        <v>74</v>
      </c>
      <c r="R450" t="s">
        <v>74</v>
      </c>
      <c r="S450" t="s">
        <v>74</v>
      </c>
      <c r="T450" t="s">
        <v>10085</v>
      </c>
      <c r="U450" t="s">
        <v>10086</v>
      </c>
      <c r="V450" t="s">
        <v>10087</v>
      </c>
      <c r="W450" t="s">
        <v>10088</v>
      </c>
      <c r="X450" t="s">
        <v>10089</v>
      </c>
      <c r="Y450" t="s">
        <v>10090</v>
      </c>
      <c r="Z450" t="s">
        <v>10091</v>
      </c>
      <c r="AA450" t="s">
        <v>10092</v>
      </c>
      <c r="AB450" t="s">
        <v>10093</v>
      </c>
      <c r="AC450" t="s">
        <v>74</v>
      </c>
      <c r="AD450" t="s">
        <v>74</v>
      </c>
      <c r="AE450" t="s">
        <v>74</v>
      </c>
      <c r="AF450" t="s">
        <v>74</v>
      </c>
      <c r="AG450">
        <v>60</v>
      </c>
      <c r="AH450">
        <v>44</v>
      </c>
      <c r="AI450">
        <v>44</v>
      </c>
      <c r="AJ450">
        <v>4</v>
      </c>
      <c r="AK450">
        <v>94</v>
      </c>
      <c r="AL450" t="s">
        <v>652</v>
      </c>
      <c r="AM450" t="s">
        <v>653</v>
      </c>
      <c r="AN450" t="s">
        <v>654</v>
      </c>
      <c r="AO450" t="s">
        <v>7940</v>
      </c>
      <c r="AP450" t="s">
        <v>7941</v>
      </c>
      <c r="AQ450" t="s">
        <v>74</v>
      </c>
      <c r="AR450" t="s">
        <v>7942</v>
      </c>
      <c r="AS450" t="s">
        <v>7943</v>
      </c>
      <c r="AT450" t="s">
        <v>281</v>
      </c>
      <c r="AU450">
        <v>2019</v>
      </c>
      <c r="AV450">
        <v>74</v>
      </c>
      <c r="AW450" t="s">
        <v>74</v>
      </c>
      <c r="AX450" t="s">
        <v>74</v>
      </c>
      <c r="AY450" t="s">
        <v>74</v>
      </c>
      <c r="AZ450" t="s">
        <v>74</v>
      </c>
      <c r="BA450" t="s">
        <v>74</v>
      </c>
      <c r="BB450">
        <v>24</v>
      </c>
      <c r="BC450">
        <v>42</v>
      </c>
      <c r="BD450" t="s">
        <v>74</v>
      </c>
      <c r="BE450" t="s">
        <v>10094</v>
      </c>
      <c r="BF450" t="str">
        <f>HYPERLINK("http://dx.doi.org/10.1016/j.tourman.2019.02.011","http://dx.doi.org/10.1016/j.tourman.2019.02.011")</f>
        <v>http://dx.doi.org/10.1016/j.tourman.2019.02.011</v>
      </c>
      <c r="BG450" t="s">
        <v>74</v>
      </c>
      <c r="BH450" t="s">
        <v>74</v>
      </c>
      <c r="BI450">
        <v>19</v>
      </c>
      <c r="BJ450" t="s">
        <v>7945</v>
      </c>
      <c r="BK450" t="s">
        <v>101</v>
      </c>
      <c r="BL450" t="s">
        <v>7946</v>
      </c>
      <c r="BM450" t="s">
        <v>10095</v>
      </c>
      <c r="BN450" t="s">
        <v>74</v>
      </c>
      <c r="BO450" t="s">
        <v>74</v>
      </c>
      <c r="BP450" t="s">
        <v>74</v>
      </c>
      <c r="BQ450" t="s">
        <v>74</v>
      </c>
      <c r="BR450" t="s">
        <v>6098</v>
      </c>
      <c r="BS450" t="s">
        <v>10096</v>
      </c>
      <c r="BT450" t="str">
        <f>HYPERLINK("https%3A%2F%2Fwww.webofscience.com%2Fwos%2Fwoscc%2Ffull-record%2FWOS:000469890300003","View Full Record in Web of Science")</f>
        <v>View Full Record in Web of Science</v>
      </c>
      <c r="BU450" t="s">
        <v>6100</v>
      </c>
      <c r="BV450" s="1" t="s">
        <v>10653</v>
      </c>
    </row>
    <row r="451" spans="1:75" x14ac:dyDescent="0.35">
      <c r="A451" t="s">
        <v>72</v>
      </c>
      <c r="B451" t="s">
        <v>10189</v>
      </c>
      <c r="C451" t="s">
        <v>74</v>
      </c>
      <c r="D451" t="s">
        <v>74</v>
      </c>
      <c r="E451" t="s">
        <v>74</v>
      </c>
      <c r="F451" t="s">
        <v>10190</v>
      </c>
      <c r="G451" t="s">
        <v>74</v>
      </c>
      <c r="H451" t="s">
        <v>74</v>
      </c>
      <c r="I451" t="s">
        <v>10191</v>
      </c>
      <c r="J451" t="s">
        <v>8245</v>
      </c>
      <c r="K451" t="s">
        <v>74</v>
      </c>
      <c r="L451" t="s">
        <v>74</v>
      </c>
      <c r="M451" t="s">
        <v>78</v>
      </c>
      <c r="N451" t="s">
        <v>79</v>
      </c>
      <c r="O451" t="s">
        <v>74</v>
      </c>
      <c r="P451" t="s">
        <v>74</v>
      </c>
      <c r="Q451" t="s">
        <v>74</v>
      </c>
      <c r="R451" t="s">
        <v>74</v>
      </c>
      <c r="S451" t="s">
        <v>74</v>
      </c>
      <c r="T451" t="s">
        <v>10192</v>
      </c>
      <c r="U451" t="s">
        <v>10193</v>
      </c>
      <c r="V451" t="s">
        <v>10194</v>
      </c>
      <c r="W451" t="s">
        <v>10195</v>
      </c>
      <c r="X451" t="s">
        <v>10196</v>
      </c>
      <c r="Y451" t="s">
        <v>10197</v>
      </c>
      <c r="Z451" t="s">
        <v>10198</v>
      </c>
      <c r="AA451" t="s">
        <v>10199</v>
      </c>
      <c r="AB451" t="s">
        <v>10200</v>
      </c>
      <c r="AC451" t="s">
        <v>10201</v>
      </c>
      <c r="AD451" t="s">
        <v>10202</v>
      </c>
      <c r="AE451" t="s">
        <v>10203</v>
      </c>
      <c r="AF451" t="s">
        <v>74</v>
      </c>
      <c r="AG451">
        <v>57</v>
      </c>
      <c r="AH451">
        <v>22</v>
      </c>
      <c r="AI451">
        <v>22</v>
      </c>
      <c r="AJ451">
        <v>15</v>
      </c>
      <c r="AK451">
        <v>84</v>
      </c>
      <c r="AL451" t="s">
        <v>1982</v>
      </c>
      <c r="AM451" t="s">
        <v>1983</v>
      </c>
      <c r="AN451" t="s">
        <v>2573</v>
      </c>
      <c r="AO451" t="s">
        <v>8255</v>
      </c>
      <c r="AP451" t="s">
        <v>8256</v>
      </c>
      <c r="AQ451" t="s">
        <v>74</v>
      </c>
      <c r="AR451" t="s">
        <v>8257</v>
      </c>
      <c r="AS451" t="s">
        <v>8258</v>
      </c>
      <c r="AT451" t="s">
        <v>74</v>
      </c>
      <c r="AU451">
        <v>2019</v>
      </c>
      <c r="AV451">
        <v>31</v>
      </c>
      <c r="AW451">
        <v>7</v>
      </c>
      <c r="AX451" t="s">
        <v>74</v>
      </c>
      <c r="AY451" t="s">
        <v>74</v>
      </c>
      <c r="AZ451" t="s">
        <v>74</v>
      </c>
      <c r="BA451" t="s">
        <v>74</v>
      </c>
      <c r="BB451">
        <v>2739</v>
      </c>
      <c r="BC451">
        <v>2758</v>
      </c>
      <c r="BD451" t="s">
        <v>74</v>
      </c>
      <c r="BE451" t="s">
        <v>10204</v>
      </c>
      <c r="BF451" t="str">
        <f>HYPERLINK("http://dx.doi.org/10.1108/IJCHM-09-2018-0740","http://dx.doi.org/10.1108/IJCHM-09-2018-0740")</f>
        <v>http://dx.doi.org/10.1108/IJCHM-09-2018-0740</v>
      </c>
      <c r="BG451" t="s">
        <v>74</v>
      </c>
      <c r="BH451" t="s">
        <v>74</v>
      </c>
      <c r="BI451">
        <v>20</v>
      </c>
      <c r="BJ451" t="s">
        <v>6387</v>
      </c>
      <c r="BK451" t="s">
        <v>101</v>
      </c>
      <c r="BL451" t="s">
        <v>6388</v>
      </c>
      <c r="BM451" t="s">
        <v>10205</v>
      </c>
      <c r="BN451" t="s">
        <v>74</v>
      </c>
      <c r="BO451" t="s">
        <v>74</v>
      </c>
      <c r="BP451" t="s">
        <v>74</v>
      </c>
      <c r="BQ451" t="s">
        <v>74</v>
      </c>
      <c r="BR451" t="s">
        <v>6098</v>
      </c>
      <c r="BS451" t="s">
        <v>10206</v>
      </c>
      <c r="BT451" t="str">
        <f>HYPERLINK("https%3A%2F%2Fwww.webofscience.com%2Fwos%2Fwoscc%2Ffull-record%2FWOS:000495000300007","View Full Record in Web of Science")</f>
        <v>View Full Record in Web of Science</v>
      </c>
      <c r="BU451" t="s">
        <v>6100</v>
      </c>
      <c r="BV451" s="1" t="s">
        <v>10653</v>
      </c>
    </row>
    <row r="452" spans="1:75" x14ac:dyDescent="0.35">
      <c r="A452" t="s">
        <v>72</v>
      </c>
      <c r="B452" t="s">
        <v>6880</v>
      </c>
      <c r="C452" t="s">
        <v>74</v>
      </c>
      <c r="D452" t="s">
        <v>74</v>
      </c>
      <c r="E452" t="s">
        <v>74</v>
      </c>
      <c r="F452" t="s">
        <v>6881</v>
      </c>
      <c r="G452" t="s">
        <v>74</v>
      </c>
      <c r="H452" t="s">
        <v>74</v>
      </c>
      <c r="I452" t="s">
        <v>6882</v>
      </c>
      <c r="J452" t="s">
        <v>6883</v>
      </c>
      <c r="K452" t="s">
        <v>74</v>
      </c>
      <c r="L452" t="s">
        <v>74</v>
      </c>
      <c r="M452" t="s">
        <v>78</v>
      </c>
      <c r="N452" t="s">
        <v>110</v>
      </c>
      <c r="O452" t="s">
        <v>74</v>
      </c>
      <c r="P452" t="s">
        <v>74</v>
      </c>
      <c r="Q452" t="s">
        <v>74</v>
      </c>
      <c r="R452" t="s">
        <v>74</v>
      </c>
      <c r="S452" t="s">
        <v>74</v>
      </c>
      <c r="T452" t="s">
        <v>6884</v>
      </c>
      <c r="U452" t="s">
        <v>6885</v>
      </c>
      <c r="V452" t="s">
        <v>6886</v>
      </c>
      <c r="W452" t="s">
        <v>6887</v>
      </c>
      <c r="X452" t="s">
        <v>6888</v>
      </c>
      <c r="Y452" t="s">
        <v>6889</v>
      </c>
      <c r="Z452" t="s">
        <v>6890</v>
      </c>
      <c r="AA452" t="s">
        <v>6891</v>
      </c>
      <c r="AB452" t="s">
        <v>74</v>
      </c>
      <c r="AC452" t="s">
        <v>74</v>
      </c>
      <c r="AD452" t="s">
        <v>74</v>
      </c>
      <c r="AE452" t="s">
        <v>74</v>
      </c>
      <c r="AF452" t="s">
        <v>74</v>
      </c>
      <c r="AG452">
        <v>70</v>
      </c>
      <c r="AH452">
        <v>38</v>
      </c>
      <c r="AI452">
        <v>39</v>
      </c>
      <c r="AJ452">
        <v>20</v>
      </c>
      <c r="AK452">
        <v>189</v>
      </c>
      <c r="AL452" t="s">
        <v>1982</v>
      </c>
      <c r="AM452" t="s">
        <v>1983</v>
      </c>
      <c r="AN452" t="s">
        <v>2573</v>
      </c>
      <c r="AO452" t="s">
        <v>6892</v>
      </c>
      <c r="AP452" t="s">
        <v>6893</v>
      </c>
      <c r="AQ452" t="s">
        <v>74</v>
      </c>
      <c r="AR452" t="s">
        <v>6894</v>
      </c>
      <c r="AS452" t="s">
        <v>6895</v>
      </c>
      <c r="AT452" t="s">
        <v>74</v>
      </c>
      <c r="AU452">
        <v>2018</v>
      </c>
      <c r="AV452">
        <v>22</v>
      </c>
      <c r="AW452">
        <v>7</v>
      </c>
      <c r="AX452" t="s">
        <v>74</v>
      </c>
      <c r="AY452" t="s">
        <v>74</v>
      </c>
      <c r="AZ452" t="s">
        <v>74</v>
      </c>
      <c r="BA452" t="s">
        <v>74</v>
      </c>
      <c r="BB452">
        <v>1471</v>
      </c>
      <c r="BC452">
        <v>1488</v>
      </c>
      <c r="BD452" t="s">
        <v>74</v>
      </c>
      <c r="BE452" t="s">
        <v>6896</v>
      </c>
      <c r="BF452" t="str">
        <f>HYPERLINK("http://dx.doi.org/10.1108/JKM-11-2017-0517","http://dx.doi.org/10.1108/JKM-11-2017-0517")</f>
        <v>http://dx.doi.org/10.1108/JKM-11-2017-0517</v>
      </c>
      <c r="BG452" t="s">
        <v>74</v>
      </c>
      <c r="BH452" t="s">
        <v>74</v>
      </c>
      <c r="BI452">
        <v>18</v>
      </c>
      <c r="BJ452" t="s">
        <v>4237</v>
      </c>
      <c r="BK452" t="s">
        <v>101</v>
      </c>
      <c r="BL452" t="s">
        <v>4238</v>
      </c>
      <c r="BM452" t="s">
        <v>6897</v>
      </c>
      <c r="BN452" t="s">
        <v>74</v>
      </c>
      <c r="BO452" t="s">
        <v>156</v>
      </c>
      <c r="BP452" t="s">
        <v>74</v>
      </c>
      <c r="BQ452" t="s">
        <v>74</v>
      </c>
      <c r="BR452" t="s">
        <v>6098</v>
      </c>
      <c r="BS452" t="s">
        <v>6898</v>
      </c>
      <c r="BT452" t="str">
        <f>HYPERLINK("https%3A%2F%2Fwww.webofscience.com%2Fwos%2Fwoscc%2Ffull-record%2FWOS:000443538300003","View Full Record in Web of Science")</f>
        <v>View Full Record in Web of Science</v>
      </c>
      <c r="BU452" t="s">
        <v>6100</v>
      </c>
      <c r="BV452" s="1" t="s">
        <v>6080</v>
      </c>
      <c r="BW452" s="1" t="s">
        <v>10653</v>
      </c>
    </row>
    <row r="453" spans="1:75" x14ac:dyDescent="0.35">
      <c r="A453" t="s">
        <v>72</v>
      </c>
      <c r="B453" t="s">
        <v>10271</v>
      </c>
      <c r="C453" t="s">
        <v>74</v>
      </c>
      <c r="D453" t="s">
        <v>74</v>
      </c>
      <c r="E453" t="s">
        <v>74</v>
      </c>
      <c r="F453" t="s">
        <v>10272</v>
      </c>
      <c r="G453" t="s">
        <v>74</v>
      </c>
      <c r="H453" t="s">
        <v>74</v>
      </c>
      <c r="I453" t="s">
        <v>10273</v>
      </c>
      <c r="J453" t="s">
        <v>5066</v>
      </c>
      <c r="K453" t="s">
        <v>74</v>
      </c>
      <c r="L453" t="s">
        <v>74</v>
      </c>
      <c r="M453" t="s">
        <v>78</v>
      </c>
      <c r="N453" t="s">
        <v>79</v>
      </c>
      <c r="O453" t="s">
        <v>74</v>
      </c>
      <c r="P453" t="s">
        <v>74</v>
      </c>
      <c r="Q453" t="s">
        <v>74</v>
      </c>
      <c r="R453" t="s">
        <v>74</v>
      </c>
      <c r="S453" t="s">
        <v>74</v>
      </c>
      <c r="T453" t="s">
        <v>10274</v>
      </c>
      <c r="U453" t="s">
        <v>10275</v>
      </c>
      <c r="V453" t="s">
        <v>10276</v>
      </c>
      <c r="W453" t="s">
        <v>10277</v>
      </c>
      <c r="X453" t="s">
        <v>10278</v>
      </c>
      <c r="Y453" t="s">
        <v>10279</v>
      </c>
      <c r="Z453" t="s">
        <v>10280</v>
      </c>
      <c r="AA453" t="s">
        <v>10281</v>
      </c>
      <c r="AB453" t="s">
        <v>10282</v>
      </c>
      <c r="AC453" t="s">
        <v>10283</v>
      </c>
      <c r="AD453" t="s">
        <v>10283</v>
      </c>
      <c r="AE453" t="s">
        <v>10284</v>
      </c>
      <c r="AF453" t="s">
        <v>74</v>
      </c>
      <c r="AG453">
        <v>82</v>
      </c>
      <c r="AH453">
        <v>18</v>
      </c>
      <c r="AI453">
        <v>18</v>
      </c>
      <c r="AJ453">
        <v>1</v>
      </c>
      <c r="AK453">
        <v>9</v>
      </c>
      <c r="AL453" t="s">
        <v>1982</v>
      </c>
      <c r="AM453" t="s">
        <v>1983</v>
      </c>
      <c r="AN453" t="s">
        <v>2573</v>
      </c>
      <c r="AO453" t="s">
        <v>5076</v>
      </c>
      <c r="AP453" t="s">
        <v>5077</v>
      </c>
      <c r="AQ453" t="s">
        <v>74</v>
      </c>
      <c r="AR453" t="s">
        <v>5078</v>
      </c>
      <c r="AS453" t="s">
        <v>5079</v>
      </c>
      <c r="AT453" t="s">
        <v>10285</v>
      </c>
      <c r="AU453">
        <v>2019</v>
      </c>
      <c r="AV453">
        <v>53</v>
      </c>
      <c r="AW453">
        <v>9</v>
      </c>
      <c r="AX453" t="s">
        <v>74</v>
      </c>
      <c r="AY453" t="s">
        <v>74</v>
      </c>
      <c r="AZ453" t="s">
        <v>259</v>
      </c>
      <c r="BA453" t="s">
        <v>74</v>
      </c>
      <c r="BB453">
        <v>1934</v>
      </c>
      <c r="BC453">
        <v>1961</v>
      </c>
      <c r="BD453" t="s">
        <v>74</v>
      </c>
      <c r="BE453" t="s">
        <v>10286</v>
      </c>
      <c r="BF453" t="str">
        <f>HYPERLINK("http://dx.doi.org/10.1108/EJM-10-2017-0759","http://dx.doi.org/10.1108/EJM-10-2017-0759")</f>
        <v>http://dx.doi.org/10.1108/EJM-10-2017-0759</v>
      </c>
      <c r="BG453" t="s">
        <v>74</v>
      </c>
      <c r="BH453" t="s">
        <v>74</v>
      </c>
      <c r="BI453">
        <v>28</v>
      </c>
      <c r="BJ453" t="s">
        <v>153</v>
      </c>
      <c r="BK453" t="s">
        <v>101</v>
      </c>
      <c r="BL453" t="s">
        <v>154</v>
      </c>
      <c r="BM453" t="s">
        <v>10287</v>
      </c>
      <c r="BN453" t="s">
        <v>74</v>
      </c>
      <c r="BO453" t="s">
        <v>156</v>
      </c>
      <c r="BP453" t="s">
        <v>74</v>
      </c>
      <c r="BQ453" t="s">
        <v>74</v>
      </c>
      <c r="BR453" t="s">
        <v>6098</v>
      </c>
      <c r="BS453" t="s">
        <v>10288</v>
      </c>
      <c r="BT453" t="str">
        <f>HYPERLINK("https%3A%2F%2Fwww.webofscience.com%2Fwos%2Fwoscc%2Ffull-record%2FWOS:000487034900012","View Full Record in Web of Science")</f>
        <v>View Full Record in Web of Science</v>
      </c>
      <c r="BU453" t="s">
        <v>6100</v>
      </c>
      <c r="BV453" s="1" t="s">
        <v>6080</v>
      </c>
      <c r="BW453" s="1" t="s">
        <v>6080</v>
      </c>
    </row>
    <row r="454" spans="1:75" x14ac:dyDescent="0.35">
      <c r="A454" t="s">
        <v>72</v>
      </c>
      <c r="B454" t="s">
        <v>10580</v>
      </c>
      <c r="C454" t="s">
        <v>74</v>
      </c>
      <c r="D454" t="s">
        <v>74</v>
      </c>
      <c r="E454" t="s">
        <v>74</v>
      </c>
      <c r="F454" t="s">
        <v>10581</v>
      </c>
      <c r="G454" t="s">
        <v>74</v>
      </c>
      <c r="H454" t="s">
        <v>74</v>
      </c>
      <c r="I454" t="s">
        <v>10582</v>
      </c>
      <c r="J454" t="s">
        <v>7930</v>
      </c>
      <c r="K454" t="s">
        <v>74</v>
      </c>
      <c r="L454" t="s">
        <v>74</v>
      </c>
      <c r="M454" t="s">
        <v>78</v>
      </c>
      <c r="N454" t="s">
        <v>79</v>
      </c>
      <c r="O454" t="s">
        <v>74</v>
      </c>
      <c r="P454" t="s">
        <v>74</v>
      </c>
      <c r="Q454" t="s">
        <v>74</v>
      </c>
      <c r="R454" t="s">
        <v>74</v>
      </c>
      <c r="S454" t="s">
        <v>74</v>
      </c>
      <c r="T454" t="s">
        <v>10583</v>
      </c>
      <c r="U454" t="s">
        <v>10584</v>
      </c>
      <c r="V454" t="s">
        <v>10585</v>
      </c>
      <c r="W454" t="s">
        <v>10586</v>
      </c>
      <c r="X454" t="s">
        <v>10587</v>
      </c>
      <c r="Y454" t="s">
        <v>10588</v>
      </c>
      <c r="Z454" t="s">
        <v>10589</v>
      </c>
      <c r="AA454" t="s">
        <v>10590</v>
      </c>
      <c r="AB454" t="s">
        <v>74</v>
      </c>
      <c r="AC454" t="s">
        <v>10591</v>
      </c>
      <c r="AD454" t="s">
        <v>10592</v>
      </c>
      <c r="AE454" t="s">
        <v>10593</v>
      </c>
      <c r="AF454" t="s">
        <v>74</v>
      </c>
      <c r="AG454">
        <v>55</v>
      </c>
      <c r="AH454">
        <v>130</v>
      </c>
      <c r="AI454">
        <v>132</v>
      </c>
      <c r="AJ454">
        <v>57</v>
      </c>
      <c r="AK454">
        <v>346</v>
      </c>
      <c r="AL454" t="s">
        <v>652</v>
      </c>
      <c r="AM454" t="s">
        <v>653</v>
      </c>
      <c r="AN454" t="s">
        <v>654</v>
      </c>
      <c r="AO454" t="s">
        <v>7940</v>
      </c>
      <c r="AP454" t="s">
        <v>7941</v>
      </c>
      <c r="AQ454" t="s">
        <v>74</v>
      </c>
      <c r="AR454" t="s">
        <v>7942</v>
      </c>
      <c r="AS454" t="s">
        <v>7943</v>
      </c>
      <c r="AT454" t="s">
        <v>151</v>
      </c>
      <c r="AU454">
        <v>2019</v>
      </c>
      <c r="AV454">
        <v>72</v>
      </c>
      <c r="AW454" t="s">
        <v>74</v>
      </c>
      <c r="AX454" t="s">
        <v>74</v>
      </c>
      <c r="AY454" t="s">
        <v>74</v>
      </c>
      <c r="AZ454" t="s">
        <v>74</v>
      </c>
      <c r="BA454" t="s">
        <v>74</v>
      </c>
      <c r="BB454">
        <v>417</v>
      </c>
      <c r="BC454">
        <v>426</v>
      </c>
      <c r="BD454" t="s">
        <v>74</v>
      </c>
      <c r="BE454" t="s">
        <v>10594</v>
      </c>
      <c r="BF454" t="str">
        <f>HYPERLINK("http://dx.doi.org/10.1016/j.tourman.2019.01.002","http://dx.doi.org/10.1016/j.tourman.2019.01.002")</f>
        <v>http://dx.doi.org/10.1016/j.tourman.2019.01.002</v>
      </c>
      <c r="BG454" t="s">
        <v>74</v>
      </c>
      <c r="BH454" t="s">
        <v>74</v>
      </c>
      <c r="BI454">
        <v>10</v>
      </c>
      <c r="BJ454" t="s">
        <v>7945</v>
      </c>
      <c r="BK454" t="s">
        <v>101</v>
      </c>
      <c r="BL454" t="s">
        <v>7946</v>
      </c>
      <c r="BM454" t="s">
        <v>10595</v>
      </c>
      <c r="BN454" t="s">
        <v>74</v>
      </c>
      <c r="BO454" t="s">
        <v>74</v>
      </c>
      <c r="BP454" t="s">
        <v>218</v>
      </c>
      <c r="BQ454" t="s">
        <v>219</v>
      </c>
      <c r="BR454" t="s">
        <v>6098</v>
      </c>
      <c r="BS454" t="s">
        <v>10596</v>
      </c>
      <c r="BT454" t="str">
        <f>HYPERLINK("https%3A%2F%2Fwww.webofscience.com%2Fwos%2Fwoscc%2Ffull-record%2FWOS:000458709600041","View Full Record in Web of Science")</f>
        <v>View Full Record in Web of Science</v>
      </c>
      <c r="BU454" t="s">
        <v>6100</v>
      </c>
      <c r="BV454" s="1" t="s">
        <v>10653</v>
      </c>
    </row>
    <row r="455" spans="1:75" ht="406" x14ac:dyDescent="0.35">
      <c r="A455" s="1" t="s">
        <v>72</v>
      </c>
      <c r="B455" s="1" t="s">
        <v>4878</v>
      </c>
      <c r="C455" s="1" t="s">
        <v>74</v>
      </c>
      <c r="D455" s="1" t="s">
        <v>74</v>
      </c>
      <c r="E455" s="1" t="s">
        <v>74</v>
      </c>
      <c r="F455" s="1" t="s">
        <v>4879</v>
      </c>
      <c r="G455" s="1" t="s">
        <v>74</v>
      </c>
      <c r="H455" s="1" t="s">
        <v>74</v>
      </c>
      <c r="I455" s="1" t="s">
        <v>4880</v>
      </c>
      <c r="J455" s="1" t="s">
        <v>667</v>
      </c>
      <c r="K455" s="1" t="s">
        <v>74</v>
      </c>
      <c r="L455" s="1" t="s">
        <v>74</v>
      </c>
      <c r="M455" s="1" t="s">
        <v>78</v>
      </c>
      <c r="N455" s="1" t="s">
        <v>79</v>
      </c>
      <c r="O455" s="1" t="s">
        <v>74</v>
      </c>
      <c r="P455" s="1" t="s">
        <v>74</v>
      </c>
      <c r="Q455" s="1" t="s">
        <v>74</v>
      </c>
      <c r="R455" s="1" t="s">
        <v>74</v>
      </c>
      <c r="S455" s="1" t="s">
        <v>74</v>
      </c>
      <c r="T455" s="1" t="s">
        <v>4881</v>
      </c>
      <c r="U455" s="1" t="s">
        <v>4882</v>
      </c>
      <c r="V455" s="1" t="s">
        <v>4883</v>
      </c>
      <c r="W455" s="1" t="s">
        <v>4884</v>
      </c>
      <c r="X455" s="1" t="s">
        <v>4885</v>
      </c>
      <c r="Y455" s="1" t="s">
        <v>4886</v>
      </c>
      <c r="Z455" s="1" t="s">
        <v>4887</v>
      </c>
      <c r="AA455" s="1" t="s">
        <v>4262</v>
      </c>
      <c r="AB455" s="1" t="s">
        <v>4263</v>
      </c>
      <c r="AC455" s="1" t="s">
        <v>4888</v>
      </c>
      <c r="AD455" s="1" t="s">
        <v>4889</v>
      </c>
      <c r="AE455" s="1" t="s">
        <v>4890</v>
      </c>
      <c r="AF455" s="1" t="s">
        <v>74</v>
      </c>
      <c r="AG455" s="1">
        <v>58</v>
      </c>
      <c r="AH455" s="1">
        <v>57</v>
      </c>
      <c r="AI455" s="1">
        <v>57</v>
      </c>
      <c r="AJ455" s="1">
        <v>2</v>
      </c>
      <c r="AK455" s="1">
        <v>7</v>
      </c>
      <c r="AL455" s="1" t="s">
        <v>679</v>
      </c>
      <c r="AM455" s="1" t="s">
        <v>92</v>
      </c>
      <c r="AN455" s="1" t="s">
        <v>680</v>
      </c>
      <c r="AO455" s="1" t="s">
        <v>681</v>
      </c>
      <c r="AP455" s="1" t="s">
        <v>682</v>
      </c>
      <c r="AQ455" s="1" t="s">
        <v>74</v>
      </c>
      <c r="AR455" s="1" t="s">
        <v>683</v>
      </c>
      <c r="AS455" s="1" t="s">
        <v>684</v>
      </c>
      <c r="AT455" s="1" t="s">
        <v>4891</v>
      </c>
      <c r="AU455" s="1">
        <v>2020</v>
      </c>
      <c r="AV455" s="1">
        <v>117</v>
      </c>
      <c r="AW455" s="1">
        <v>48</v>
      </c>
      <c r="AX455" s="1" t="s">
        <v>74</v>
      </c>
      <c r="AY455" s="1" t="s">
        <v>74</v>
      </c>
      <c r="AZ455" s="1" t="s">
        <v>74</v>
      </c>
      <c r="BA455" s="1" t="s">
        <v>74</v>
      </c>
      <c r="BB455" s="1">
        <v>30046</v>
      </c>
      <c r="BC455" s="1">
        <v>30054</v>
      </c>
      <c r="BD455" s="1" t="s">
        <v>74</v>
      </c>
      <c r="BE455" s="1" t="s">
        <v>4892</v>
      </c>
      <c r="BF455" s="1" t="str">
        <f>HYPERLINK("http://dx.doi.org/10.1073/pnas.1907367117","http://dx.doi.org/10.1073/pnas.1907367117")</f>
        <v>http://dx.doi.org/10.1073/pnas.1907367117</v>
      </c>
      <c r="BG455" s="1" t="s">
        <v>74</v>
      </c>
      <c r="BH455" s="1" t="s">
        <v>74</v>
      </c>
      <c r="BI455" s="1">
        <v>9</v>
      </c>
      <c r="BJ455" s="1" t="s">
        <v>561</v>
      </c>
      <c r="BK455" s="1" t="s">
        <v>520</v>
      </c>
      <c r="BL455" s="1" t="s">
        <v>562</v>
      </c>
      <c r="BM455" s="1" t="s">
        <v>4893</v>
      </c>
      <c r="BN455" s="1">
        <v>32493748</v>
      </c>
      <c r="BO455" s="1" t="s">
        <v>4416</v>
      </c>
      <c r="BP455" s="1" t="s">
        <v>74</v>
      </c>
      <c r="BQ455" s="1" t="s">
        <v>74</v>
      </c>
      <c r="BR455" s="1" t="s">
        <v>4296</v>
      </c>
      <c r="BS455" s="1" t="s">
        <v>4894</v>
      </c>
      <c r="BT455" s="1" t="str">
        <f>HYPERLINK("https%3A%2F%2Fwww.webofscience.com%2Fwos%2Fwoscc%2Ffull-record%2FWOS:000596542700015","View Full Record in Web of Science")</f>
        <v>View Full Record in Web of Science</v>
      </c>
      <c r="BU455" s="1" t="s">
        <v>5876</v>
      </c>
      <c r="BV455" s="1" t="s">
        <v>10653</v>
      </c>
    </row>
    <row r="456" spans="1:75" ht="377" x14ac:dyDescent="0.35">
      <c r="A456" s="1" t="s">
        <v>72</v>
      </c>
      <c r="B456" s="1" t="s">
        <v>4895</v>
      </c>
      <c r="C456" s="1" t="s">
        <v>74</v>
      </c>
      <c r="D456" s="1" t="s">
        <v>74</v>
      </c>
      <c r="E456" s="1" t="s">
        <v>74</v>
      </c>
      <c r="F456" s="1" t="s">
        <v>4896</v>
      </c>
      <c r="G456" s="1" t="s">
        <v>74</v>
      </c>
      <c r="H456" s="1" t="s">
        <v>74</v>
      </c>
      <c r="I456" s="1" t="s">
        <v>4897</v>
      </c>
      <c r="J456" s="1" t="s">
        <v>667</v>
      </c>
      <c r="K456" s="1" t="s">
        <v>74</v>
      </c>
      <c r="L456" s="1" t="s">
        <v>74</v>
      </c>
      <c r="M456" s="1" t="s">
        <v>78</v>
      </c>
      <c r="N456" s="1" t="s">
        <v>79</v>
      </c>
      <c r="O456" s="1" t="s">
        <v>74</v>
      </c>
      <c r="P456" s="1" t="s">
        <v>74</v>
      </c>
      <c r="Q456" s="1" t="s">
        <v>74</v>
      </c>
      <c r="R456" s="1" t="s">
        <v>74</v>
      </c>
      <c r="S456" s="1" t="s">
        <v>74</v>
      </c>
      <c r="T456" s="1" t="s">
        <v>4898</v>
      </c>
      <c r="U456" s="1" t="s">
        <v>4899</v>
      </c>
      <c r="V456" s="1" t="s">
        <v>4900</v>
      </c>
      <c r="W456" s="1" t="s">
        <v>4901</v>
      </c>
      <c r="X456" s="1" t="s">
        <v>4902</v>
      </c>
      <c r="Y456" s="1" t="s">
        <v>4903</v>
      </c>
      <c r="Z456" s="1" t="s">
        <v>4904</v>
      </c>
      <c r="AA456" s="1" t="s">
        <v>4905</v>
      </c>
      <c r="AB456" s="1" t="s">
        <v>74</v>
      </c>
      <c r="AC456" s="1" t="s">
        <v>74</v>
      </c>
      <c r="AD456" s="1" t="s">
        <v>74</v>
      </c>
      <c r="AE456" s="1" t="s">
        <v>74</v>
      </c>
      <c r="AF456" s="1" t="s">
        <v>74</v>
      </c>
      <c r="AG456" s="1">
        <v>37</v>
      </c>
      <c r="AH456" s="1">
        <v>108</v>
      </c>
      <c r="AI456" s="1">
        <v>110</v>
      </c>
      <c r="AJ456" s="1">
        <v>20</v>
      </c>
      <c r="AK456" s="1">
        <v>71</v>
      </c>
      <c r="AL456" s="1" t="s">
        <v>679</v>
      </c>
      <c r="AM456" s="1" t="s">
        <v>92</v>
      </c>
      <c r="AN456" s="1" t="s">
        <v>680</v>
      </c>
      <c r="AO456" s="1" t="s">
        <v>681</v>
      </c>
      <c r="AP456" s="1" t="s">
        <v>682</v>
      </c>
      <c r="AQ456" s="1" t="s">
        <v>74</v>
      </c>
      <c r="AR456" s="1" t="s">
        <v>683</v>
      </c>
      <c r="AS456" s="1" t="s">
        <v>684</v>
      </c>
      <c r="AT456" s="1" t="s">
        <v>4891</v>
      </c>
      <c r="AU456" s="1">
        <v>2020</v>
      </c>
      <c r="AV456" s="1">
        <v>117</v>
      </c>
      <c r="AW456" s="1">
        <v>48</v>
      </c>
      <c r="AX456" s="1" t="s">
        <v>74</v>
      </c>
      <c r="AY456" s="1" t="s">
        <v>74</v>
      </c>
      <c r="AZ456" s="1" t="s">
        <v>74</v>
      </c>
      <c r="BA456" s="1" t="s">
        <v>74</v>
      </c>
      <c r="BB456" s="1">
        <v>30033</v>
      </c>
      <c r="BC456" s="1">
        <v>30038</v>
      </c>
      <c r="BD456" s="1" t="s">
        <v>74</v>
      </c>
      <c r="BE456" s="1" t="s">
        <v>4906</v>
      </c>
      <c r="BF456" s="1" t="str">
        <f>HYPERLINK("http://dx.doi.org/10.1073/pnas.1907373117","http://dx.doi.org/10.1073/pnas.1907373117")</f>
        <v>http://dx.doi.org/10.1073/pnas.1907373117</v>
      </c>
      <c r="BG456" s="1" t="s">
        <v>74</v>
      </c>
      <c r="BH456" s="1" t="s">
        <v>74</v>
      </c>
      <c r="BI456" s="1">
        <v>6</v>
      </c>
      <c r="BJ456" s="1" t="s">
        <v>561</v>
      </c>
      <c r="BK456" s="1" t="s">
        <v>129</v>
      </c>
      <c r="BL456" s="1" t="s">
        <v>562</v>
      </c>
      <c r="BM456" s="1" t="s">
        <v>4893</v>
      </c>
      <c r="BN456" s="1">
        <v>31992643</v>
      </c>
      <c r="BO456" s="1" t="s">
        <v>4907</v>
      </c>
      <c r="BP456" s="1" t="s">
        <v>218</v>
      </c>
      <c r="BQ456" s="1" t="s">
        <v>219</v>
      </c>
      <c r="BR456" s="1" t="s">
        <v>4296</v>
      </c>
      <c r="BS456" s="1" t="s">
        <v>4908</v>
      </c>
      <c r="BT456" s="1" t="str">
        <f>HYPERLINK("https%3A%2F%2Fwww.webofscience.com%2Fwos%2Fwoscc%2Ffull-record%2FWOS:000596542700013","View Full Record in Web of Science")</f>
        <v>View Full Record in Web of Science</v>
      </c>
      <c r="BU456" s="1" t="s">
        <v>5876</v>
      </c>
      <c r="BV456" s="1" t="s">
        <v>10653</v>
      </c>
    </row>
    <row r="457" spans="1:75" ht="409.5" x14ac:dyDescent="0.35">
      <c r="A457" s="1" t="s">
        <v>72</v>
      </c>
      <c r="B457" s="1" t="s">
        <v>4909</v>
      </c>
      <c r="C457" s="1" t="s">
        <v>74</v>
      </c>
      <c r="D457" s="1" t="s">
        <v>74</v>
      </c>
      <c r="E457" s="1" t="s">
        <v>74</v>
      </c>
      <c r="F457" s="1" t="s">
        <v>4910</v>
      </c>
      <c r="G457" s="1" t="s">
        <v>74</v>
      </c>
      <c r="H457" s="1" t="s">
        <v>74</v>
      </c>
      <c r="I457" s="1" t="s">
        <v>4911</v>
      </c>
      <c r="J457" s="1" t="s">
        <v>2177</v>
      </c>
      <c r="K457" s="1" t="s">
        <v>74</v>
      </c>
      <c r="L457" s="1" t="s">
        <v>74</v>
      </c>
      <c r="M457" s="1" t="s">
        <v>78</v>
      </c>
      <c r="N457" s="1" t="s">
        <v>79</v>
      </c>
      <c r="O457" s="1" t="s">
        <v>74</v>
      </c>
      <c r="P457" s="1" t="s">
        <v>74</v>
      </c>
      <c r="Q457" s="1" t="s">
        <v>74</v>
      </c>
      <c r="R457" s="1" t="s">
        <v>74</v>
      </c>
      <c r="S457" s="1" t="s">
        <v>74</v>
      </c>
      <c r="T457" s="1" t="s">
        <v>4912</v>
      </c>
      <c r="U457" s="1" t="s">
        <v>4913</v>
      </c>
      <c r="V457" s="1" t="s">
        <v>4914</v>
      </c>
      <c r="W457" s="1" t="s">
        <v>4915</v>
      </c>
      <c r="X457" s="1" t="s">
        <v>4916</v>
      </c>
      <c r="Y457" s="1" t="s">
        <v>4917</v>
      </c>
      <c r="Z457" s="1" t="s">
        <v>4918</v>
      </c>
      <c r="AA457" s="1" t="s">
        <v>4919</v>
      </c>
      <c r="AB457" s="1" t="s">
        <v>4920</v>
      </c>
      <c r="AC457" s="1" t="s">
        <v>74</v>
      </c>
      <c r="AD457" s="1" t="s">
        <v>74</v>
      </c>
      <c r="AE457" s="1" t="s">
        <v>74</v>
      </c>
      <c r="AF457" s="1" t="s">
        <v>74</v>
      </c>
      <c r="AG457" s="1">
        <v>76</v>
      </c>
      <c r="AH457" s="1">
        <v>10</v>
      </c>
      <c r="AI457" s="1">
        <v>10</v>
      </c>
      <c r="AJ457" s="1">
        <v>3</v>
      </c>
      <c r="AK457" s="1">
        <v>8</v>
      </c>
      <c r="AL457" s="1" t="s">
        <v>2187</v>
      </c>
      <c r="AM457" s="1" t="s">
        <v>2188</v>
      </c>
      <c r="AN457" s="1" t="s">
        <v>2189</v>
      </c>
      <c r="AO457" s="1" t="s">
        <v>2190</v>
      </c>
      <c r="AP457" s="1" t="s">
        <v>74</v>
      </c>
      <c r="AQ457" s="1" t="s">
        <v>74</v>
      </c>
      <c r="AR457" s="1" t="s">
        <v>2191</v>
      </c>
      <c r="AS457" s="1" t="s">
        <v>2192</v>
      </c>
      <c r="AT457" s="1" t="s">
        <v>4921</v>
      </c>
      <c r="AU457" s="1">
        <v>2020</v>
      </c>
      <c r="AV457" s="1">
        <v>11</v>
      </c>
      <c r="AW457" s="1" t="s">
        <v>74</v>
      </c>
      <c r="AX457" s="1" t="s">
        <v>74</v>
      </c>
      <c r="AY457" s="1" t="s">
        <v>74</v>
      </c>
      <c r="AZ457" s="1" t="s">
        <v>74</v>
      </c>
      <c r="BA457" s="1" t="s">
        <v>74</v>
      </c>
      <c r="BB457" s="1" t="s">
        <v>74</v>
      </c>
      <c r="BC457" s="1" t="s">
        <v>74</v>
      </c>
      <c r="BD457" s="1">
        <v>1667</v>
      </c>
      <c r="BE457" s="1" t="s">
        <v>4922</v>
      </c>
      <c r="BF457" s="1" t="str">
        <f>HYPERLINK("http://dx.doi.org/10.3389/fpsyg.2020.01667","http://dx.doi.org/10.3389/fpsyg.2020.01667")</f>
        <v>http://dx.doi.org/10.3389/fpsyg.2020.01667</v>
      </c>
      <c r="BG457" s="1" t="s">
        <v>74</v>
      </c>
      <c r="BH457" s="1" t="s">
        <v>74</v>
      </c>
      <c r="BI457" s="1">
        <v>13</v>
      </c>
      <c r="BJ457" s="1" t="s">
        <v>311</v>
      </c>
      <c r="BK457" s="1" t="s">
        <v>101</v>
      </c>
      <c r="BL457" s="1" t="s">
        <v>102</v>
      </c>
      <c r="BM457" s="1" t="s">
        <v>4923</v>
      </c>
      <c r="BN457" s="1">
        <v>32903443</v>
      </c>
      <c r="BO457" s="1" t="s">
        <v>4924</v>
      </c>
      <c r="BP457" s="1" t="s">
        <v>74</v>
      </c>
      <c r="BQ457" s="1" t="s">
        <v>74</v>
      </c>
      <c r="BR457" s="1" t="s">
        <v>4296</v>
      </c>
      <c r="BS457" s="1" t="s">
        <v>4925</v>
      </c>
      <c r="BT457" s="1" t="str">
        <f>HYPERLINK("https%3A%2F%2Fwww.webofscience.com%2Fwos%2Fwoscc%2Ffull-record%2FWOS:000565287600001","View Full Record in Web of Science")</f>
        <v>View Full Record in Web of Science</v>
      </c>
      <c r="BU457" s="1" t="s">
        <v>5876</v>
      </c>
      <c r="BV457" s="1" t="s">
        <v>10653</v>
      </c>
    </row>
    <row r="458" spans="1:75" ht="377" x14ac:dyDescent="0.35">
      <c r="A458" s="1" t="s">
        <v>72</v>
      </c>
      <c r="B458" s="1" t="s">
        <v>4926</v>
      </c>
      <c r="C458" s="1" t="s">
        <v>74</v>
      </c>
      <c r="D458" s="1" t="s">
        <v>74</v>
      </c>
      <c r="E458" s="1" t="s">
        <v>74</v>
      </c>
      <c r="F458" s="1" t="s">
        <v>4927</v>
      </c>
      <c r="G458" s="1" t="s">
        <v>74</v>
      </c>
      <c r="H458" s="1" t="s">
        <v>74</v>
      </c>
      <c r="I458" s="1" t="s">
        <v>4928</v>
      </c>
      <c r="J458" s="1" t="s">
        <v>4929</v>
      </c>
      <c r="K458" s="1" t="s">
        <v>74</v>
      </c>
      <c r="L458" s="1" t="s">
        <v>74</v>
      </c>
      <c r="M458" s="1" t="s">
        <v>78</v>
      </c>
      <c r="N458" s="1" t="s">
        <v>79</v>
      </c>
      <c r="O458" s="1" t="s">
        <v>74</v>
      </c>
      <c r="P458" s="1" t="s">
        <v>74</v>
      </c>
      <c r="Q458" s="1" t="s">
        <v>74</v>
      </c>
      <c r="R458" s="1" t="s">
        <v>74</v>
      </c>
      <c r="S458" s="1" t="s">
        <v>74</v>
      </c>
      <c r="T458" s="1" t="s">
        <v>4930</v>
      </c>
      <c r="U458" s="1" t="s">
        <v>4931</v>
      </c>
      <c r="V458" s="1" t="s">
        <v>4932</v>
      </c>
      <c r="W458" s="1" t="s">
        <v>4933</v>
      </c>
      <c r="X458" s="1" t="s">
        <v>4934</v>
      </c>
      <c r="Y458" s="1" t="s">
        <v>4935</v>
      </c>
      <c r="Z458" s="1" t="s">
        <v>4936</v>
      </c>
      <c r="AA458" s="1" t="s">
        <v>4937</v>
      </c>
      <c r="AB458" s="1" t="s">
        <v>4938</v>
      </c>
      <c r="AC458" s="1" t="s">
        <v>74</v>
      </c>
      <c r="AD458" s="1" t="s">
        <v>74</v>
      </c>
      <c r="AE458" s="1" t="s">
        <v>74</v>
      </c>
      <c r="AF458" s="1" t="s">
        <v>74</v>
      </c>
      <c r="AG458" s="1">
        <v>68</v>
      </c>
      <c r="AH458" s="1">
        <v>13</v>
      </c>
      <c r="AI458" s="1">
        <v>13</v>
      </c>
      <c r="AJ458" s="1">
        <v>2</v>
      </c>
      <c r="AK458" s="1">
        <v>34</v>
      </c>
      <c r="AL458" s="1" t="s">
        <v>4737</v>
      </c>
      <c r="AM458" s="1" t="s">
        <v>4738</v>
      </c>
      <c r="AN458" s="1" t="s">
        <v>4739</v>
      </c>
      <c r="AO458" s="1" t="s">
        <v>74</v>
      </c>
      <c r="AP458" s="1" t="s">
        <v>4939</v>
      </c>
      <c r="AQ458" s="1" t="s">
        <v>74</v>
      </c>
      <c r="AR458" s="1" t="s">
        <v>4940</v>
      </c>
      <c r="AS458" s="1" t="s">
        <v>4941</v>
      </c>
      <c r="AT458" s="1" t="s">
        <v>469</v>
      </c>
      <c r="AU458" s="1">
        <v>2020</v>
      </c>
      <c r="AV458" s="1">
        <v>12</v>
      </c>
      <c r="AW458" s="1">
        <v>16</v>
      </c>
      <c r="AX458" s="1" t="s">
        <v>74</v>
      </c>
      <c r="AY458" s="1" t="s">
        <v>74</v>
      </c>
      <c r="AZ458" s="1" t="s">
        <v>74</v>
      </c>
      <c r="BA458" s="1" t="s">
        <v>74</v>
      </c>
      <c r="BB458" s="1" t="s">
        <v>74</v>
      </c>
      <c r="BC458" s="1" t="s">
        <v>74</v>
      </c>
      <c r="BD458" s="1">
        <v>6673</v>
      </c>
      <c r="BE458" s="1" t="s">
        <v>4942</v>
      </c>
      <c r="BF458" s="1" t="str">
        <f>HYPERLINK("http://dx.doi.org/10.3390/su12166673","http://dx.doi.org/10.3390/su12166673")</f>
        <v>http://dx.doi.org/10.3390/su12166673</v>
      </c>
      <c r="BG458" s="1" t="s">
        <v>74</v>
      </c>
      <c r="BH458" s="1" t="s">
        <v>74</v>
      </c>
      <c r="BI458" s="1">
        <v>17</v>
      </c>
      <c r="BJ458" s="1" t="s">
        <v>4943</v>
      </c>
      <c r="BK458" s="1" t="s">
        <v>520</v>
      </c>
      <c r="BL458" s="1" t="s">
        <v>4944</v>
      </c>
      <c r="BM458" s="1" t="s">
        <v>4945</v>
      </c>
      <c r="BN458" s="1" t="s">
        <v>74</v>
      </c>
      <c r="BO458" s="1" t="s">
        <v>2294</v>
      </c>
      <c r="BP458" s="1" t="s">
        <v>74</v>
      </c>
      <c r="BQ458" s="1" t="s">
        <v>74</v>
      </c>
      <c r="BR458" s="1" t="s">
        <v>4296</v>
      </c>
      <c r="BS458" s="1" t="s">
        <v>4946</v>
      </c>
      <c r="BT458" s="1" t="str">
        <f>HYPERLINK("https%3A%2F%2Fwww.webofscience.com%2Fwos%2Fwoscc%2Ffull-record%2FWOS:000578890600001","View Full Record in Web of Science")</f>
        <v>View Full Record in Web of Science</v>
      </c>
      <c r="BU458" s="1" t="s">
        <v>5876</v>
      </c>
      <c r="BV458" s="1" t="s">
        <v>10653</v>
      </c>
    </row>
    <row r="459" spans="1:75" ht="409.5" x14ac:dyDescent="0.35">
      <c r="A459" s="1" t="s">
        <v>72</v>
      </c>
      <c r="B459" s="1" t="s">
        <v>4947</v>
      </c>
      <c r="C459" s="1" t="s">
        <v>74</v>
      </c>
      <c r="D459" s="1" t="s">
        <v>74</v>
      </c>
      <c r="E459" s="1" t="s">
        <v>74</v>
      </c>
      <c r="F459" s="1" t="s">
        <v>4948</v>
      </c>
      <c r="G459" s="1" t="s">
        <v>74</v>
      </c>
      <c r="H459" s="1" t="s">
        <v>74</v>
      </c>
      <c r="I459" s="1" t="s">
        <v>4949</v>
      </c>
      <c r="J459" s="1" t="s">
        <v>667</v>
      </c>
      <c r="K459" s="1" t="s">
        <v>74</v>
      </c>
      <c r="L459" s="1" t="s">
        <v>74</v>
      </c>
      <c r="M459" s="1" t="s">
        <v>78</v>
      </c>
      <c r="N459" s="1" t="s">
        <v>79</v>
      </c>
      <c r="O459" s="1" t="s">
        <v>74</v>
      </c>
      <c r="P459" s="1" t="s">
        <v>74</v>
      </c>
      <c r="Q459" s="1" t="s">
        <v>74</v>
      </c>
      <c r="R459" s="1" t="s">
        <v>74</v>
      </c>
      <c r="S459" s="1" t="s">
        <v>74</v>
      </c>
      <c r="T459" s="1" t="s">
        <v>4950</v>
      </c>
      <c r="U459" s="1" t="s">
        <v>4951</v>
      </c>
      <c r="V459" s="1" t="s">
        <v>4952</v>
      </c>
      <c r="W459" s="1" t="s">
        <v>4953</v>
      </c>
      <c r="X459" s="1" t="s">
        <v>4954</v>
      </c>
      <c r="Y459" s="1" t="s">
        <v>4955</v>
      </c>
      <c r="Z459" s="1" t="s">
        <v>4956</v>
      </c>
      <c r="AA459" s="1" t="s">
        <v>4957</v>
      </c>
      <c r="AB459" s="1" t="s">
        <v>4958</v>
      </c>
      <c r="AC459" s="1" t="s">
        <v>4959</v>
      </c>
      <c r="AD459" s="1" t="s">
        <v>4960</v>
      </c>
      <c r="AE459" s="1" t="s">
        <v>4961</v>
      </c>
      <c r="AF459" s="1" t="s">
        <v>74</v>
      </c>
      <c r="AG459" s="1">
        <v>47</v>
      </c>
      <c r="AH459" s="1">
        <v>53</v>
      </c>
      <c r="AI459" s="1">
        <v>53</v>
      </c>
      <c r="AJ459" s="1">
        <v>4</v>
      </c>
      <c r="AK459" s="1">
        <v>26</v>
      </c>
      <c r="AL459" s="1" t="s">
        <v>679</v>
      </c>
      <c r="AM459" s="1" t="s">
        <v>92</v>
      </c>
      <c r="AN459" s="1" t="s">
        <v>680</v>
      </c>
      <c r="AO459" s="1" t="s">
        <v>681</v>
      </c>
      <c r="AP459" s="1" t="s">
        <v>74</v>
      </c>
      <c r="AQ459" s="1" t="s">
        <v>74</v>
      </c>
      <c r="AR459" s="1" t="s">
        <v>683</v>
      </c>
      <c r="AS459" s="1" t="s">
        <v>684</v>
      </c>
      <c r="AT459" s="1" t="s">
        <v>4962</v>
      </c>
      <c r="AU459" s="1">
        <v>2020</v>
      </c>
      <c r="AV459" s="1">
        <v>117</v>
      </c>
      <c r="AW459" s="1">
        <v>19</v>
      </c>
      <c r="AX459" s="1" t="s">
        <v>74</v>
      </c>
      <c r="AY459" s="1" t="s">
        <v>74</v>
      </c>
      <c r="AZ459" s="1" t="s">
        <v>74</v>
      </c>
      <c r="BA459" s="1" t="s">
        <v>74</v>
      </c>
      <c r="BB459" s="1">
        <v>10165</v>
      </c>
      <c r="BC459" s="1">
        <v>10171</v>
      </c>
      <c r="BD459" s="1" t="s">
        <v>74</v>
      </c>
      <c r="BE459" s="1" t="s">
        <v>4963</v>
      </c>
      <c r="BF459" s="1" t="str">
        <f>HYPERLINK("http://dx.doi.org/10.1073/pnas.1906364117","http://dx.doi.org/10.1073/pnas.1906364117")</f>
        <v>http://dx.doi.org/10.1073/pnas.1906364117</v>
      </c>
      <c r="BG459" s="1" t="s">
        <v>74</v>
      </c>
      <c r="BH459" s="1" t="s">
        <v>74</v>
      </c>
      <c r="BI459" s="1">
        <v>7</v>
      </c>
      <c r="BJ459" s="1" t="s">
        <v>561</v>
      </c>
      <c r="BK459" s="1" t="s">
        <v>520</v>
      </c>
      <c r="BL459" s="1" t="s">
        <v>562</v>
      </c>
      <c r="BM459" s="1" t="s">
        <v>4964</v>
      </c>
      <c r="BN459" s="1">
        <v>32341156</v>
      </c>
      <c r="BO459" s="1" t="s">
        <v>4965</v>
      </c>
      <c r="BP459" s="1" t="s">
        <v>74</v>
      </c>
      <c r="BQ459" s="1" t="s">
        <v>74</v>
      </c>
      <c r="BR459" s="1" t="s">
        <v>4296</v>
      </c>
      <c r="BS459" s="1" t="s">
        <v>4966</v>
      </c>
      <c r="BT459" s="1" t="str">
        <f>HYPERLINK("https%3A%2F%2Fwww.webofscience.com%2Fwos%2Fwoscc%2Ffull-record%2FWOS:000532837500014","View Full Record in Web of Science")</f>
        <v>View Full Record in Web of Science</v>
      </c>
      <c r="BU459" s="1" t="s">
        <v>5876</v>
      </c>
      <c r="BV459" s="1" t="s">
        <v>10653</v>
      </c>
    </row>
    <row r="460" spans="1:75" ht="406" x14ac:dyDescent="0.35">
      <c r="A460" s="1" t="s">
        <v>72</v>
      </c>
      <c r="B460" s="1" t="s">
        <v>4967</v>
      </c>
      <c r="C460" s="1" t="s">
        <v>74</v>
      </c>
      <c r="D460" s="1" t="s">
        <v>74</v>
      </c>
      <c r="E460" s="1" t="s">
        <v>74</v>
      </c>
      <c r="F460" s="1" t="s">
        <v>4968</v>
      </c>
      <c r="G460" s="1" t="s">
        <v>74</v>
      </c>
      <c r="H460" s="1" t="s">
        <v>74</v>
      </c>
      <c r="I460" s="1" t="s">
        <v>4969</v>
      </c>
      <c r="J460" s="1" t="s">
        <v>2057</v>
      </c>
      <c r="K460" s="1" t="s">
        <v>74</v>
      </c>
      <c r="L460" s="1" t="s">
        <v>74</v>
      </c>
      <c r="M460" s="1" t="s">
        <v>78</v>
      </c>
      <c r="N460" s="1" t="s">
        <v>79</v>
      </c>
      <c r="O460" s="1" t="s">
        <v>74</v>
      </c>
      <c r="P460" s="1" t="s">
        <v>74</v>
      </c>
      <c r="Q460" s="1" t="s">
        <v>74</v>
      </c>
      <c r="R460" s="1" t="s">
        <v>74</v>
      </c>
      <c r="S460" s="1" t="s">
        <v>74</v>
      </c>
      <c r="T460" s="1" t="s">
        <v>4970</v>
      </c>
      <c r="U460" s="1" t="s">
        <v>4971</v>
      </c>
      <c r="V460" s="1" t="s">
        <v>4972</v>
      </c>
      <c r="W460" s="1" t="s">
        <v>4973</v>
      </c>
      <c r="X460" s="1" t="s">
        <v>4974</v>
      </c>
      <c r="Y460" s="1" t="s">
        <v>4975</v>
      </c>
      <c r="Z460" s="1" t="s">
        <v>4976</v>
      </c>
      <c r="AA460" s="1" t="s">
        <v>4977</v>
      </c>
      <c r="AB460" s="1" t="s">
        <v>4978</v>
      </c>
      <c r="AC460" s="1" t="s">
        <v>74</v>
      </c>
      <c r="AD460" s="1" t="s">
        <v>74</v>
      </c>
      <c r="AE460" s="1" t="s">
        <v>74</v>
      </c>
      <c r="AF460" s="1" t="s">
        <v>74</v>
      </c>
      <c r="AG460" s="1">
        <v>57</v>
      </c>
      <c r="AH460" s="1">
        <v>35</v>
      </c>
      <c r="AI460" s="1">
        <v>36</v>
      </c>
      <c r="AJ460" s="1">
        <v>10</v>
      </c>
      <c r="AK460" s="1">
        <v>33</v>
      </c>
      <c r="AL460" s="1" t="s">
        <v>324</v>
      </c>
      <c r="AM460" s="1" t="s">
        <v>325</v>
      </c>
      <c r="AN460" s="1" t="s">
        <v>2004</v>
      </c>
      <c r="AO460" s="1" t="s">
        <v>2058</v>
      </c>
      <c r="AP460" s="1" t="s">
        <v>2059</v>
      </c>
      <c r="AQ460" s="1" t="s">
        <v>74</v>
      </c>
      <c r="AR460" s="1" t="s">
        <v>2060</v>
      </c>
      <c r="AS460" s="1" t="s">
        <v>2061</v>
      </c>
      <c r="AT460" s="1" t="s">
        <v>704</v>
      </c>
      <c r="AU460" s="1">
        <v>2020</v>
      </c>
      <c r="AV460" s="1">
        <v>50</v>
      </c>
      <c r="AW460" s="1" t="s">
        <v>74</v>
      </c>
      <c r="AX460" s="1" t="s">
        <v>74</v>
      </c>
      <c r="AY460" s="1" t="s">
        <v>74</v>
      </c>
      <c r="AZ460" s="1" t="s">
        <v>74</v>
      </c>
      <c r="BA460" s="1" t="s">
        <v>74</v>
      </c>
      <c r="BB460" s="1">
        <v>136</v>
      </c>
      <c r="BC460" s="1">
        <v>155</v>
      </c>
      <c r="BD460" s="1" t="s">
        <v>74</v>
      </c>
      <c r="BE460" s="1" t="s">
        <v>4979</v>
      </c>
      <c r="BF460" s="1" t="str">
        <f>HYPERLINK("http://dx.doi.org/10.1016/j.intmar.2019.08.001","http://dx.doi.org/10.1016/j.intmar.2019.08.001")</f>
        <v>http://dx.doi.org/10.1016/j.intmar.2019.08.001</v>
      </c>
      <c r="BG460" s="1" t="s">
        <v>74</v>
      </c>
      <c r="BH460" s="1" t="s">
        <v>74</v>
      </c>
      <c r="BI460" s="1">
        <v>20</v>
      </c>
      <c r="BJ460" s="1" t="s">
        <v>153</v>
      </c>
      <c r="BK460" s="1" t="s">
        <v>101</v>
      </c>
      <c r="BL460" s="1" t="s">
        <v>154</v>
      </c>
      <c r="BM460" s="1" t="s">
        <v>4980</v>
      </c>
      <c r="BN460" s="1" t="s">
        <v>74</v>
      </c>
      <c r="BO460" s="1" t="s">
        <v>131</v>
      </c>
      <c r="BP460" s="1" t="s">
        <v>74</v>
      </c>
      <c r="BQ460" s="1" t="s">
        <v>74</v>
      </c>
      <c r="BR460" s="1" t="s">
        <v>4296</v>
      </c>
      <c r="BS460" s="1" t="s">
        <v>4981</v>
      </c>
      <c r="BT460" s="1" t="str">
        <f>HYPERLINK("https%3A%2F%2Fwww.webofscience.com%2Fwos%2Fwoscc%2Ffull-record%2FWOS:000535937100009","View Full Record in Web of Science")</f>
        <v>View Full Record in Web of Science</v>
      </c>
      <c r="BU460" s="1" t="s">
        <v>5876</v>
      </c>
      <c r="BV460" s="1" t="s">
        <v>6080</v>
      </c>
      <c r="BW460" s="1" t="s">
        <v>6080</v>
      </c>
    </row>
    <row r="461" spans="1:75" ht="290" x14ac:dyDescent="0.35">
      <c r="A461" s="1" t="s">
        <v>72</v>
      </c>
      <c r="B461" s="1" t="s">
        <v>5008</v>
      </c>
      <c r="C461" s="1" t="s">
        <v>74</v>
      </c>
      <c r="D461" s="1" t="s">
        <v>74</v>
      </c>
      <c r="E461" s="1" t="s">
        <v>74</v>
      </c>
      <c r="F461" s="1" t="s">
        <v>5009</v>
      </c>
      <c r="G461" s="1" t="s">
        <v>74</v>
      </c>
      <c r="H461" s="1" t="s">
        <v>74</v>
      </c>
      <c r="I461" s="1" t="s">
        <v>5010</v>
      </c>
      <c r="J461" s="1" t="s">
        <v>4173</v>
      </c>
      <c r="K461" s="1" t="s">
        <v>74</v>
      </c>
      <c r="L461" s="1" t="s">
        <v>74</v>
      </c>
      <c r="M461" s="1" t="s">
        <v>78</v>
      </c>
      <c r="N461" s="1" t="s">
        <v>110</v>
      </c>
      <c r="O461" s="1" t="s">
        <v>74</v>
      </c>
      <c r="P461" s="1" t="s">
        <v>74</v>
      </c>
      <c r="Q461" s="1" t="s">
        <v>74</v>
      </c>
      <c r="R461" s="1" t="s">
        <v>74</v>
      </c>
      <c r="S461" s="1" t="s">
        <v>74</v>
      </c>
      <c r="T461" s="1" t="s">
        <v>5011</v>
      </c>
      <c r="U461" s="1" t="s">
        <v>5012</v>
      </c>
      <c r="V461" s="1" t="s">
        <v>5013</v>
      </c>
      <c r="W461" s="1" t="s">
        <v>5014</v>
      </c>
      <c r="X461" s="1" t="s">
        <v>5015</v>
      </c>
      <c r="Y461" s="1" t="s">
        <v>5016</v>
      </c>
      <c r="Z461" s="1" t="s">
        <v>5017</v>
      </c>
      <c r="AA461" s="1" t="s">
        <v>5018</v>
      </c>
      <c r="AB461" s="1" t="s">
        <v>5019</v>
      </c>
      <c r="AC461" s="1" t="s">
        <v>5020</v>
      </c>
      <c r="AD461" s="1" t="s">
        <v>4261</v>
      </c>
      <c r="AE461" s="1" t="s">
        <v>5021</v>
      </c>
      <c r="AF461" s="1" t="s">
        <v>74</v>
      </c>
      <c r="AG461" s="1">
        <v>91</v>
      </c>
      <c r="AH461" s="1">
        <v>57</v>
      </c>
      <c r="AI461" s="1">
        <v>57</v>
      </c>
      <c r="AJ461" s="1">
        <v>24</v>
      </c>
      <c r="AK461" s="1">
        <v>101</v>
      </c>
      <c r="AL461" s="1" t="s">
        <v>1180</v>
      </c>
      <c r="AM461" s="1" t="s">
        <v>1181</v>
      </c>
      <c r="AN461" s="1" t="s">
        <v>1182</v>
      </c>
      <c r="AO461" s="1" t="s">
        <v>4174</v>
      </c>
      <c r="AP461" s="1" t="s">
        <v>4175</v>
      </c>
      <c r="AQ461" s="1" t="s">
        <v>74</v>
      </c>
      <c r="AR461" s="1" t="s">
        <v>4176</v>
      </c>
      <c r="AS461" s="1" t="s">
        <v>4177</v>
      </c>
      <c r="AT461" s="1" t="s">
        <v>4178</v>
      </c>
      <c r="AU461" s="1">
        <v>2020</v>
      </c>
      <c r="AV461" s="1">
        <v>7</v>
      </c>
      <c r="AW461" s="1">
        <v>2</v>
      </c>
      <c r="AX461" s="1" t="s">
        <v>74</v>
      </c>
      <c r="AY461" s="1" t="s">
        <v>74</v>
      </c>
      <c r="AZ461" s="1" t="s">
        <v>74</v>
      </c>
      <c r="BA461" s="1" t="s">
        <v>74</v>
      </c>
      <c r="BB461" s="1">
        <v>139</v>
      </c>
      <c r="BC461" s="1">
        <v>172</v>
      </c>
      <c r="BD461" s="1" t="s">
        <v>74</v>
      </c>
      <c r="BE461" s="1" t="s">
        <v>5022</v>
      </c>
      <c r="BF461" s="1" t="str">
        <f>HYPERLINK("http://dx.doi.org/10.1080/23270012.2020.1756939","http://dx.doi.org/10.1080/23270012.2020.1756939")</f>
        <v>http://dx.doi.org/10.1080/23270012.2020.1756939</v>
      </c>
      <c r="BG461" s="1" t="s">
        <v>74</v>
      </c>
      <c r="BH461" s="1" t="s">
        <v>74</v>
      </c>
      <c r="BI461" s="1">
        <v>34</v>
      </c>
      <c r="BJ461" s="1" t="s">
        <v>4179</v>
      </c>
      <c r="BK461" s="1" t="s">
        <v>101</v>
      </c>
      <c r="BL461" s="1" t="s">
        <v>4180</v>
      </c>
      <c r="BM461" s="1" t="s">
        <v>4181</v>
      </c>
      <c r="BN461" s="1" t="s">
        <v>74</v>
      </c>
      <c r="BO461" s="1" t="s">
        <v>74</v>
      </c>
      <c r="BP461" s="1" t="s">
        <v>74</v>
      </c>
      <c r="BQ461" s="1" t="s">
        <v>74</v>
      </c>
      <c r="BR461" s="1" t="s">
        <v>4296</v>
      </c>
      <c r="BS461" s="1" t="s">
        <v>5023</v>
      </c>
      <c r="BT461" s="1" t="str">
        <f>HYPERLINK("https%3A%2F%2Fwww.webofscience.com%2Fwos%2Fwoscc%2Ffull-record%2FWOS:000536519700001","View Full Record in Web of Science")</f>
        <v>View Full Record in Web of Science</v>
      </c>
      <c r="BU461" s="1" t="s">
        <v>5876</v>
      </c>
      <c r="BV461" s="1" t="s">
        <v>10653</v>
      </c>
    </row>
    <row r="462" spans="1:75" x14ac:dyDescent="0.35">
      <c r="A462" t="s">
        <v>72</v>
      </c>
      <c r="B462" t="s">
        <v>7109</v>
      </c>
      <c r="C462" t="s">
        <v>74</v>
      </c>
      <c r="D462" t="s">
        <v>74</v>
      </c>
      <c r="E462" t="s">
        <v>74</v>
      </c>
      <c r="F462" t="s">
        <v>7110</v>
      </c>
      <c r="G462" t="s">
        <v>74</v>
      </c>
      <c r="H462" t="s">
        <v>74</v>
      </c>
      <c r="I462" t="s">
        <v>7111</v>
      </c>
      <c r="J462" t="s">
        <v>7112</v>
      </c>
      <c r="K462" t="s">
        <v>74</v>
      </c>
      <c r="L462" t="s">
        <v>74</v>
      </c>
      <c r="M462" t="s">
        <v>78</v>
      </c>
      <c r="N462" t="s">
        <v>79</v>
      </c>
      <c r="O462" t="s">
        <v>74</v>
      </c>
      <c r="P462" t="s">
        <v>74</v>
      </c>
      <c r="Q462" t="s">
        <v>74</v>
      </c>
      <c r="R462" t="s">
        <v>74</v>
      </c>
      <c r="S462" t="s">
        <v>74</v>
      </c>
      <c r="T462" t="s">
        <v>7113</v>
      </c>
      <c r="U462" t="s">
        <v>7114</v>
      </c>
      <c r="V462" t="s">
        <v>7115</v>
      </c>
      <c r="W462" t="s">
        <v>7116</v>
      </c>
      <c r="X462" t="s">
        <v>7117</v>
      </c>
      <c r="Y462" t="s">
        <v>7118</v>
      </c>
      <c r="Z462" t="s">
        <v>7119</v>
      </c>
      <c r="AA462" t="s">
        <v>7120</v>
      </c>
      <c r="AB462" t="s">
        <v>7121</v>
      </c>
      <c r="AC462" t="s">
        <v>74</v>
      </c>
      <c r="AD462" t="s">
        <v>74</v>
      </c>
      <c r="AE462" t="s">
        <v>74</v>
      </c>
      <c r="AF462" t="s">
        <v>74</v>
      </c>
      <c r="AG462">
        <v>31</v>
      </c>
      <c r="AH462">
        <v>114</v>
      </c>
      <c r="AI462">
        <v>115</v>
      </c>
      <c r="AJ462">
        <v>11</v>
      </c>
      <c r="AK462">
        <v>88</v>
      </c>
      <c r="AL462" t="s">
        <v>652</v>
      </c>
      <c r="AM462" t="s">
        <v>653</v>
      </c>
      <c r="AN462" t="s">
        <v>654</v>
      </c>
      <c r="AO462" t="s">
        <v>7122</v>
      </c>
      <c r="AP462" t="s">
        <v>7123</v>
      </c>
      <c r="AQ462" t="s">
        <v>74</v>
      </c>
      <c r="AR462" t="s">
        <v>7124</v>
      </c>
      <c r="AS462" t="s">
        <v>7125</v>
      </c>
      <c r="AT462" t="s">
        <v>7126</v>
      </c>
      <c r="AU462">
        <v>2018</v>
      </c>
      <c r="AV462">
        <v>24</v>
      </c>
      <c r="AW462">
        <v>1</v>
      </c>
      <c r="AX462" t="s">
        <v>74</v>
      </c>
      <c r="AY462" t="s">
        <v>74</v>
      </c>
      <c r="AZ462" t="s">
        <v>74</v>
      </c>
      <c r="BA462" t="s">
        <v>74</v>
      </c>
      <c r="BB462">
        <v>1</v>
      </c>
      <c r="BC462">
        <v>7</v>
      </c>
      <c r="BD462" t="s">
        <v>74</v>
      </c>
      <c r="BE462" t="s">
        <v>7127</v>
      </c>
      <c r="BF462" t="str">
        <f>HYPERLINK("http://dx.doi.org/10.1016/j.iedeen.2017.06.002","http://dx.doi.org/10.1016/j.iedeen.2017.06.002")</f>
        <v>http://dx.doi.org/10.1016/j.iedeen.2017.06.002</v>
      </c>
      <c r="BG462" t="s">
        <v>74</v>
      </c>
      <c r="BH462" t="s">
        <v>74</v>
      </c>
      <c r="BI462">
        <v>7</v>
      </c>
      <c r="BJ462" t="s">
        <v>7128</v>
      </c>
      <c r="BK462" t="s">
        <v>101</v>
      </c>
      <c r="BL462" t="s">
        <v>154</v>
      </c>
      <c r="BM462" t="s">
        <v>7129</v>
      </c>
      <c r="BN462" t="s">
        <v>74</v>
      </c>
      <c r="BO462" t="s">
        <v>5305</v>
      </c>
      <c r="BP462" t="s">
        <v>74</v>
      </c>
      <c r="BQ462" t="s">
        <v>74</v>
      </c>
      <c r="BR462" t="s">
        <v>6098</v>
      </c>
      <c r="BS462" t="s">
        <v>7130</v>
      </c>
      <c r="BT462" t="str">
        <f>HYPERLINK("https%3A%2F%2Fwww.webofscience.com%2Fwos%2Fwoscc%2Ffull-record%2FWOS:000430285500001","View Full Record in Web of Science")</f>
        <v>View Full Record in Web of Science</v>
      </c>
      <c r="BU462" t="s">
        <v>6100</v>
      </c>
      <c r="BV462" s="1" t="s">
        <v>6080</v>
      </c>
      <c r="BW462" s="1" t="s">
        <v>10653</v>
      </c>
    </row>
    <row r="463" spans="1:75" x14ac:dyDescent="0.35">
      <c r="A463" t="s">
        <v>72</v>
      </c>
      <c r="B463" t="s">
        <v>7131</v>
      </c>
      <c r="C463" t="s">
        <v>74</v>
      </c>
      <c r="D463" t="s">
        <v>74</v>
      </c>
      <c r="E463" t="s">
        <v>74</v>
      </c>
      <c r="F463" t="s">
        <v>7132</v>
      </c>
      <c r="G463" t="s">
        <v>74</v>
      </c>
      <c r="H463" t="s">
        <v>74</v>
      </c>
      <c r="I463" t="s">
        <v>7133</v>
      </c>
      <c r="J463" t="s">
        <v>6497</v>
      </c>
      <c r="K463" t="s">
        <v>74</v>
      </c>
      <c r="L463" t="s">
        <v>74</v>
      </c>
      <c r="M463" t="s">
        <v>78</v>
      </c>
      <c r="N463" t="s">
        <v>79</v>
      </c>
      <c r="O463" t="s">
        <v>74</v>
      </c>
      <c r="P463" t="s">
        <v>74</v>
      </c>
      <c r="Q463" t="s">
        <v>74</v>
      </c>
      <c r="R463" t="s">
        <v>74</v>
      </c>
      <c r="S463" t="s">
        <v>74</v>
      </c>
      <c r="T463" t="s">
        <v>7134</v>
      </c>
      <c r="U463" t="s">
        <v>7135</v>
      </c>
      <c r="V463" t="s">
        <v>7136</v>
      </c>
      <c r="W463" t="s">
        <v>7137</v>
      </c>
      <c r="X463" t="s">
        <v>7138</v>
      </c>
      <c r="Y463" t="s">
        <v>7139</v>
      </c>
      <c r="Z463" t="s">
        <v>7140</v>
      </c>
      <c r="AA463" t="s">
        <v>74</v>
      </c>
      <c r="AB463" t="s">
        <v>74</v>
      </c>
      <c r="AC463" t="s">
        <v>74</v>
      </c>
      <c r="AD463" t="s">
        <v>74</v>
      </c>
      <c r="AE463" t="s">
        <v>74</v>
      </c>
      <c r="AF463" t="s">
        <v>74</v>
      </c>
      <c r="AG463">
        <v>115</v>
      </c>
      <c r="AH463">
        <v>18</v>
      </c>
      <c r="AI463">
        <v>18</v>
      </c>
      <c r="AJ463">
        <v>5</v>
      </c>
      <c r="AK463">
        <v>81</v>
      </c>
      <c r="AL463" t="s">
        <v>1982</v>
      </c>
      <c r="AM463" t="s">
        <v>1983</v>
      </c>
      <c r="AN463" t="s">
        <v>2573</v>
      </c>
      <c r="AO463" t="s">
        <v>6507</v>
      </c>
      <c r="AP463" t="s">
        <v>6508</v>
      </c>
      <c r="AQ463" t="s">
        <v>74</v>
      </c>
      <c r="AR463" t="s">
        <v>6509</v>
      </c>
      <c r="AS463" t="s">
        <v>6510</v>
      </c>
      <c r="AT463" t="s">
        <v>7141</v>
      </c>
      <c r="AU463">
        <v>2019</v>
      </c>
      <c r="AV463">
        <v>30</v>
      </c>
      <c r="AW463">
        <v>5</v>
      </c>
      <c r="AX463" t="s">
        <v>74</v>
      </c>
      <c r="AY463" t="s">
        <v>74</v>
      </c>
      <c r="AZ463" t="s">
        <v>259</v>
      </c>
      <c r="BA463" t="s">
        <v>74</v>
      </c>
      <c r="BB463">
        <v>593</v>
      </c>
      <c r="BC463">
        <v>620</v>
      </c>
      <c r="BD463" t="s">
        <v>74</v>
      </c>
      <c r="BE463" t="s">
        <v>7142</v>
      </c>
      <c r="BF463" t="str">
        <f>HYPERLINK("http://dx.doi.org/10.1108/JOSM-08-2019-0254","http://dx.doi.org/10.1108/JOSM-08-2019-0254")</f>
        <v>http://dx.doi.org/10.1108/JOSM-08-2019-0254</v>
      </c>
      <c r="BG463" t="s">
        <v>74</v>
      </c>
      <c r="BH463" t="s">
        <v>74</v>
      </c>
      <c r="BI463">
        <v>28</v>
      </c>
      <c r="BJ463" t="s">
        <v>2493</v>
      </c>
      <c r="BK463" t="s">
        <v>101</v>
      </c>
      <c r="BL463" t="s">
        <v>154</v>
      </c>
      <c r="BM463" t="s">
        <v>7143</v>
      </c>
      <c r="BN463" t="s">
        <v>74</v>
      </c>
      <c r="BO463" t="s">
        <v>74</v>
      </c>
      <c r="BP463" t="s">
        <v>74</v>
      </c>
      <c r="BQ463" t="s">
        <v>74</v>
      </c>
      <c r="BR463" t="s">
        <v>6098</v>
      </c>
      <c r="BS463" t="s">
        <v>7144</v>
      </c>
      <c r="BT463" t="str">
        <f>HYPERLINK("https%3A%2F%2Fwww.webofscience.com%2Fwos%2Fwoscc%2Ffull-record%2FWOS:000496535300005","View Full Record in Web of Science")</f>
        <v>View Full Record in Web of Science</v>
      </c>
      <c r="BU463" t="s">
        <v>6100</v>
      </c>
      <c r="BV463" s="1" t="s">
        <v>6080</v>
      </c>
      <c r="BW463" s="1" t="s">
        <v>10653</v>
      </c>
    </row>
    <row r="464" spans="1:75" ht="319" x14ac:dyDescent="0.35">
      <c r="A464" s="1" t="s">
        <v>72</v>
      </c>
      <c r="B464" s="1" t="s">
        <v>5024</v>
      </c>
      <c r="C464" s="1" t="s">
        <v>74</v>
      </c>
      <c r="D464" s="1" t="s">
        <v>74</v>
      </c>
      <c r="E464" s="1" t="s">
        <v>74</v>
      </c>
      <c r="F464" s="1" t="s">
        <v>5025</v>
      </c>
      <c r="G464" s="1" t="s">
        <v>74</v>
      </c>
      <c r="H464" s="1" t="s">
        <v>74</v>
      </c>
      <c r="I464" s="1" t="s">
        <v>5026</v>
      </c>
      <c r="J464" s="1" t="s">
        <v>5027</v>
      </c>
      <c r="K464" s="1" t="s">
        <v>74</v>
      </c>
      <c r="L464" s="1" t="s">
        <v>74</v>
      </c>
      <c r="M464" s="1" t="s">
        <v>78</v>
      </c>
      <c r="N464" s="1" t="s">
        <v>79</v>
      </c>
      <c r="O464" s="1" t="s">
        <v>74</v>
      </c>
      <c r="P464" s="1" t="s">
        <v>74</v>
      </c>
      <c r="Q464" s="1" t="s">
        <v>74</v>
      </c>
      <c r="R464" s="1" t="s">
        <v>74</v>
      </c>
      <c r="S464" s="1" t="s">
        <v>74</v>
      </c>
      <c r="T464" s="1" t="s">
        <v>5028</v>
      </c>
      <c r="U464" s="1" t="s">
        <v>5029</v>
      </c>
      <c r="V464" s="1" t="s">
        <v>5030</v>
      </c>
      <c r="W464" s="1" t="s">
        <v>5031</v>
      </c>
      <c r="X464" s="1" t="s">
        <v>5032</v>
      </c>
      <c r="Y464" s="1" t="s">
        <v>5033</v>
      </c>
      <c r="Z464" s="1" t="s">
        <v>5034</v>
      </c>
      <c r="AA464" s="1" t="s">
        <v>74</v>
      </c>
      <c r="AB464" s="1" t="s">
        <v>5035</v>
      </c>
      <c r="AC464" s="1" t="s">
        <v>74</v>
      </c>
      <c r="AD464" s="1" t="s">
        <v>74</v>
      </c>
      <c r="AE464" s="1" t="s">
        <v>74</v>
      </c>
      <c r="AF464" s="1" t="s">
        <v>74</v>
      </c>
      <c r="AG464" s="1">
        <v>15</v>
      </c>
      <c r="AH464" s="1">
        <v>0</v>
      </c>
      <c r="AI464" s="1">
        <v>0</v>
      </c>
      <c r="AJ464" s="1">
        <v>0</v>
      </c>
      <c r="AK464" s="1">
        <v>1</v>
      </c>
      <c r="AL464" s="1" t="s">
        <v>144</v>
      </c>
      <c r="AM464" s="1" t="s">
        <v>145</v>
      </c>
      <c r="AN464" s="1" t="s">
        <v>146</v>
      </c>
      <c r="AO464" s="1" t="s">
        <v>74</v>
      </c>
      <c r="AP464" s="1" t="s">
        <v>5036</v>
      </c>
      <c r="AQ464" s="1" t="s">
        <v>74</v>
      </c>
      <c r="AR464" s="1" t="s">
        <v>5037</v>
      </c>
      <c r="AS464" s="1" t="s">
        <v>5038</v>
      </c>
      <c r="AT464" s="1" t="s">
        <v>294</v>
      </c>
      <c r="AU464" s="1">
        <v>2020</v>
      </c>
      <c r="AV464" s="1">
        <v>7</v>
      </c>
      <c r="AW464" s="1">
        <v>2</v>
      </c>
      <c r="AX464" s="1" t="s">
        <v>74</v>
      </c>
      <c r="AY464" s="1" t="s">
        <v>74</v>
      </c>
      <c r="AZ464" s="1" t="s">
        <v>74</v>
      </c>
      <c r="BA464" s="1" t="s">
        <v>74</v>
      </c>
      <c r="BB464" s="1" t="s">
        <v>74</v>
      </c>
      <c r="BC464" s="1" t="s">
        <v>74</v>
      </c>
      <c r="BD464" s="1">
        <v>2053168020921742</v>
      </c>
      <c r="BE464" s="1" t="s">
        <v>5039</v>
      </c>
      <c r="BF464" s="1" t="str">
        <f>HYPERLINK("http://dx.doi.org/10.1177/2053168020921742","http://dx.doi.org/10.1177/2053168020921742")</f>
        <v>http://dx.doi.org/10.1177/2053168020921742</v>
      </c>
      <c r="BG464" s="1" t="s">
        <v>74</v>
      </c>
      <c r="BH464" s="1" t="s">
        <v>74</v>
      </c>
      <c r="BI464" s="1">
        <v>8</v>
      </c>
      <c r="BJ464" s="1" t="s">
        <v>2619</v>
      </c>
      <c r="BK464" s="1" t="s">
        <v>101</v>
      </c>
      <c r="BL464" s="1" t="s">
        <v>2620</v>
      </c>
      <c r="BM464" s="1" t="s">
        <v>5040</v>
      </c>
      <c r="BN464" s="1" t="s">
        <v>74</v>
      </c>
      <c r="BO464" s="1" t="s">
        <v>4746</v>
      </c>
      <c r="BP464" s="1" t="s">
        <v>74</v>
      </c>
      <c r="BQ464" s="1" t="s">
        <v>74</v>
      </c>
      <c r="BR464" s="1" t="s">
        <v>4296</v>
      </c>
      <c r="BS464" s="1" t="s">
        <v>5041</v>
      </c>
      <c r="BT464" s="1" t="str">
        <f>HYPERLINK("https%3A%2F%2Fwww.webofscience.com%2Fwos%2Fwoscc%2Ffull-record%2FWOS:000539317700001","View Full Record in Web of Science")</f>
        <v>View Full Record in Web of Science</v>
      </c>
      <c r="BU464" s="1" t="s">
        <v>5876</v>
      </c>
      <c r="BV464" s="1" t="s">
        <v>10653</v>
      </c>
    </row>
    <row r="465" spans="1:75" ht="377" x14ac:dyDescent="0.35">
      <c r="A465" s="1" t="s">
        <v>72</v>
      </c>
      <c r="B465" s="1" t="s">
        <v>1615</v>
      </c>
      <c r="C465" s="1" t="s">
        <v>74</v>
      </c>
      <c r="D465" s="1" t="s">
        <v>74</v>
      </c>
      <c r="E465" s="1" t="s">
        <v>74</v>
      </c>
      <c r="F465" s="1" t="s">
        <v>1616</v>
      </c>
      <c r="G465" s="1" t="s">
        <v>74</v>
      </c>
      <c r="H465" s="1" t="s">
        <v>74</v>
      </c>
      <c r="I465" s="1" t="s">
        <v>5042</v>
      </c>
      <c r="J465" s="1" t="s">
        <v>136</v>
      </c>
      <c r="K465" s="1" t="s">
        <v>74</v>
      </c>
      <c r="L465" s="1" t="s">
        <v>74</v>
      </c>
      <c r="M465" s="1" t="s">
        <v>78</v>
      </c>
      <c r="N465" s="1" t="s">
        <v>79</v>
      </c>
      <c r="O465" s="1" t="s">
        <v>74</v>
      </c>
      <c r="P465" s="1" t="s">
        <v>74</v>
      </c>
      <c r="Q465" s="1" t="s">
        <v>74</v>
      </c>
      <c r="R465" s="1" t="s">
        <v>74</v>
      </c>
      <c r="S465" s="1" t="s">
        <v>74</v>
      </c>
      <c r="T465" s="1" t="s">
        <v>5043</v>
      </c>
      <c r="U465" s="1" t="s">
        <v>5044</v>
      </c>
      <c r="V465" s="1" t="s">
        <v>5045</v>
      </c>
      <c r="W465" s="1" t="s">
        <v>5046</v>
      </c>
      <c r="X465" s="1" t="s">
        <v>5047</v>
      </c>
      <c r="Y465" s="1" t="s">
        <v>5048</v>
      </c>
      <c r="Z465" s="1" t="s">
        <v>5049</v>
      </c>
      <c r="AA465" s="1" t="s">
        <v>74</v>
      </c>
      <c r="AB465" s="1" t="s">
        <v>74</v>
      </c>
      <c r="AC465" s="1" t="s">
        <v>74</v>
      </c>
      <c r="AD465" s="1" t="s">
        <v>74</v>
      </c>
      <c r="AE465" s="1" t="s">
        <v>74</v>
      </c>
      <c r="AF465" s="1" t="s">
        <v>74</v>
      </c>
      <c r="AG465" s="1">
        <v>84</v>
      </c>
      <c r="AH465" s="1">
        <v>27</v>
      </c>
      <c r="AI465" s="1">
        <v>29</v>
      </c>
      <c r="AJ465" s="1">
        <v>37</v>
      </c>
      <c r="AK465" s="1">
        <v>152</v>
      </c>
      <c r="AL465" s="1" t="s">
        <v>144</v>
      </c>
      <c r="AM465" s="1" t="s">
        <v>145</v>
      </c>
      <c r="AN465" s="1" t="s">
        <v>146</v>
      </c>
      <c r="AO465" s="1" t="s">
        <v>147</v>
      </c>
      <c r="AP465" s="1" t="s">
        <v>148</v>
      </c>
      <c r="AQ465" s="1" t="s">
        <v>74</v>
      </c>
      <c r="AR465" s="1" t="s">
        <v>149</v>
      </c>
      <c r="AS465" s="1" t="s">
        <v>150</v>
      </c>
      <c r="AT465" s="1" t="s">
        <v>294</v>
      </c>
      <c r="AU465" s="1">
        <v>2020</v>
      </c>
      <c r="AV465" s="1">
        <v>57</v>
      </c>
      <c r="AW465" s="1">
        <v>2</v>
      </c>
      <c r="AX465" s="1" t="s">
        <v>74</v>
      </c>
      <c r="AY465" s="1" t="s">
        <v>74</v>
      </c>
      <c r="AZ465" s="1" t="s">
        <v>74</v>
      </c>
      <c r="BA465" s="1" t="s">
        <v>74</v>
      </c>
      <c r="BB465" s="1">
        <v>332</v>
      </c>
      <c r="BC465" s="1">
        <v>352</v>
      </c>
      <c r="BD465" s="1" t="s">
        <v>74</v>
      </c>
      <c r="BE465" s="1" t="s">
        <v>5050</v>
      </c>
      <c r="BF465" s="1" t="str">
        <f>HYPERLINK("http://dx.doi.org/10.1177/0022243719892594","http://dx.doi.org/10.1177/0022243719892594")</f>
        <v>http://dx.doi.org/10.1177/0022243719892594</v>
      </c>
      <c r="BG465" s="1" t="s">
        <v>74</v>
      </c>
      <c r="BH465" s="1" t="s">
        <v>74</v>
      </c>
      <c r="BI465" s="1">
        <v>21</v>
      </c>
      <c r="BJ465" s="1" t="s">
        <v>153</v>
      </c>
      <c r="BK465" s="1" t="s">
        <v>101</v>
      </c>
      <c r="BL465" s="1" t="s">
        <v>154</v>
      </c>
      <c r="BM465" s="1" t="s">
        <v>5051</v>
      </c>
      <c r="BN465" s="1" t="s">
        <v>74</v>
      </c>
      <c r="BO465" s="1" t="s">
        <v>74</v>
      </c>
      <c r="BP465" s="1" t="s">
        <v>74</v>
      </c>
      <c r="BQ465" s="1" t="s">
        <v>74</v>
      </c>
      <c r="BR465" s="1" t="s">
        <v>4296</v>
      </c>
      <c r="BS465" s="1" t="s">
        <v>5052</v>
      </c>
      <c r="BT465" s="1" t="str">
        <f>HYPERLINK("https%3A%2F%2Fwww.webofscience.com%2Fwos%2Fwoscc%2Ffull-record%2FWOS:000525435800008","View Full Record in Web of Science")</f>
        <v>View Full Record in Web of Science</v>
      </c>
      <c r="BU465" s="1" t="s">
        <v>5876</v>
      </c>
      <c r="BV465" s="1" t="s">
        <v>6080</v>
      </c>
      <c r="BW465" s="1" t="s">
        <v>6080</v>
      </c>
    </row>
    <row r="466" spans="1:75" ht="304.5" x14ac:dyDescent="0.35">
      <c r="A466" s="1" t="s">
        <v>72</v>
      </c>
      <c r="B466" s="1" t="s">
        <v>1442</v>
      </c>
      <c r="C466" s="1" t="s">
        <v>74</v>
      </c>
      <c r="D466" s="1" t="s">
        <v>74</v>
      </c>
      <c r="E466" s="1" t="s">
        <v>74</v>
      </c>
      <c r="F466" s="1" t="s">
        <v>1443</v>
      </c>
      <c r="G466" s="1" t="s">
        <v>74</v>
      </c>
      <c r="H466" s="1" t="s">
        <v>74</v>
      </c>
      <c r="I466" s="1" t="s">
        <v>5053</v>
      </c>
      <c r="J466" s="1" t="s">
        <v>301</v>
      </c>
      <c r="K466" s="1" t="s">
        <v>74</v>
      </c>
      <c r="L466" s="1" t="s">
        <v>74</v>
      </c>
      <c r="M466" s="1" t="s">
        <v>78</v>
      </c>
      <c r="N466" s="1" t="s">
        <v>79</v>
      </c>
      <c r="O466" s="1" t="s">
        <v>74</v>
      </c>
      <c r="P466" s="1" t="s">
        <v>74</v>
      </c>
      <c r="Q466" s="1" t="s">
        <v>74</v>
      </c>
      <c r="R466" s="1" t="s">
        <v>74</v>
      </c>
      <c r="S466" s="1" t="s">
        <v>74</v>
      </c>
      <c r="T466" s="1" t="s">
        <v>5054</v>
      </c>
      <c r="U466" s="1" t="s">
        <v>5055</v>
      </c>
      <c r="V466" s="1" t="s">
        <v>5056</v>
      </c>
      <c r="W466" s="1" t="s">
        <v>5057</v>
      </c>
      <c r="X466" s="1" t="s">
        <v>4827</v>
      </c>
      <c r="Y466" s="1" t="s">
        <v>5058</v>
      </c>
      <c r="Z466" s="1" t="s">
        <v>5059</v>
      </c>
      <c r="AA466" s="1" t="s">
        <v>74</v>
      </c>
      <c r="AB466" s="1" t="s">
        <v>74</v>
      </c>
      <c r="AC466" s="1" t="s">
        <v>74</v>
      </c>
      <c r="AD466" s="1" t="s">
        <v>74</v>
      </c>
      <c r="AE466" s="1" t="s">
        <v>74</v>
      </c>
      <c r="AF466" s="1" t="s">
        <v>74</v>
      </c>
      <c r="AG466" s="1">
        <v>41</v>
      </c>
      <c r="AH466" s="1">
        <v>14</v>
      </c>
      <c r="AI466" s="1">
        <v>14</v>
      </c>
      <c r="AJ466" s="1">
        <v>4</v>
      </c>
      <c r="AK466" s="1">
        <v>23</v>
      </c>
      <c r="AL466" s="1" t="s">
        <v>144</v>
      </c>
      <c r="AM466" s="1" t="s">
        <v>145</v>
      </c>
      <c r="AN466" s="1" t="s">
        <v>146</v>
      </c>
      <c r="AO466" s="1" t="s">
        <v>306</v>
      </c>
      <c r="AP466" s="1" t="s">
        <v>307</v>
      </c>
      <c r="AQ466" s="1" t="s">
        <v>74</v>
      </c>
      <c r="AR466" s="1" t="s">
        <v>308</v>
      </c>
      <c r="AS466" s="1" t="s">
        <v>309</v>
      </c>
      <c r="AT466" s="1" t="s">
        <v>294</v>
      </c>
      <c r="AU466" s="1">
        <v>2020</v>
      </c>
      <c r="AV466" s="1">
        <v>31</v>
      </c>
      <c r="AW466" s="1">
        <v>4</v>
      </c>
      <c r="AX466" s="1" t="s">
        <v>74</v>
      </c>
      <c r="AY466" s="1" t="s">
        <v>74</v>
      </c>
      <c r="AZ466" s="1" t="s">
        <v>74</v>
      </c>
      <c r="BA466" s="1" t="s">
        <v>74</v>
      </c>
      <c r="BB466" s="1">
        <v>397</v>
      </c>
      <c r="BC466" s="1">
        <v>407</v>
      </c>
      <c r="BD466" s="1">
        <v>956797620902380</v>
      </c>
      <c r="BE466" s="1" t="s">
        <v>5060</v>
      </c>
      <c r="BF466" s="1" t="str">
        <f>HYPERLINK("http://dx.doi.org/10.1177/0956797620902380","http://dx.doi.org/10.1177/0956797620902380")</f>
        <v>http://dx.doi.org/10.1177/0956797620902380</v>
      </c>
      <c r="BG466" s="1" t="s">
        <v>74</v>
      </c>
      <c r="BH466" s="1" t="s">
        <v>4182</v>
      </c>
      <c r="BI466" s="1">
        <v>11</v>
      </c>
      <c r="BJ466" s="1" t="s">
        <v>311</v>
      </c>
      <c r="BK466" s="1" t="s">
        <v>101</v>
      </c>
      <c r="BL466" s="1" t="s">
        <v>102</v>
      </c>
      <c r="BM466" s="1" t="s">
        <v>5061</v>
      </c>
      <c r="BN466" s="1">
        <v>32101089</v>
      </c>
      <c r="BO466" s="1" t="s">
        <v>74</v>
      </c>
      <c r="BP466" s="1" t="s">
        <v>74</v>
      </c>
      <c r="BQ466" s="1" t="s">
        <v>74</v>
      </c>
      <c r="BR466" s="1" t="s">
        <v>4296</v>
      </c>
      <c r="BS466" s="1" t="s">
        <v>5062</v>
      </c>
      <c r="BT466" s="1" t="str">
        <f>HYPERLINK("https%3A%2F%2Fwww.webofscience.com%2Fwos%2Fwoscc%2Ffull-record%2FWOS:000516695800001","View Full Record in Web of Science")</f>
        <v>View Full Record in Web of Science</v>
      </c>
      <c r="BU466" s="1" t="s">
        <v>5876</v>
      </c>
      <c r="BV466" s="1" t="s">
        <v>10653</v>
      </c>
    </row>
    <row r="467" spans="1:75" x14ac:dyDescent="0.35">
      <c r="A467" t="s">
        <v>72</v>
      </c>
      <c r="B467" t="s">
        <v>7196</v>
      </c>
      <c r="C467" t="s">
        <v>74</v>
      </c>
      <c r="D467" t="s">
        <v>74</v>
      </c>
      <c r="E467" t="s">
        <v>74</v>
      </c>
      <c r="F467" t="s">
        <v>7197</v>
      </c>
      <c r="G467" t="s">
        <v>74</v>
      </c>
      <c r="H467" t="s">
        <v>74</v>
      </c>
      <c r="I467" t="s">
        <v>7198</v>
      </c>
      <c r="J467" t="s">
        <v>7199</v>
      </c>
      <c r="K467" t="s">
        <v>74</v>
      </c>
      <c r="L467" t="s">
        <v>74</v>
      </c>
      <c r="M467" t="s">
        <v>78</v>
      </c>
      <c r="N467" t="s">
        <v>110</v>
      </c>
      <c r="O467" t="s">
        <v>74</v>
      </c>
      <c r="P467" t="s">
        <v>74</v>
      </c>
      <c r="Q467" t="s">
        <v>74</v>
      </c>
      <c r="R467" t="s">
        <v>74</v>
      </c>
      <c r="S467" t="s">
        <v>74</v>
      </c>
      <c r="T467" t="s">
        <v>7200</v>
      </c>
      <c r="U467" t="s">
        <v>7201</v>
      </c>
      <c r="V467" t="s">
        <v>7202</v>
      </c>
      <c r="W467" t="s">
        <v>7203</v>
      </c>
      <c r="X467" t="s">
        <v>7204</v>
      </c>
      <c r="Y467" t="s">
        <v>7205</v>
      </c>
      <c r="Z467" t="s">
        <v>7206</v>
      </c>
      <c r="AA467" t="s">
        <v>7207</v>
      </c>
      <c r="AB467" t="s">
        <v>7208</v>
      </c>
      <c r="AC467" t="s">
        <v>74</v>
      </c>
      <c r="AD467" t="s">
        <v>74</v>
      </c>
      <c r="AE467" t="s">
        <v>74</v>
      </c>
      <c r="AF467" t="s">
        <v>74</v>
      </c>
      <c r="AG467">
        <v>111</v>
      </c>
      <c r="AH467">
        <v>85</v>
      </c>
      <c r="AI467">
        <v>86</v>
      </c>
      <c r="AJ467">
        <v>14</v>
      </c>
      <c r="AK467">
        <v>136</v>
      </c>
      <c r="AL467" t="s">
        <v>820</v>
      </c>
      <c r="AM467" t="s">
        <v>2119</v>
      </c>
      <c r="AN467" t="s">
        <v>2120</v>
      </c>
      <c r="AO467" t="s">
        <v>7209</v>
      </c>
      <c r="AP467" t="s">
        <v>7210</v>
      </c>
      <c r="AQ467" t="s">
        <v>74</v>
      </c>
      <c r="AR467" t="s">
        <v>7211</v>
      </c>
      <c r="AS467" t="s">
        <v>7212</v>
      </c>
      <c r="AT467" t="s">
        <v>258</v>
      </c>
      <c r="AU467">
        <v>2016</v>
      </c>
      <c r="AV467">
        <v>139</v>
      </c>
      <c r="AW467">
        <v>1</v>
      </c>
      <c r="AX467" t="s">
        <v>74</v>
      </c>
      <c r="AY467" t="s">
        <v>74</v>
      </c>
      <c r="AZ467" t="s">
        <v>74</v>
      </c>
      <c r="BA467" t="s">
        <v>74</v>
      </c>
      <c r="BB467">
        <v>111</v>
      </c>
      <c r="BC467">
        <v>128</v>
      </c>
      <c r="BD467" t="s">
        <v>74</v>
      </c>
      <c r="BE467" t="s">
        <v>7213</v>
      </c>
      <c r="BF467" t="str">
        <f>HYPERLINK("http://dx.doi.org/10.1007/s10551-015-2622-4","http://dx.doi.org/10.1007/s10551-015-2622-4")</f>
        <v>http://dx.doi.org/10.1007/s10551-015-2622-4</v>
      </c>
      <c r="BG467" t="s">
        <v>74</v>
      </c>
      <c r="BH467" t="s">
        <v>74</v>
      </c>
      <c r="BI467">
        <v>18</v>
      </c>
      <c r="BJ467" t="s">
        <v>7214</v>
      </c>
      <c r="BK467" t="s">
        <v>101</v>
      </c>
      <c r="BL467" t="s">
        <v>7215</v>
      </c>
      <c r="BM467" t="s">
        <v>7216</v>
      </c>
      <c r="BN467" t="s">
        <v>74</v>
      </c>
      <c r="BO467" t="s">
        <v>74</v>
      </c>
      <c r="BP467" t="s">
        <v>74</v>
      </c>
      <c r="BQ467" t="s">
        <v>74</v>
      </c>
      <c r="BR467" t="s">
        <v>6098</v>
      </c>
      <c r="BS467" t="s">
        <v>7217</v>
      </c>
      <c r="BT467" t="str">
        <f>HYPERLINK("https%3A%2F%2Fwww.webofscience.com%2Fwos%2Fwoscc%2Ffull-record%2FWOS:000387284300008","View Full Record in Web of Science")</f>
        <v>View Full Record in Web of Science</v>
      </c>
      <c r="BU467" t="s">
        <v>6100</v>
      </c>
      <c r="BV467" s="1" t="s">
        <v>6080</v>
      </c>
      <c r="BW467" s="1" t="s">
        <v>10653</v>
      </c>
    </row>
    <row r="468" spans="1:75" ht="319" x14ac:dyDescent="0.35">
      <c r="A468" s="1" t="s">
        <v>72</v>
      </c>
      <c r="B468" s="1" t="s">
        <v>5063</v>
      </c>
      <c r="C468" s="1" t="s">
        <v>74</v>
      </c>
      <c r="D468" s="1" t="s">
        <v>74</v>
      </c>
      <c r="E468" s="1" t="s">
        <v>74</v>
      </c>
      <c r="F468" s="1" t="s">
        <v>5064</v>
      </c>
      <c r="G468" s="1" t="s">
        <v>74</v>
      </c>
      <c r="H468" s="1" t="s">
        <v>74</v>
      </c>
      <c r="I468" s="1" t="s">
        <v>5065</v>
      </c>
      <c r="J468" s="1" t="s">
        <v>5066</v>
      </c>
      <c r="K468" s="1" t="s">
        <v>74</v>
      </c>
      <c r="L468" s="1" t="s">
        <v>74</v>
      </c>
      <c r="M468" s="1" t="s">
        <v>78</v>
      </c>
      <c r="N468" s="1" t="s">
        <v>79</v>
      </c>
      <c r="O468" s="1" t="s">
        <v>74</v>
      </c>
      <c r="P468" s="1" t="s">
        <v>74</v>
      </c>
      <c r="Q468" s="1" t="s">
        <v>74</v>
      </c>
      <c r="R468" s="1" t="s">
        <v>74</v>
      </c>
      <c r="S468" s="1" t="s">
        <v>74</v>
      </c>
      <c r="T468" s="1" t="s">
        <v>5067</v>
      </c>
      <c r="U468" s="1" t="s">
        <v>5068</v>
      </c>
      <c r="V468" s="1" t="s">
        <v>5069</v>
      </c>
      <c r="W468" s="1" t="s">
        <v>5070</v>
      </c>
      <c r="X468" s="1" t="s">
        <v>5071</v>
      </c>
      <c r="Y468" s="1" t="s">
        <v>5072</v>
      </c>
      <c r="Z468" s="1" t="s">
        <v>5073</v>
      </c>
      <c r="AA468" s="1" t="s">
        <v>5074</v>
      </c>
      <c r="AB468" s="1" t="s">
        <v>5075</v>
      </c>
      <c r="AC468" s="1" t="s">
        <v>74</v>
      </c>
      <c r="AD468" s="1" t="s">
        <v>74</v>
      </c>
      <c r="AE468" s="1" t="s">
        <v>74</v>
      </c>
      <c r="AF468" s="1" t="s">
        <v>74</v>
      </c>
      <c r="AG468" s="1">
        <v>62</v>
      </c>
      <c r="AH468" s="1">
        <v>21</v>
      </c>
      <c r="AI468" s="1">
        <v>21</v>
      </c>
      <c r="AJ468" s="1">
        <v>4</v>
      </c>
      <c r="AK468" s="1">
        <v>37</v>
      </c>
      <c r="AL468" s="1" t="s">
        <v>1982</v>
      </c>
      <c r="AM468" s="1" t="s">
        <v>1983</v>
      </c>
      <c r="AN468" s="1" t="s">
        <v>2573</v>
      </c>
      <c r="AO468" s="1" t="s">
        <v>5076</v>
      </c>
      <c r="AP468" s="1" t="s">
        <v>5077</v>
      </c>
      <c r="AQ468" s="1" t="s">
        <v>74</v>
      </c>
      <c r="AR468" s="1" t="s">
        <v>5078</v>
      </c>
      <c r="AS468" s="1" t="s">
        <v>5079</v>
      </c>
      <c r="AT468" s="1" t="s">
        <v>5080</v>
      </c>
      <c r="AU468" s="1">
        <v>2020</v>
      </c>
      <c r="AV468" s="1">
        <v>54</v>
      </c>
      <c r="AW468" s="1">
        <v>2</v>
      </c>
      <c r="AX468" s="1" t="s">
        <v>74</v>
      </c>
      <c r="AY468" s="1" t="s">
        <v>74</v>
      </c>
      <c r="AZ468" s="1" t="s">
        <v>74</v>
      </c>
      <c r="BA468" s="1" t="s">
        <v>74</v>
      </c>
      <c r="BB468" s="1">
        <v>305</v>
      </c>
      <c r="BC468" s="1">
        <v>326</v>
      </c>
      <c r="BD468" s="1" t="s">
        <v>74</v>
      </c>
      <c r="BE468" s="1" t="s">
        <v>5081</v>
      </c>
      <c r="BF468" s="1" t="str">
        <f>HYPERLINK("http://dx.doi.org/10.1108/EJM-01-2019-0083","http://dx.doi.org/10.1108/EJM-01-2019-0083")</f>
        <v>http://dx.doi.org/10.1108/EJM-01-2019-0083</v>
      </c>
      <c r="BG468" s="1" t="s">
        <v>74</v>
      </c>
      <c r="BH468" s="1" t="s">
        <v>74</v>
      </c>
      <c r="BI468" s="1">
        <v>22</v>
      </c>
      <c r="BJ468" s="1" t="s">
        <v>153</v>
      </c>
      <c r="BK468" s="1" t="s">
        <v>101</v>
      </c>
      <c r="BL468" s="1" t="s">
        <v>154</v>
      </c>
      <c r="BM468" s="1" t="s">
        <v>5082</v>
      </c>
      <c r="BN468" s="1" t="s">
        <v>74</v>
      </c>
      <c r="BO468" s="1" t="s">
        <v>156</v>
      </c>
      <c r="BP468" s="1" t="s">
        <v>74</v>
      </c>
      <c r="BQ468" s="1" t="s">
        <v>74</v>
      </c>
      <c r="BR468" s="1" t="s">
        <v>4296</v>
      </c>
      <c r="BS468" s="1" t="s">
        <v>5083</v>
      </c>
      <c r="BT468" s="1" t="str">
        <f>HYPERLINK("https%3A%2F%2Fwww.webofscience.com%2Fwos%2Fwoscc%2Ffull-record%2FWOS:000511445400001","View Full Record in Web of Science")</f>
        <v>View Full Record in Web of Science</v>
      </c>
      <c r="BU468" s="1" t="s">
        <v>5876</v>
      </c>
      <c r="BV468" s="1" t="s">
        <v>6080</v>
      </c>
      <c r="BW468" s="1" t="s">
        <v>6080</v>
      </c>
    </row>
    <row r="469" spans="1:75" ht="391.5" x14ac:dyDescent="0.35">
      <c r="A469" s="1" t="s">
        <v>72</v>
      </c>
      <c r="B469" s="1" t="s">
        <v>4183</v>
      </c>
      <c r="C469" s="1" t="s">
        <v>74</v>
      </c>
      <c r="D469" s="1" t="s">
        <v>74</v>
      </c>
      <c r="E469" s="1" t="s">
        <v>74</v>
      </c>
      <c r="F469" s="1" t="s">
        <v>4184</v>
      </c>
      <c r="G469" s="1" t="s">
        <v>74</v>
      </c>
      <c r="H469" s="1" t="s">
        <v>74</v>
      </c>
      <c r="I469" s="1" t="s">
        <v>4185</v>
      </c>
      <c r="J469" s="1" t="s">
        <v>240</v>
      </c>
      <c r="K469" s="1" t="s">
        <v>74</v>
      </c>
      <c r="L469" s="1" t="s">
        <v>74</v>
      </c>
      <c r="M469" s="1" t="s">
        <v>78</v>
      </c>
      <c r="N469" s="1" t="s">
        <v>79</v>
      </c>
      <c r="O469" s="1" t="s">
        <v>74</v>
      </c>
      <c r="P469" s="1" t="s">
        <v>74</v>
      </c>
      <c r="Q469" s="1" t="s">
        <v>74</v>
      </c>
      <c r="R469" s="1" t="s">
        <v>74</v>
      </c>
      <c r="S469" s="1" t="s">
        <v>74</v>
      </c>
      <c r="T469" s="1" t="s">
        <v>4186</v>
      </c>
      <c r="U469" s="1" t="s">
        <v>4187</v>
      </c>
      <c r="V469" s="1" t="s">
        <v>4188</v>
      </c>
      <c r="W469" s="1" t="s">
        <v>4189</v>
      </c>
      <c r="X469" s="1" t="s">
        <v>4190</v>
      </c>
      <c r="Y469" s="1" t="s">
        <v>4191</v>
      </c>
      <c r="Z469" s="1" t="s">
        <v>4192</v>
      </c>
      <c r="AA469" s="1" t="s">
        <v>74</v>
      </c>
      <c r="AB469" s="1" t="s">
        <v>4193</v>
      </c>
      <c r="AC469" s="1" t="s">
        <v>74</v>
      </c>
      <c r="AD469" s="1" t="s">
        <v>74</v>
      </c>
      <c r="AE469" s="1" t="s">
        <v>74</v>
      </c>
      <c r="AF469" s="1" t="s">
        <v>74</v>
      </c>
      <c r="AG469" s="1">
        <v>156</v>
      </c>
      <c r="AH469" s="1">
        <v>192</v>
      </c>
      <c r="AI469" s="1">
        <v>194</v>
      </c>
      <c r="AJ469" s="1">
        <v>70</v>
      </c>
      <c r="AK469" s="1">
        <v>414</v>
      </c>
      <c r="AL469" s="1" t="s">
        <v>144</v>
      </c>
      <c r="AM469" s="1" t="s">
        <v>145</v>
      </c>
      <c r="AN469" s="1" t="s">
        <v>146</v>
      </c>
      <c r="AO469" s="1" t="s">
        <v>254</v>
      </c>
      <c r="AP469" s="1" t="s">
        <v>255</v>
      </c>
      <c r="AQ469" s="1" t="s">
        <v>74</v>
      </c>
      <c r="AR469" s="1" t="s">
        <v>256</v>
      </c>
      <c r="AS469" s="1" t="s">
        <v>257</v>
      </c>
      <c r="AT469" s="1" t="s">
        <v>213</v>
      </c>
      <c r="AU469" s="1">
        <v>2020</v>
      </c>
      <c r="AV469" s="1">
        <v>84</v>
      </c>
      <c r="AW469" s="1">
        <v>1</v>
      </c>
      <c r="AX469" s="1" t="s">
        <v>74</v>
      </c>
      <c r="AY469" s="1" t="s">
        <v>74</v>
      </c>
      <c r="AZ469" s="1" t="s">
        <v>74</v>
      </c>
      <c r="BA469" s="1" t="s">
        <v>74</v>
      </c>
      <c r="BB469" s="1">
        <v>1</v>
      </c>
      <c r="BC469" s="1">
        <v>25</v>
      </c>
      <c r="BD469" s="1" t="s">
        <v>74</v>
      </c>
      <c r="BE469" s="1" t="s">
        <v>4194</v>
      </c>
      <c r="BF469" s="1" t="str">
        <f>HYPERLINK("http://dx.doi.org/10.1177/0022242919873106","http://dx.doi.org/10.1177/0022242919873106")</f>
        <v>http://dx.doi.org/10.1177/0022242919873106</v>
      </c>
      <c r="BG469" s="1" t="s">
        <v>74</v>
      </c>
      <c r="BH469" s="1" t="s">
        <v>74</v>
      </c>
      <c r="BI469" s="1">
        <v>25</v>
      </c>
      <c r="BJ469" s="1" t="s">
        <v>153</v>
      </c>
      <c r="BK469" s="1" t="s">
        <v>101</v>
      </c>
      <c r="BL469" s="1" t="s">
        <v>154</v>
      </c>
      <c r="BM469" s="1" t="s">
        <v>4195</v>
      </c>
      <c r="BN469" s="1" t="s">
        <v>74</v>
      </c>
      <c r="BO469" s="1" t="s">
        <v>74</v>
      </c>
      <c r="BP469" s="1" t="s">
        <v>218</v>
      </c>
      <c r="BQ469" s="1" t="s">
        <v>219</v>
      </c>
      <c r="BR469" s="1" t="s">
        <v>4296</v>
      </c>
      <c r="BS469" s="1" t="s">
        <v>4196</v>
      </c>
      <c r="BT469" s="1" t="str">
        <f>HYPERLINK("https%3A%2F%2Fwww.webofscience.com%2Fwos%2Fwoscc%2Ffull-record%2FWOS:000502391400001","View Full Record in Web of Science")</f>
        <v>View Full Record in Web of Science</v>
      </c>
      <c r="BU469" s="1" t="s">
        <v>5876</v>
      </c>
      <c r="BV469" s="1" t="s">
        <v>6080</v>
      </c>
      <c r="BW469" s="1" t="s">
        <v>6080</v>
      </c>
    </row>
    <row r="470" spans="1:75" ht="43.5" x14ac:dyDescent="0.35">
      <c r="A470" s="1" t="s">
        <v>72</v>
      </c>
      <c r="B470" s="1" t="s">
        <v>5084</v>
      </c>
      <c r="C470" s="1" t="s">
        <v>74</v>
      </c>
      <c r="D470" s="1" t="s">
        <v>74</v>
      </c>
      <c r="E470" s="1" t="s">
        <v>74</v>
      </c>
      <c r="F470" s="1" t="s">
        <v>5085</v>
      </c>
      <c r="G470" s="1" t="s">
        <v>74</v>
      </c>
      <c r="H470" s="1" t="s">
        <v>74</v>
      </c>
      <c r="I470" s="1" t="s">
        <v>5086</v>
      </c>
      <c r="J470" s="1" t="s">
        <v>240</v>
      </c>
      <c r="K470" s="1" t="s">
        <v>74</v>
      </c>
      <c r="L470" s="1" t="s">
        <v>74</v>
      </c>
      <c r="M470" s="1" t="s">
        <v>78</v>
      </c>
      <c r="N470" s="1" t="s">
        <v>1352</v>
      </c>
      <c r="O470" s="1" t="s">
        <v>74</v>
      </c>
      <c r="P470" s="1" t="s">
        <v>74</v>
      </c>
      <c r="Q470" s="1" t="s">
        <v>74</v>
      </c>
      <c r="R470" s="1" t="s">
        <v>74</v>
      </c>
      <c r="S470" s="1" t="s">
        <v>74</v>
      </c>
      <c r="T470" s="1" t="s">
        <v>74</v>
      </c>
      <c r="U470" s="1" t="s">
        <v>74</v>
      </c>
      <c r="V470" s="1" t="s">
        <v>74</v>
      </c>
      <c r="W470" s="1" t="s">
        <v>5087</v>
      </c>
      <c r="X470" s="1" t="s">
        <v>5088</v>
      </c>
      <c r="Y470" s="1" t="s">
        <v>5089</v>
      </c>
      <c r="Z470" s="1" t="s">
        <v>5090</v>
      </c>
      <c r="AA470" s="1" t="s">
        <v>5091</v>
      </c>
      <c r="AB470" s="1" t="s">
        <v>74</v>
      </c>
      <c r="AC470" s="1" t="s">
        <v>74</v>
      </c>
      <c r="AD470" s="1" t="s">
        <v>74</v>
      </c>
      <c r="AE470" s="1" t="s">
        <v>74</v>
      </c>
      <c r="AF470" s="1" t="s">
        <v>74</v>
      </c>
      <c r="AG470" s="1">
        <v>8</v>
      </c>
      <c r="AH470" s="1">
        <v>6</v>
      </c>
      <c r="AI470" s="1">
        <v>6</v>
      </c>
      <c r="AJ470" s="1">
        <v>5</v>
      </c>
      <c r="AK470" s="1">
        <v>45</v>
      </c>
      <c r="AL470" s="1" t="s">
        <v>144</v>
      </c>
      <c r="AM470" s="1" t="s">
        <v>145</v>
      </c>
      <c r="AN470" s="1" t="s">
        <v>146</v>
      </c>
      <c r="AO470" s="1" t="s">
        <v>254</v>
      </c>
      <c r="AP470" s="1" t="s">
        <v>255</v>
      </c>
      <c r="AQ470" s="1" t="s">
        <v>74</v>
      </c>
      <c r="AR470" s="1" t="s">
        <v>256</v>
      </c>
      <c r="AS470" s="1" t="s">
        <v>257</v>
      </c>
      <c r="AT470" s="1" t="s">
        <v>213</v>
      </c>
      <c r="AU470" s="1">
        <v>2020</v>
      </c>
      <c r="AV470" s="1">
        <v>84</v>
      </c>
      <c r="AW470" s="1">
        <v>1</v>
      </c>
      <c r="AX470" s="1" t="s">
        <v>74</v>
      </c>
      <c r="AY470" s="1" t="s">
        <v>74</v>
      </c>
      <c r="AZ470" s="1" t="s">
        <v>74</v>
      </c>
      <c r="BA470" s="1" t="s">
        <v>74</v>
      </c>
      <c r="BB470" s="1">
        <v>26</v>
      </c>
      <c r="BC470" s="1">
        <v>31</v>
      </c>
      <c r="BD470" s="1" t="s">
        <v>74</v>
      </c>
      <c r="BE470" s="1" t="s">
        <v>5092</v>
      </c>
      <c r="BF470" s="1" t="str">
        <f>HYPERLINK("http://dx.doi.org/10.1177/0022242919886882","http://dx.doi.org/10.1177/0022242919886882")</f>
        <v>http://dx.doi.org/10.1177/0022242919886882</v>
      </c>
      <c r="BG470" s="1" t="s">
        <v>74</v>
      </c>
      <c r="BH470" s="1" t="s">
        <v>74</v>
      </c>
      <c r="BI470" s="1">
        <v>6</v>
      </c>
      <c r="BJ470" s="1" t="s">
        <v>153</v>
      </c>
      <c r="BK470" s="1" t="s">
        <v>101</v>
      </c>
      <c r="BL470" s="1" t="s">
        <v>154</v>
      </c>
      <c r="BM470" s="1" t="s">
        <v>4195</v>
      </c>
      <c r="BN470" s="1" t="s">
        <v>74</v>
      </c>
      <c r="BO470" s="1" t="s">
        <v>334</v>
      </c>
      <c r="BP470" s="1" t="s">
        <v>74</v>
      </c>
      <c r="BQ470" s="1" t="s">
        <v>74</v>
      </c>
      <c r="BR470" s="1" t="s">
        <v>4296</v>
      </c>
      <c r="BS470" s="1" t="s">
        <v>5093</v>
      </c>
      <c r="BT470" s="1" t="str">
        <f>HYPERLINK("https%3A%2F%2Fwww.webofscience.com%2Fwos%2Fwoscc%2Ffull-record%2FWOS:000502391400002","View Full Record in Web of Science")</f>
        <v>View Full Record in Web of Science</v>
      </c>
      <c r="BU470" s="1" t="s">
        <v>5876</v>
      </c>
      <c r="BV470" s="1" t="s">
        <v>6080</v>
      </c>
      <c r="BW470" s="1" t="s">
        <v>6080</v>
      </c>
    </row>
    <row r="471" spans="1:75" ht="304.5" x14ac:dyDescent="0.35">
      <c r="A471" s="1" t="s">
        <v>72</v>
      </c>
      <c r="B471" s="1" t="s">
        <v>5094</v>
      </c>
      <c r="C471" s="1" t="s">
        <v>74</v>
      </c>
      <c r="D471" s="1" t="s">
        <v>74</v>
      </c>
      <c r="E471" s="1" t="s">
        <v>74</v>
      </c>
      <c r="F471" s="1" t="s">
        <v>5095</v>
      </c>
      <c r="G471" s="1" t="s">
        <v>74</v>
      </c>
      <c r="H471" s="1" t="s">
        <v>74</v>
      </c>
      <c r="I471" s="1" t="s">
        <v>5096</v>
      </c>
      <c r="J471" s="1" t="s">
        <v>371</v>
      </c>
      <c r="K471" s="1" t="s">
        <v>74</v>
      </c>
      <c r="L471" s="1" t="s">
        <v>74</v>
      </c>
      <c r="M471" s="1" t="s">
        <v>78</v>
      </c>
      <c r="N471" s="1" t="s">
        <v>79</v>
      </c>
      <c r="O471" s="1" t="s">
        <v>74</v>
      </c>
      <c r="P471" s="1" t="s">
        <v>74</v>
      </c>
      <c r="Q471" s="1" t="s">
        <v>74</v>
      </c>
      <c r="R471" s="1" t="s">
        <v>74</v>
      </c>
      <c r="S471" s="1" t="s">
        <v>74</v>
      </c>
      <c r="T471" s="1" t="s">
        <v>5097</v>
      </c>
      <c r="U471" s="1" t="s">
        <v>74</v>
      </c>
      <c r="V471" s="1" t="s">
        <v>5098</v>
      </c>
      <c r="W471" s="1" t="s">
        <v>5099</v>
      </c>
      <c r="X471" s="1" t="s">
        <v>5088</v>
      </c>
      <c r="Y471" s="1" t="s">
        <v>5100</v>
      </c>
      <c r="Z471" s="1" t="s">
        <v>5101</v>
      </c>
      <c r="AA471" s="1" t="s">
        <v>74</v>
      </c>
      <c r="AB471" s="1" t="s">
        <v>74</v>
      </c>
      <c r="AC471" s="1" t="s">
        <v>74</v>
      </c>
      <c r="AD471" s="1" t="s">
        <v>74</v>
      </c>
      <c r="AE471" s="1" t="s">
        <v>74</v>
      </c>
      <c r="AF471" s="1" t="s">
        <v>74</v>
      </c>
      <c r="AG471" s="1">
        <v>130</v>
      </c>
      <c r="AH471" s="1">
        <v>1326</v>
      </c>
      <c r="AI471" s="1">
        <v>1336</v>
      </c>
      <c r="AJ471" s="1">
        <v>41</v>
      </c>
      <c r="AK471" s="1">
        <v>114</v>
      </c>
      <c r="AL471" s="1" t="s">
        <v>382</v>
      </c>
      <c r="AM471" s="1" t="s">
        <v>383</v>
      </c>
      <c r="AN471" s="1" t="s">
        <v>384</v>
      </c>
      <c r="AO471" s="1" t="s">
        <v>385</v>
      </c>
      <c r="AP471" s="1" t="s">
        <v>74</v>
      </c>
      <c r="AQ471" s="1" t="s">
        <v>74</v>
      </c>
      <c r="AR471" s="1" t="s">
        <v>386</v>
      </c>
      <c r="AS471" s="1" t="s">
        <v>387</v>
      </c>
      <c r="AT471" s="1" t="s">
        <v>74</v>
      </c>
      <c r="AU471" s="1">
        <v>2020</v>
      </c>
      <c r="AV471" s="1">
        <v>21</v>
      </c>
      <c r="AW471" s="1" t="s">
        <v>74</v>
      </c>
      <c r="AX471" s="1" t="s">
        <v>74</v>
      </c>
      <c r="AY471" s="1" t="s">
        <v>74</v>
      </c>
      <c r="AZ471" s="1" t="s">
        <v>74</v>
      </c>
      <c r="BA471" s="1" t="s">
        <v>74</v>
      </c>
      <c r="BB471" s="1" t="s">
        <v>74</v>
      </c>
      <c r="BC471" s="1" t="s">
        <v>74</v>
      </c>
      <c r="BD471" s="1">
        <v>140</v>
      </c>
      <c r="BE471" s="1" t="s">
        <v>74</v>
      </c>
      <c r="BF471" s="1" t="s">
        <v>74</v>
      </c>
      <c r="BG471" s="1" t="s">
        <v>74</v>
      </c>
      <c r="BH471" s="1" t="s">
        <v>74</v>
      </c>
      <c r="BI471" s="1">
        <v>67</v>
      </c>
      <c r="BJ471" s="1" t="s">
        <v>391</v>
      </c>
      <c r="BK471" s="1" t="s">
        <v>129</v>
      </c>
      <c r="BL471" s="1" t="s">
        <v>393</v>
      </c>
      <c r="BM471" s="1" t="s">
        <v>5102</v>
      </c>
      <c r="BN471" s="1" t="s">
        <v>74</v>
      </c>
      <c r="BO471" s="1" t="s">
        <v>74</v>
      </c>
      <c r="BP471" s="1" t="s">
        <v>218</v>
      </c>
      <c r="BQ471" s="1" t="s">
        <v>219</v>
      </c>
      <c r="BR471" s="1" t="s">
        <v>4296</v>
      </c>
      <c r="BS471" s="1" t="s">
        <v>5103</v>
      </c>
      <c r="BT471" s="1" t="str">
        <f>HYPERLINK("https%3A%2F%2Fwww.webofscience.com%2Fwos%2Fwoscc%2Ffull-record%2FWOS:000558791600001","View Full Record in Web of Science")</f>
        <v>View Full Record in Web of Science</v>
      </c>
      <c r="BU471" s="1" t="s">
        <v>5876</v>
      </c>
      <c r="BV471" s="1" t="s">
        <v>10653</v>
      </c>
    </row>
    <row r="472" spans="1:75" x14ac:dyDescent="0.35">
      <c r="A472" t="s">
        <v>72</v>
      </c>
      <c r="B472" t="s">
        <v>7283</v>
      </c>
      <c r="C472" t="s">
        <v>74</v>
      </c>
      <c r="D472" t="s">
        <v>74</v>
      </c>
      <c r="E472" t="s">
        <v>74</v>
      </c>
      <c r="F472" t="s">
        <v>7284</v>
      </c>
      <c r="G472" t="s">
        <v>74</v>
      </c>
      <c r="H472" t="s">
        <v>74</v>
      </c>
      <c r="I472" t="s">
        <v>7285</v>
      </c>
      <c r="J472" t="s">
        <v>6394</v>
      </c>
      <c r="K472" t="s">
        <v>74</v>
      </c>
      <c r="L472" t="s">
        <v>74</v>
      </c>
      <c r="M472" t="s">
        <v>78</v>
      </c>
      <c r="N472" t="s">
        <v>110</v>
      </c>
      <c r="O472" t="s">
        <v>74</v>
      </c>
      <c r="P472" t="s">
        <v>74</v>
      </c>
      <c r="Q472" t="s">
        <v>74</v>
      </c>
      <c r="R472" t="s">
        <v>74</v>
      </c>
      <c r="S472" t="s">
        <v>74</v>
      </c>
      <c r="T472" t="s">
        <v>74</v>
      </c>
      <c r="U472" t="s">
        <v>7286</v>
      </c>
      <c r="V472" t="s">
        <v>7287</v>
      </c>
      <c r="W472" t="s">
        <v>7288</v>
      </c>
      <c r="X472" t="s">
        <v>7289</v>
      </c>
      <c r="Y472" t="s">
        <v>7290</v>
      </c>
      <c r="Z472" t="s">
        <v>6538</v>
      </c>
      <c r="AA472" t="s">
        <v>7291</v>
      </c>
      <c r="AB472" t="s">
        <v>7292</v>
      </c>
      <c r="AC472" t="s">
        <v>74</v>
      </c>
      <c r="AD472" t="s">
        <v>74</v>
      </c>
      <c r="AE472" t="s">
        <v>74</v>
      </c>
      <c r="AF472" t="s">
        <v>74</v>
      </c>
      <c r="AG472">
        <v>158</v>
      </c>
      <c r="AH472">
        <v>13</v>
      </c>
      <c r="AI472">
        <v>13</v>
      </c>
      <c r="AJ472">
        <v>33</v>
      </c>
      <c r="AK472">
        <v>66</v>
      </c>
      <c r="AL472" t="s">
        <v>1180</v>
      </c>
      <c r="AM472" t="s">
        <v>1181</v>
      </c>
      <c r="AN472" t="s">
        <v>1182</v>
      </c>
      <c r="AO472" t="s">
        <v>6402</v>
      </c>
      <c r="AP472" t="s">
        <v>6403</v>
      </c>
      <c r="AQ472" t="s">
        <v>74</v>
      </c>
      <c r="AR472" t="s">
        <v>6404</v>
      </c>
      <c r="AS472" t="s">
        <v>6405</v>
      </c>
      <c r="AT472" t="s">
        <v>2101</v>
      </c>
      <c r="AU472">
        <v>2022</v>
      </c>
      <c r="AV472">
        <v>51</v>
      </c>
      <c r="AW472">
        <v>2</v>
      </c>
      <c r="AX472" t="s">
        <v>74</v>
      </c>
      <c r="AY472" t="s">
        <v>74</v>
      </c>
      <c r="AZ472" t="s">
        <v>74</v>
      </c>
      <c r="BA472" t="s">
        <v>74</v>
      </c>
      <c r="BB472">
        <v>153</v>
      </c>
      <c r="BC472">
        <v>187</v>
      </c>
      <c r="BD472" t="s">
        <v>74</v>
      </c>
      <c r="BE472" t="s">
        <v>7293</v>
      </c>
      <c r="BF472" t="str">
        <f>HYPERLINK("http://dx.doi.org/10.1080/00913367.2021.2006100","http://dx.doi.org/10.1080/00913367.2021.2006100")</f>
        <v>http://dx.doi.org/10.1080/00913367.2021.2006100</v>
      </c>
      <c r="BG472" t="s">
        <v>74</v>
      </c>
      <c r="BH472" t="s">
        <v>6366</v>
      </c>
      <c r="BI472">
        <v>35</v>
      </c>
      <c r="BJ472" t="s">
        <v>2010</v>
      </c>
      <c r="BK472" t="s">
        <v>101</v>
      </c>
      <c r="BL472" t="s">
        <v>2011</v>
      </c>
      <c r="BM472" t="s">
        <v>7294</v>
      </c>
      <c r="BN472" t="s">
        <v>74</v>
      </c>
      <c r="BO472" t="s">
        <v>74</v>
      </c>
      <c r="BP472" t="s">
        <v>74</v>
      </c>
      <c r="BQ472" t="s">
        <v>74</v>
      </c>
      <c r="BR472" t="s">
        <v>6098</v>
      </c>
      <c r="BS472" t="s">
        <v>7295</v>
      </c>
      <c r="BT472" t="str">
        <f>HYPERLINK("https%3A%2F%2Fwww.webofscience.com%2Fwos%2Fwoscc%2Ffull-record%2FWOS:000756519500001","View Full Record in Web of Science")</f>
        <v>View Full Record in Web of Science</v>
      </c>
      <c r="BU472" t="s">
        <v>6100</v>
      </c>
      <c r="BV472" s="1" t="s">
        <v>6080</v>
      </c>
      <c r="BW472" s="1" t="s">
        <v>10653</v>
      </c>
    </row>
    <row r="473" spans="1:75" x14ac:dyDescent="0.35">
      <c r="A473" t="s">
        <v>72</v>
      </c>
      <c r="B473" t="s">
        <v>7296</v>
      </c>
      <c r="C473" t="s">
        <v>74</v>
      </c>
      <c r="D473" t="s">
        <v>74</v>
      </c>
      <c r="E473" t="s">
        <v>74</v>
      </c>
      <c r="F473" t="s">
        <v>7297</v>
      </c>
      <c r="G473" t="s">
        <v>74</v>
      </c>
      <c r="H473" t="s">
        <v>74</v>
      </c>
      <c r="I473" t="s">
        <v>7298</v>
      </c>
      <c r="J473" t="s">
        <v>3737</v>
      </c>
      <c r="K473" t="s">
        <v>74</v>
      </c>
      <c r="L473" t="s">
        <v>74</v>
      </c>
      <c r="M473" t="s">
        <v>78</v>
      </c>
      <c r="N473" t="s">
        <v>241</v>
      </c>
      <c r="O473" t="s">
        <v>7299</v>
      </c>
      <c r="P473" t="s">
        <v>7300</v>
      </c>
      <c r="Q473" t="s">
        <v>7301</v>
      </c>
      <c r="R473" t="s">
        <v>74</v>
      </c>
      <c r="S473" t="s">
        <v>74</v>
      </c>
      <c r="T473" t="s">
        <v>7302</v>
      </c>
      <c r="U473" t="s">
        <v>7303</v>
      </c>
      <c r="V473" t="s">
        <v>7304</v>
      </c>
      <c r="W473" t="s">
        <v>7305</v>
      </c>
      <c r="X473" t="s">
        <v>7306</v>
      </c>
      <c r="Y473" t="s">
        <v>7307</v>
      </c>
      <c r="Z473" t="s">
        <v>7308</v>
      </c>
      <c r="AA473" t="s">
        <v>7309</v>
      </c>
      <c r="AB473" t="s">
        <v>7310</v>
      </c>
      <c r="AC473" t="s">
        <v>74</v>
      </c>
      <c r="AD473" t="s">
        <v>74</v>
      </c>
      <c r="AE473" t="s">
        <v>74</v>
      </c>
      <c r="AF473" t="s">
        <v>74</v>
      </c>
      <c r="AG473">
        <v>45</v>
      </c>
      <c r="AH473">
        <v>172</v>
      </c>
      <c r="AI473">
        <v>177</v>
      </c>
      <c r="AJ473">
        <v>22</v>
      </c>
      <c r="AK473">
        <v>144</v>
      </c>
      <c r="AL473" t="s">
        <v>324</v>
      </c>
      <c r="AM473" t="s">
        <v>325</v>
      </c>
      <c r="AN473" t="s">
        <v>326</v>
      </c>
      <c r="AO473" t="s">
        <v>3743</v>
      </c>
      <c r="AP473" t="s">
        <v>74</v>
      </c>
      <c r="AQ473" t="s">
        <v>74</v>
      </c>
      <c r="AR473" t="s">
        <v>3744</v>
      </c>
      <c r="AS473" t="s">
        <v>3745</v>
      </c>
      <c r="AT473" t="s">
        <v>177</v>
      </c>
      <c r="AU473">
        <v>2010</v>
      </c>
      <c r="AV473">
        <v>63</v>
      </c>
      <c r="AW473">
        <v>2</v>
      </c>
      <c r="AX473" t="s">
        <v>74</v>
      </c>
      <c r="AY473" t="s">
        <v>74</v>
      </c>
      <c r="AZ473" t="s">
        <v>259</v>
      </c>
      <c r="BA473" t="s">
        <v>74</v>
      </c>
      <c r="BB473">
        <v>147</v>
      </c>
      <c r="BC473">
        <v>153</v>
      </c>
      <c r="BD473" t="s">
        <v>74</v>
      </c>
      <c r="BE473" t="s">
        <v>7311</v>
      </c>
      <c r="BF473" t="str">
        <f>HYPERLINK("http://dx.doi.org/10.1016/j.jbusres.2009.02.013","http://dx.doi.org/10.1016/j.jbusres.2009.02.013")</f>
        <v>http://dx.doi.org/10.1016/j.jbusres.2009.02.013</v>
      </c>
      <c r="BG473" t="s">
        <v>74</v>
      </c>
      <c r="BH473" t="s">
        <v>74</v>
      </c>
      <c r="BI473">
        <v>7</v>
      </c>
      <c r="BJ473" t="s">
        <v>153</v>
      </c>
      <c r="BK473" t="s">
        <v>261</v>
      </c>
      <c r="BL473" t="s">
        <v>154</v>
      </c>
      <c r="BM473" t="s">
        <v>7312</v>
      </c>
      <c r="BN473" t="s">
        <v>74</v>
      </c>
      <c r="BO473" t="s">
        <v>74</v>
      </c>
      <c r="BP473" t="s">
        <v>74</v>
      </c>
      <c r="BQ473" t="s">
        <v>74</v>
      </c>
      <c r="BR473" t="s">
        <v>6098</v>
      </c>
      <c r="BS473" t="s">
        <v>7313</v>
      </c>
      <c r="BT473" t="str">
        <f>HYPERLINK("https%3A%2F%2Fwww.webofscience.com%2Fwos%2Fwoscc%2Ffull-record%2FWOS:000275133000010","View Full Record in Web of Science")</f>
        <v>View Full Record in Web of Science</v>
      </c>
      <c r="BU473" t="s">
        <v>6100</v>
      </c>
      <c r="BV473" s="1" t="s">
        <v>6080</v>
      </c>
      <c r="BW473" s="1" t="s">
        <v>10653</v>
      </c>
    </row>
    <row r="474" spans="1:75" ht="275.5" x14ac:dyDescent="0.35">
      <c r="A474" s="1" t="s">
        <v>72</v>
      </c>
      <c r="B474" s="1" t="s">
        <v>5104</v>
      </c>
      <c r="C474" s="1" t="s">
        <v>74</v>
      </c>
      <c r="D474" s="1" t="s">
        <v>74</v>
      </c>
      <c r="E474" s="1" t="s">
        <v>74</v>
      </c>
      <c r="F474" s="1" t="s">
        <v>5105</v>
      </c>
      <c r="G474" s="1" t="s">
        <v>74</v>
      </c>
      <c r="H474" s="1" t="s">
        <v>74</v>
      </c>
      <c r="I474" s="1" t="s">
        <v>5106</v>
      </c>
      <c r="J474" s="1" t="s">
        <v>5107</v>
      </c>
      <c r="K474" s="1" t="s">
        <v>74</v>
      </c>
      <c r="L474" s="1" t="s">
        <v>74</v>
      </c>
      <c r="M474" s="1" t="s">
        <v>78</v>
      </c>
      <c r="N474" s="1" t="s">
        <v>79</v>
      </c>
      <c r="O474" s="1" t="s">
        <v>74</v>
      </c>
      <c r="P474" s="1" t="s">
        <v>74</v>
      </c>
      <c r="Q474" s="1" t="s">
        <v>74</v>
      </c>
      <c r="R474" s="1" t="s">
        <v>74</v>
      </c>
      <c r="S474" s="1" t="s">
        <v>74</v>
      </c>
      <c r="T474" s="1" t="s">
        <v>74</v>
      </c>
      <c r="U474" s="1" t="s">
        <v>74</v>
      </c>
      <c r="V474" s="1" t="s">
        <v>5108</v>
      </c>
      <c r="W474" s="1" t="s">
        <v>5109</v>
      </c>
      <c r="X474" s="1" t="s">
        <v>5088</v>
      </c>
      <c r="Y474" s="1" t="s">
        <v>5110</v>
      </c>
      <c r="Z474" s="1" t="s">
        <v>5111</v>
      </c>
      <c r="AA474" s="1" t="s">
        <v>74</v>
      </c>
      <c r="AB474" s="1" t="s">
        <v>74</v>
      </c>
      <c r="AC474" s="1" t="s">
        <v>74</v>
      </c>
      <c r="AD474" s="1" t="s">
        <v>74</v>
      </c>
      <c r="AE474" s="1" t="s">
        <v>74</v>
      </c>
      <c r="AF474" s="1" t="s">
        <v>74</v>
      </c>
      <c r="AG474" s="1">
        <v>56</v>
      </c>
      <c r="AH474" s="1">
        <v>74</v>
      </c>
      <c r="AI474" s="1">
        <v>74</v>
      </c>
      <c r="AJ474" s="1">
        <v>2</v>
      </c>
      <c r="AK474" s="1">
        <v>5</v>
      </c>
      <c r="AL474" s="1" t="s">
        <v>2115</v>
      </c>
      <c r="AM474" s="1" t="s">
        <v>2067</v>
      </c>
      <c r="AN474" s="1" t="s">
        <v>2124</v>
      </c>
      <c r="AO474" s="1" t="s">
        <v>74</v>
      </c>
      <c r="AP474" s="1" t="s">
        <v>5112</v>
      </c>
      <c r="AQ474" s="1" t="s">
        <v>74</v>
      </c>
      <c r="AR474" s="1" t="s">
        <v>5113</v>
      </c>
      <c r="AS474" s="1" t="s">
        <v>5114</v>
      </c>
      <c r="AT474" s="1" t="s">
        <v>74</v>
      </c>
      <c r="AU474" s="1">
        <v>2020</v>
      </c>
      <c r="AV474" s="1">
        <v>8</v>
      </c>
      <c r="AW474" s="1" t="s">
        <v>74</v>
      </c>
      <c r="AX474" s="1" t="s">
        <v>74</v>
      </c>
      <c r="AY474" s="1" t="s">
        <v>74</v>
      </c>
      <c r="AZ474" s="1" t="s">
        <v>74</v>
      </c>
      <c r="BA474" s="1" t="s">
        <v>74</v>
      </c>
      <c r="BB474" s="1">
        <v>264</v>
      </c>
      <c r="BC474" s="1">
        <v>280</v>
      </c>
      <c r="BD474" s="1" t="s">
        <v>74</v>
      </c>
      <c r="BE474" s="1" t="s">
        <v>5115</v>
      </c>
      <c r="BF474" s="1" t="str">
        <f>HYPERLINK("http://dx.doi.org/10.1162/tacl_a_00313","http://dx.doi.org/10.1162/tacl_a_00313")</f>
        <v>http://dx.doi.org/10.1162/tacl_a_00313</v>
      </c>
      <c r="BG474" s="1" t="s">
        <v>74</v>
      </c>
      <c r="BH474" s="1" t="s">
        <v>74</v>
      </c>
      <c r="BI474" s="1">
        <v>17</v>
      </c>
      <c r="BJ474" s="1" t="s">
        <v>5116</v>
      </c>
      <c r="BK474" s="1" t="s">
        <v>3999</v>
      </c>
      <c r="BL474" s="1" t="s">
        <v>4280</v>
      </c>
      <c r="BM474" s="1" t="s">
        <v>5117</v>
      </c>
      <c r="BN474" s="1" t="s">
        <v>74</v>
      </c>
      <c r="BO474" s="1" t="s">
        <v>5118</v>
      </c>
      <c r="BP474" s="1" t="s">
        <v>74</v>
      </c>
      <c r="BQ474" s="1" t="s">
        <v>74</v>
      </c>
      <c r="BR474" s="1" t="s">
        <v>4296</v>
      </c>
      <c r="BS474" s="1" t="s">
        <v>5119</v>
      </c>
      <c r="BT474" s="1" t="str">
        <f>HYPERLINK("https%3A%2F%2Fwww.webofscience.com%2Fwos%2Fwoscc%2Ffull-record%2FWOS:000736531900018","View Full Record in Web of Science")</f>
        <v>View Full Record in Web of Science</v>
      </c>
      <c r="BU474" s="1" t="s">
        <v>5876</v>
      </c>
      <c r="BV474" s="1" t="s">
        <v>10653</v>
      </c>
    </row>
    <row r="475" spans="1:75" ht="409.5" x14ac:dyDescent="0.35">
      <c r="A475" s="1" t="s">
        <v>578</v>
      </c>
      <c r="B475" s="1" t="s">
        <v>5120</v>
      </c>
      <c r="C475" s="1" t="s">
        <v>74</v>
      </c>
      <c r="D475" s="1" t="s">
        <v>5121</v>
      </c>
      <c r="E475" s="1" t="s">
        <v>74</v>
      </c>
      <c r="F475" s="1" t="s">
        <v>5122</v>
      </c>
      <c r="G475" s="1" t="s">
        <v>74</v>
      </c>
      <c r="H475" s="1" t="s">
        <v>74</v>
      </c>
      <c r="I475" s="1" t="s">
        <v>5123</v>
      </c>
      <c r="J475" s="1" t="s">
        <v>5124</v>
      </c>
      <c r="K475" s="1" t="s">
        <v>4864</v>
      </c>
      <c r="L475" s="1" t="s">
        <v>74</v>
      </c>
      <c r="M475" s="1" t="s">
        <v>78</v>
      </c>
      <c r="N475" s="1" t="s">
        <v>584</v>
      </c>
      <c r="O475" s="1" t="s">
        <v>5125</v>
      </c>
      <c r="P475" s="1" t="s">
        <v>5126</v>
      </c>
      <c r="Q475" s="1" t="s">
        <v>4843</v>
      </c>
      <c r="R475" s="1" t="s">
        <v>74</v>
      </c>
      <c r="S475" s="1" t="s">
        <v>74</v>
      </c>
      <c r="T475" s="1" t="s">
        <v>74</v>
      </c>
      <c r="U475" s="1" t="s">
        <v>74</v>
      </c>
      <c r="V475" s="1" t="s">
        <v>5127</v>
      </c>
      <c r="W475" s="1" t="s">
        <v>5128</v>
      </c>
      <c r="X475" s="1" t="s">
        <v>5129</v>
      </c>
      <c r="Y475" s="1" t="s">
        <v>5130</v>
      </c>
      <c r="Z475" s="1" t="s">
        <v>74</v>
      </c>
      <c r="AA475" s="1" t="s">
        <v>74</v>
      </c>
      <c r="AB475" s="1" t="s">
        <v>74</v>
      </c>
      <c r="AC475" s="1" t="s">
        <v>5131</v>
      </c>
      <c r="AD475" s="1" t="s">
        <v>5132</v>
      </c>
      <c r="AE475" s="1" t="s">
        <v>5133</v>
      </c>
      <c r="AF475" s="1" t="s">
        <v>74</v>
      </c>
      <c r="AG475" s="1">
        <v>25</v>
      </c>
      <c r="AH475" s="1">
        <v>13</v>
      </c>
      <c r="AI475" s="1">
        <v>13</v>
      </c>
      <c r="AJ475" s="1">
        <v>0</v>
      </c>
      <c r="AK475" s="1">
        <v>3</v>
      </c>
      <c r="AL475" s="1" t="s">
        <v>4872</v>
      </c>
      <c r="AM475" s="1" t="s">
        <v>1628</v>
      </c>
      <c r="AN475" s="1" t="s">
        <v>4873</v>
      </c>
      <c r="AO475" s="1" t="s">
        <v>4874</v>
      </c>
      <c r="AP475" s="1" t="s">
        <v>74</v>
      </c>
      <c r="AQ475" s="1" t="s">
        <v>74</v>
      </c>
      <c r="AR475" s="1" t="s">
        <v>4875</v>
      </c>
      <c r="AS475" s="1" t="s">
        <v>74</v>
      </c>
      <c r="AT475" s="1" t="s">
        <v>74</v>
      </c>
      <c r="AU475" s="1">
        <v>2020</v>
      </c>
      <c r="AV475" s="1">
        <v>124</v>
      </c>
      <c r="AW475" s="1" t="s">
        <v>74</v>
      </c>
      <c r="AX475" s="1" t="s">
        <v>74</v>
      </c>
      <c r="AY475" s="1" t="s">
        <v>74</v>
      </c>
      <c r="AZ475" s="1" t="s">
        <v>74</v>
      </c>
      <c r="BA475" s="1" t="s">
        <v>74</v>
      </c>
      <c r="BB475" s="1">
        <v>919</v>
      </c>
      <c r="BC475" s="1">
        <v>928</v>
      </c>
      <c r="BD475" s="1" t="s">
        <v>74</v>
      </c>
      <c r="BE475" s="1" t="s">
        <v>74</v>
      </c>
      <c r="BF475" s="1" t="s">
        <v>74</v>
      </c>
      <c r="BG475" s="1" t="s">
        <v>74</v>
      </c>
      <c r="BH475" s="1" t="s">
        <v>74</v>
      </c>
      <c r="BI475" s="1">
        <v>10</v>
      </c>
      <c r="BJ475" s="1" t="s">
        <v>5134</v>
      </c>
      <c r="BK475" s="1" t="s">
        <v>604</v>
      </c>
      <c r="BL475" s="1" t="s">
        <v>5135</v>
      </c>
      <c r="BM475" s="1" t="s">
        <v>5136</v>
      </c>
      <c r="BN475" s="1" t="s">
        <v>74</v>
      </c>
      <c r="BO475" s="1" t="s">
        <v>74</v>
      </c>
      <c r="BP475" s="1" t="s">
        <v>74</v>
      </c>
      <c r="BQ475" s="1" t="s">
        <v>74</v>
      </c>
      <c r="BR475" s="1" t="s">
        <v>4296</v>
      </c>
      <c r="BS475" s="1" t="s">
        <v>5137</v>
      </c>
      <c r="BT475" s="1" t="str">
        <f>HYPERLINK("https%3A%2F%2Fwww.webofscience.com%2Fwos%2Fwoscc%2Ffull-record%2FWOS:000723388600093","View Full Record in Web of Science")</f>
        <v>View Full Record in Web of Science</v>
      </c>
      <c r="BU475" s="1" t="s">
        <v>5876</v>
      </c>
      <c r="BV475" s="1" t="s">
        <v>10653</v>
      </c>
    </row>
    <row r="476" spans="1:75" x14ac:dyDescent="0.35">
      <c r="A476" t="s">
        <v>72</v>
      </c>
      <c r="B476" t="s">
        <v>6369</v>
      </c>
      <c r="C476" t="s">
        <v>74</v>
      </c>
      <c r="D476" t="s">
        <v>74</v>
      </c>
      <c r="E476" t="s">
        <v>74</v>
      </c>
      <c r="F476" t="s">
        <v>6370</v>
      </c>
      <c r="G476" t="s">
        <v>74</v>
      </c>
      <c r="H476" t="s">
        <v>74</v>
      </c>
      <c r="I476" t="s">
        <v>6371</v>
      </c>
      <c r="J476" t="s">
        <v>6372</v>
      </c>
      <c r="K476" t="s">
        <v>74</v>
      </c>
      <c r="L476" t="s">
        <v>74</v>
      </c>
      <c r="M476" t="s">
        <v>78</v>
      </c>
      <c r="N476" t="s">
        <v>79</v>
      </c>
      <c r="O476" t="s">
        <v>74</v>
      </c>
      <c r="P476" t="s">
        <v>74</v>
      </c>
      <c r="Q476" t="s">
        <v>74</v>
      </c>
      <c r="R476" t="s">
        <v>74</v>
      </c>
      <c r="S476" t="s">
        <v>74</v>
      </c>
      <c r="T476" t="s">
        <v>6373</v>
      </c>
      <c r="U476" t="s">
        <v>6374</v>
      </c>
      <c r="V476" t="s">
        <v>6375</v>
      </c>
      <c r="W476" t="s">
        <v>6376</v>
      </c>
      <c r="X476" t="s">
        <v>6377</v>
      </c>
      <c r="Y476" t="s">
        <v>6378</v>
      </c>
      <c r="Z476" t="s">
        <v>6379</v>
      </c>
      <c r="AA476" t="s">
        <v>6380</v>
      </c>
      <c r="AB476" t="s">
        <v>6381</v>
      </c>
      <c r="AC476" t="s">
        <v>74</v>
      </c>
      <c r="AD476" t="s">
        <v>74</v>
      </c>
      <c r="AE476" t="s">
        <v>74</v>
      </c>
      <c r="AF476" t="s">
        <v>74</v>
      </c>
      <c r="AG476">
        <v>28</v>
      </c>
      <c r="AH476">
        <v>16</v>
      </c>
      <c r="AI476">
        <v>17</v>
      </c>
      <c r="AJ476">
        <v>6</v>
      </c>
      <c r="AK476">
        <v>27</v>
      </c>
      <c r="AL476" t="s">
        <v>409</v>
      </c>
      <c r="AM476" t="s">
        <v>410</v>
      </c>
      <c r="AN476" t="s">
        <v>411</v>
      </c>
      <c r="AO476" t="s">
        <v>6382</v>
      </c>
      <c r="AP476" t="s">
        <v>6383</v>
      </c>
      <c r="AQ476" t="s">
        <v>74</v>
      </c>
      <c r="AR476" t="s">
        <v>6384</v>
      </c>
      <c r="AS476" t="s">
        <v>6385</v>
      </c>
      <c r="AT476" t="s">
        <v>98</v>
      </c>
      <c r="AU476">
        <v>2020</v>
      </c>
      <c r="AV476">
        <v>35</v>
      </c>
      <c r="AW476" t="s">
        <v>74</v>
      </c>
      <c r="AX476" t="s">
        <v>74</v>
      </c>
      <c r="AY476" t="s">
        <v>74</v>
      </c>
      <c r="AZ476" t="s">
        <v>74</v>
      </c>
      <c r="BA476" t="s">
        <v>74</v>
      </c>
      <c r="BB476" t="s">
        <v>74</v>
      </c>
      <c r="BC476" t="s">
        <v>74</v>
      </c>
      <c r="BD476">
        <v>100710</v>
      </c>
      <c r="BE476" t="s">
        <v>6386</v>
      </c>
      <c r="BF476" t="str">
        <f>HYPERLINK("http://dx.doi.org/10.1016/j.tmp.2020.100710","http://dx.doi.org/10.1016/j.tmp.2020.100710")</f>
        <v>http://dx.doi.org/10.1016/j.tmp.2020.100710</v>
      </c>
      <c r="BG476" t="s">
        <v>74</v>
      </c>
      <c r="BH476" t="s">
        <v>74</v>
      </c>
      <c r="BI476">
        <v>12</v>
      </c>
      <c r="BJ476" t="s">
        <v>6387</v>
      </c>
      <c r="BK476" t="s">
        <v>101</v>
      </c>
      <c r="BL476" t="s">
        <v>6388</v>
      </c>
      <c r="BM476" t="s">
        <v>6389</v>
      </c>
      <c r="BN476" t="s">
        <v>74</v>
      </c>
      <c r="BO476" t="s">
        <v>74</v>
      </c>
      <c r="BP476" t="s">
        <v>74</v>
      </c>
      <c r="BQ476" t="s">
        <v>74</v>
      </c>
      <c r="BR476" t="s">
        <v>6098</v>
      </c>
      <c r="BS476" t="s">
        <v>6390</v>
      </c>
      <c r="BT476" t="str">
        <f>HYPERLINK("https%3A%2F%2Fwww.webofscience.com%2Fwos%2Fwoscc%2Ffull-record%2FWOS:000554917500011","View Full Record in Web of Science")</f>
        <v>View Full Record in Web of Science</v>
      </c>
      <c r="BU476" t="s">
        <v>6100</v>
      </c>
      <c r="BV476" s="1" t="s">
        <v>10653</v>
      </c>
    </row>
    <row r="477" spans="1:75" x14ac:dyDescent="0.35">
      <c r="A477" t="s">
        <v>72</v>
      </c>
      <c r="B477" t="s">
        <v>7354</v>
      </c>
      <c r="C477" t="s">
        <v>74</v>
      </c>
      <c r="D477" t="s">
        <v>74</v>
      </c>
      <c r="E477" t="s">
        <v>74</v>
      </c>
      <c r="F477" t="s">
        <v>7355</v>
      </c>
      <c r="G477" t="s">
        <v>74</v>
      </c>
      <c r="H477" t="s">
        <v>74</v>
      </c>
      <c r="I477" t="s">
        <v>7356</v>
      </c>
      <c r="J477" t="s">
        <v>7162</v>
      </c>
      <c r="K477" t="s">
        <v>74</v>
      </c>
      <c r="L477" t="s">
        <v>74</v>
      </c>
      <c r="M477" t="s">
        <v>78</v>
      </c>
      <c r="N477" t="s">
        <v>79</v>
      </c>
      <c r="O477" t="s">
        <v>74</v>
      </c>
      <c r="P477" t="s">
        <v>74</v>
      </c>
      <c r="Q477" t="s">
        <v>74</v>
      </c>
      <c r="R477" t="s">
        <v>74</v>
      </c>
      <c r="S477" t="s">
        <v>74</v>
      </c>
      <c r="T477" t="s">
        <v>7357</v>
      </c>
      <c r="U477" t="s">
        <v>7358</v>
      </c>
      <c r="V477" t="s">
        <v>7359</v>
      </c>
      <c r="W477" t="s">
        <v>7360</v>
      </c>
      <c r="X477" t="s">
        <v>7361</v>
      </c>
      <c r="Y477" t="s">
        <v>7362</v>
      </c>
      <c r="Z477" t="s">
        <v>7363</v>
      </c>
      <c r="AA477" t="s">
        <v>7364</v>
      </c>
      <c r="AB477" t="s">
        <v>7365</v>
      </c>
      <c r="AC477" t="s">
        <v>7366</v>
      </c>
      <c r="AD477" t="s">
        <v>7366</v>
      </c>
      <c r="AE477" t="s">
        <v>7367</v>
      </c>
      <c r="AF477" t="s">
        <v>74</v>
      </c>
      <c r="AG477">
        <v>87</v>
      </c>
      <c r="AH477">
        <v>1</v>
      </c>
      <c r="AI477">
        <v>1</v>
      </c>
      <c r="AJ477">
        <v>14</v>
      </c>
      <c r="AK477">
        <v>18</v>
      </c>
      <c r="AL477" t="s">
        <v>7170</v>
      </c>
      <c r="AM477" t="s">
        <v>7171</v>
      </c>
      <c r="AN477" t="s">
        <v>7172</v>
      </c>
      <c r="AO477" t="s">
        <v>7173</v>
      </c>
      <c r="AP477" t="s">
        <v>7174</v>
      </c>
      <c r="AQ477" t="s">
        <v>74</v>
      </c>
      <c r="AR477" t="s">
        <v>7175</v>
      </c>
      <c r="AS477" t="s">
        <v>7176</v>
      </c>
      <c r="AT477" t="s">
        <v>517</v>
      </c>
      <c r="AU477">
        <v>2022</v>
      </c>
      <c r="AV477">
        <v>32</v>
      </c>
      <c r="AW477">
        <v>3</v>
      </c>
      <c r="AX477" t="s">
        <v>74</v>
      </c>
      <c r="AY477" t="s">
        <v>74</v>
      </c>
      <c r="AZ477" t="s">
        <v>259</v>
      </c>
      <c r="BA477" t="s">
        <v>74</v>
      </c>
      <c r="BB477">
        <v>1257</v>
      </c>
      <c r="BC477">
        <v>1277</v>
      </c>
      <c r="BD477" t="s">
        <v>74</v>
      </c>
      <c r="BE477" t="s">
        <v>7368</v>
      </c>
      <c r="BF477" t="str">
        <f>HYPERLINK("http://dx.doi.org/10.1007/s12525-022-00560-0","http://dx.doi.org/10.1007/s12525-022-00560-0")</f>
        <v>http://dx.doi.org/10.1007/s12525-022-00560-0</v>
      </c>
      <c r="BG477" t="s">
        <v>74</v>
      </c>
      <c r="BH477" t="s">
        <v>7369</v>
      </c>
      <c r="BI477">
        <v>21</v>
      </c>
      <c r="BJ477" t="s">
        <v>877</v>
      </c>
      <c r="BK477" t="s">
        <v>101</v>
      </c>
      <c r="BL477" t="s">
        <v>154</v>
      </c>
      <c r="BM477" t="s">
        <v>7370</v>
      </c>
      <c r="BN477" t="s">
        <v>74</v>
      </c>
      <c r="BO477" t="s">
        <v>662</v>
      </c>
      <c r="BP477" t="s">
        <v>74</v>
      </c>
      <c r="BQ477" t="s">
        <v>74</v>
      </c>
      <c r="BR477" t="s">
        <v>6098</v>
      </c>
      <c r="BS477" t="s">
        <v>7371</v>
      </c>
      <c r="BT477" t="str">
        <f>HYPERLINK("https%3A%2F%2Fwww.webofscience.com%2Fwos%2Fwoscc%2Ffull-record%2FWOS:000824995600001","View Full Record in Web of Science")</f>
        <v>View Full Record in Web of Science</v>
      </c>
      <c r="BU477" t="s">
        <v>6100</v>
      </c>
      <c r="BV477" s="1" t="s">
        <v>6080</v>
      </c>
      <c r="BW477" s="1" t="s">
        <v>10653</v>
      </c>
    </row>
    <row r="478" spans="1:75" x14ac:dyDescent="0.35">
      <c r="A478" t="s">
        <v>72</v>
      </c>
      <c r="B478" t="s">
        <v>4183</v>
      </c>
      <c r="C478" t="s">
        <v>74</v>
      </c>
      <c r="D478" t="s">
        <v>74</v>
      </c>
      <c r="E478" t="s">
        <v>74</v>
      </c>
      <c r="F478" t="s">
        <v>4184</v>
      </c>
      <c r="G478" t="s">
        <v>74</v>
      </c>
      <c r="H478" t="s">
        <v>74</v>
      </c>
      <c r="I478" t="s">
        <v>4185</v>
      </c>
      <c r="J478" t="s">
        <v>240</v>
      </c>
      <c r="K478" t="s">
        <v>74</v>
      </c>
      <c r="L478" t="s">
        <v>74</v>
      </c>
      <c r="M478" t="s">
        <v>78</v>
      </c>
      <c r="N478" t="s">
        <v>79</v>
      </c>
      <c r="O478" t="s">
        <v>74</v>
      </c>
      <c r="P478" t="s">
        <v>74</v>
      </c>
      <c r="Q478" t="s">
        <v>74</v>
      </c>
      <c r="R478" t="s">
        <v>74</v>
      </c>
      <c r="S478" t="s">
        <v>74</v>
      </c>
      <c r="T478" t="s">
        <v>4186</v>
      </c>
      <c r="U478" t="s">
        <v>4187</v>
      </c>
      <c r="V478" t="s">
        <v>4188</v>
      </c>
      <c r="W478" t="s">
        <v>4189</v>
      </c>
      <c r="X478" t="s">
        <v>4190</v>
      </c>
      <c r="Y478" t="s">
        <v>4191</v>
      </c>
      <c r="Z478" t="s">
        <v>4192</v>
      </c>
      <c r="AA478" t="s">
        <v>74</v>
      </c>
      <c r="AB478" t="s">
        <v>4193</v>
      </c>
      <c r="AC478" t="s">
        <v>74</v>
      </c>
      <c r="AD478" t="s">
        <v>74</v>
      </c>
      <c r="AE478" t="s">
        <v>74</v>
      </c>
      <c r="AF478" t="s">
        <v>74</v>
      </c>
      <c r="AG478">
        <v>156</v>
      </c>
      <c r="AH478">
        <v>199</v>
      </c>
      <c r="AI478">
        <v>201</v>
      </c>
      <c r="AJ478">
        <v>71</v>
      </c>
      <c r="AK478">
        <v>423</v>
      </c>
      <c r="AL478" t="s">
        <v>144</v>
      </c>
      <c r="AM478" t="s">
        <v>145</v>
      </c>
      <c r="AN478" t="s">
        <v>146</v>
      </c>
      <c r="AO478" t="s">
        <v>254</v>
      </c>
      <c r="AP478" t="s">
        <v>255</v>
      </c>
      <c r="AQ478" t="s">
        <v>74</v>
      </c>
      <c r="AR478" t="s">
        <v>256</v>
      </c>
      <c r="AS478" t="s">
        <v>257</v>
      </c>
      <c r="AT478" t="s">
        <v>213</v>
      </c>
      <c r="AU478">
        <v>2020</v>
      </c>
      <c r="AV478">
        <v>84</v>
      </c>
      <c r="AW478">
        <v>1</v>
      </c>
      <c r="AX478" t="s">
        <v>74</v>
      </c>
      <c r="AY478" t="s">
        <v>74</v>
      </c>
      <c r="AZ478" t="s">
        <v>74</v>
      </c>
      <c r="BA478" t="s">
        <v>74</v>
      </c>
      <c r="BB478">
        <v>1</v>
      </c>
      <c r="BC478">
        <v>25</v>
      </c>
      <c r="BD478" t="s">
        <v>74</v>
      </c>
      <c r="BE478" t="s">
        <v>4194</v>
      </c>
      <c r="BF478" t="str">
        <f>HYPERLINK("http://dx.doi.org/10.1177/0022242919873106","http://dx.doi.org/10.1177/0022242919873106")</f>
        <v>http://dx.doi.org/10.1177/0022242919873106</v>
      </c>
      <c r="BG478" t="s">
        <v>74</v>
      </c>
      <c r="BH478" t="s">
        <v>74</v>
      </c>
      <c r="BI478">
        <v>25</v>
      </c>
      <c r="BJ478" t="s">
        <v>153</v>
      </c>
      <c r="BK478" t="s">
        <v>101</v>
      </c>
      <c r="BL478" t="s">
        <v>154</v>
      </c>
      <c r="BM478" t="s">
        <v>4195</v>
      </c>
      <c r="BN478" t="s">
        <v>74</v>
      </c>
      <c r="BO478" t="s">
        <v>74</v>
      </c>
      <c r="BP478" t="s">
        <v>218</v>
      </c>
      <c r="BQ478" t="s">
        <v>219</v>
      </c>
      <c r="BR478" t="s">
        <v>6098</v>
      </c>
      <c r="BS478" t="s">
        <v>4196</v>
      </c>
      <c r="BT478" t="str">
        <f>HYPERLINK("https%3A%2F%2Fwww.webofscience.com%2Fwos%2Fwoscc%2Ffull-record%2FWOS:000502391400001","View Full Record in Web of Science")</f>
        <v>View Full Record in Web of Science</v>
      </c>
      <c r="BU478" t="s">
        <v>6100</v>
      </c>
      <c r="BV478" s="1" t="s">
        <v>6080</v>
      </c>
      <c r="BW478" s="1" t="s">
        <v>6080</v>
      </c>
    </row>
    <row r="479" spans="1:75" x14ac:dyDescent="0.35">
      <c r="A479" t="s">
        <v>72</v>
      </c>
      <c r="B479" t="s">
        <v>7380</v>
      </c>
      <c r="C479" t="s">
        <v>74</v>
      </c>
      <c r="D479" t="s">
        <v>74</v>
      </c>
      <c r="E479" t="s">
        <v>74</v>
      </c>
      <c r="F479" t="s">
        <v>7381</v>
      </c>
      <c r="G479" t="s">
        <v>74</v>
      </c>
      <c r="H479" t="s">
        <v>74</v>
      </c>
      <c r="I479" t="s">
        <v>7382</v>
      </c>
      <c r="J479" t="s">
        <v>7383</v>
      </c>
      <c r="K479" t="s">
        <v>74</v>
      </c>
      <c r="L479" t="s">
        <v>74</v>
      </c>
      <c r="M479" t="s">
        <v>78</v>
      </c>
      <c r="N479" t="s">
        <v>110</v>
      </c>
      <c r="O479" t="s">
        <v>74</v>
      </c>
      <c r="P479" t="s">
        <v>74</v>
      </c>
      <c r="Q479" t="s">
        <v>74</v>
      </c>
      <c r="R479" t="s">
        <v>74</v>
      </c>
      <c r="S479" t="s">
        <v>74</v>
      </c>
      <c r="T479" t="s">
        <v>7384</v>
      </c>
      <c r="U479" t="s">
        <v>7385</v>
      </c>
      <c r="V479" t="s">
        <v>7386</v>
      </c>
      <c r="W479" t="s">
        <v>7387</v>
      </c>
      <c r="X479" t="s">
        <v>7388</v>
      </c>
      <c r="Y479" t="s">
        <v>7389</v>
      </c>
      <c r="Z479" t="s">
        <v>7390</v>
      </c>
      <c r="AA479" t="s">
        <v>7391</v>
      </c>
      <c r="AB479" t="s">
        <v>74</v>
      </c>
      <c r="AC479" t="s">
        <v>7392</v>
      </c>
      <c r="AD479" t="s">
        <v>7393</v>
      </c>
      <c r="AE479" t="s">
        <v>7394</v>
      </c>
      <c r="AF479" t="s">
        <v>74</v>
      </c>
      <c r="AG479">
        <v>52</v>
      </c>
      <c r="AH479">
        <v>1</v>
      </c>
      <c r="AI479">
        <v>1</v>
      </c>
      <c r="AJ479">
        <v>8</v>
      </c>
      <c r="AK479">
        <v>22</v>
      </c>
      <c r="AL479" t="s">
        <v>7395</v>
      </c>
      <c r="AM479" t="s">
        <v>7396</v>
      </c>
      <c r="AN479" t="s">
        <v>7397</v>
      </c>
      <c r="AO479" t="s">
        <v>7398</v>
      </c>
      <c r="AP479" t="s">
        <v>74</v>
      </c>
      <c r="AQ479" t="s">
        <v>74</v>
      </c>
      <c r="AR479" t="s">
        <v>7399</v>
      </c>
      <c r="AS479" t="s">
        <v>7400</v>
      </c>
      <c r="AT479" t="s">
        <v>3720</v>
      </c>
      <c r="AU479">
        <v>2019</v>
      </c>
      <c r="AV479">
        <v>18</v>
      </c>
      <c r="AW479">
        <v>3</v>
      </c>
      <c r="AX479" t="s">
        <v>74</v>
      </c>
      <c r="AY479" t="s">
        <v>74</v>
      </c>
      <c r="AZ479" t="s">
        <v>74</v>
      </c>
      <c r="BA479" t="s">
        <v>74</v>
      </c>
      <c r="BB479">
        <v>246</v>
      </c>
      <c r="BC479">
        <v>265</v>
      </c>
      <c r="BD479" t="s">
        <v>74</v>
      </c>
      <c r="BE479" t="s">
        <v>7401</v>
      </c>
      <c r="BF479" t="str">
        <f>HYPERLINK("http://dx.doi.org/10.5585/remark.v18i3.16374","http://dx.doi.org/10.5585/remark.v18i3.16374")</f>
        <v>http://dx.doi.org/10.5585/remark.v18i3.16374</v>
      </c>
      <c r="BG479" t="s">
        <v>74</v>
      </c>
      <c r="BH479" t="s">
        <v>74</v>
      </c>
      <c r="BI479">
        <v>20</v>
      </c>
      <c r="BJ479" t="s">
        <v>153</v>
      </c>
      <c r="BK479" t="s">
        <v>3880</v>
      </c>
      <c r="BL479" t="s">
        <v>154</v>
      </c>
      <c r="BM479" t="s">
        <v>7402</v>
      </c>
      <c r="BN479" t="s">
        <v>74</v>
      </c>
      <c r="BO479" t="s">
        <v>2599</v>
      </c>
      <c r="BP479" t="s">
        <v>74</v>
      </c>
      <c r="BQ479" t="s">
        <v>74</v>
      </c>
      <c r="BR479" t="s">
        <v>6098</v>
      </c>
      <c r="BS479" t="s">
        <v>7403</v>
      </c>
      <c r="BT479" t="str">
        <f>HYPERLINK("https%3A%2F%2Fwww.webofscience.com%2Fwos%2Fwoscc%2Ffull-record%2FWOS:000509960500011","View Full Record in Web of Science")</f>
        <v>View Full Record in Web of Science</v>
      </c>
      <c r="BU479" t="s">
        <v>6100</v>
      </c>
      <c r="BV479" s="1" t="s">
        <v>6080</v>
      </c>
      <c r="BW479" s="1" t="s">
        <v>10653</v>
      </c>
    </row>
    <row r="480" spans="1:75" x14ac:dyDescent="0.35">
      <c r="A480" t="s">
        <v>72</v>
      </c>
      <c r="B480" t="s">
        <v>6462</v>
      </c>
      <c r="C480" t="s">
        <v>74</v>
      </c>
      <c r="D480" t="s">
        <v>74</v>
      </c>
      <c r="E480" t="s">
        <v>74</v>
      </c>
      <c r="F480" t="s">
        <v>6463</v>
      </c>
      <c r="G480" t="s">
        <v>74</v>
      </c>
      <c r="H480" t="s">
        <v>74</v>
      </c>
      <c r="I480" t="s">
        <v>6464</v>
      </c>
      <c r="J480" t="s">
        <v>3737</v>
      </c>
      <c r="K480" t="s">
        <v>74</v>
      </c>
      <c r="L480" t="s">
        <v>74</v>
      </c>
      <c r="M480" t="s">
        <v>78</v>
      </c>
      <c r="N480" t="s">
        <v>79</v>
      </c>
      <c r="O480" t="s">
        <v>74</v>
      </c>
      <c r="P480" t="s">
        <v>74</v>
      </c>
      <c r="Q480" t="s">
        <v>74</v>
      </c>
      <c r="R480" t="s">
        <v>74</v>
      </c>
      <c r="S480" t="s">
        <v>74</v>
      </c>
      <c r="T480" t="s">
        <v>6465</v>
      </c>
      <c r="U480" t="s">
        <v>6466</v>
      </c>
      <c r="V480" t="s">
        <v>6467</v>
      </c>
      <c r="W480" t="s">
        <v>6468</v>
      </c>
      <c r="X480" t="s">
        <v>6469</v>
      </c>
      <c r="Y480" t="s">
        <v>6470</v>
      </c>
      <c r="Z480" t="s">
        <v>6471</v>
      </c>
      <c r="AA480" t="s">
        <v>6472</v>
      </c>
      <c r="AB480" t="s">
        <v>6473</v>
      </c>
      <c r="AC480" t="s">
        <v>74</v>
      </c>
      <c r="AD480" t="s">
        <v>74</v>
      </c>
      <c r="AE480" t="s">
        <v>74</v>
      </c>
      <c r="AF480" t="s">
        <v>74</v>
      </c>
      <c r="AG480">
        <v>69</v>
      </c>
      <c r="AH480">
        <v>9</v>
      </c>
      <c r="AI480">
        <v>9</v>
      </c>
      <c r="AJ480">
        <v>9</v>
      </c>
      <c r="AK480">
        <v>36</v>
      </c>
      <c r="AL480" t="s">
        <v>324</v>
      </c>
      <c r="AM480" t="s">
        <v>325</v>
      </c>
      <c r="AN480" t="s">
        <v>2004</v>
      </c>
      <c r="AO480" t="s">
        <v>3743</v>
      </c>
      <c r="AP480" t="s">
        <v>3831</v>
      </c>
      <c r="AQ480" t="s">
        <v>74</v>
      </c>
      <c r="AR480" t="s">
        <v>3744</v>
      </c>
      <c r="AS480" t="s">
        <v>3745</v>
      </c>
      <c r="AT480" t="s">
        <v>348</v>
      </c>
      <c r="AU480">
        <v>2020</v>
      </c>
      <c r="AV480">
        <v>121</v>
      </c>
      <c r="AW480" t="s">
        <v>74</v>
      </c>
      <c r="AX480" t="s">
        <v>74</v>
      </c>
      <c r="AY480" t="s">
        <v>74</v>
      </c>
      <c r="AZ480" t="s">
        <v>74</v>
      </c>
      <c r="BA480" t="s">
        <v>74</v>
      </c>
      <c r="BB480">
        <v>438</v>
      </c>
      <c r="BC480">
        <v>447</v>
      </c>
      <c r="BD480" t="s">
        <v>74</v>
      </c>
      <c r="BE480" t="s">
        <v>6474</v>
      </c>
      <c r="BF480" t="str">
        <f>HYPERLINK("http://dx.doi.org/10.1016/j.jbusres.2018.08.009","http://dx.doi.org/10.1016/j.jbusres.2018.08.009")</f>
        <v>http://dx.doi.org/10.1016/j.jbusres.2018.08.009</v>
      </c>
      <c r="BG480" t="s">
        <v>74</v>
      </c>
      <c r="BH480" t="s">
        <v>74</v>
      </c>
      <c r="BI480">
        <v>10</v>
      </c>
      <c r="BJ480" t="s">
        <v>153</v>
      </c>
      <c r="BK480" t="s">
        <v>101</v>
      </c>
      <c r="BL480" t="s">
        <v>154</v>
      </c>
      <c r="BM480" t="s">
        <v>6475</v>
      </c>
      <c r="BN480" t="s">
        <v>74</v>
      </c>
      <c r="BO480" t="s">
        <v>1333</v>
      </c>
      <c r="BP480" t="s">
        <v>74</v>
      </c>
      <c r="BQ480" t="s">
        <v>74</v>
      </c>
      <c r="BR480" t="s">
        <v>6098</v>
      </c>
      <c r="BS480" t="s">
        <v>6476</v>
      </c>
      <c r="BT480" t="str">
        <f>HYPERLINK("https%3A%2F%2Fwww.webofscience.com%2Fwos%2Fwoscc%2Ffull-record%2FWOS:000591506300011","View Full Record in Web of Science")</f>
        <v>View Full Record in Web of Science</v>
      </c>
      <c r="BU480" t="s">
        <v>6100</v>
      </c>
      <c r="BV480" s="1" t="s">
        <v>10653</v>
      </c>
    </row>
    <row r="481" spans="1:75" x14ac:dyDescent="0.35">
      <c r="A481" t="s">
        <v>72</v>
      </c>
      <c r="B481" t="s">
        <v>6494</v>
      </c>
      <c r="C481" t="s">
        <v>74</v>
      </c>
      <c r="D481" t="s">
        <v>74</v>
      </c>
      <c r="E481" t="s">
        <v>74</v>
      </c>
      <c r="F481" t="s">
        <v>6495</v>
      </c>
      <c r="G481" t="s">
        <v>74</v>
      </c>
      <c r="H481" t="s">
        <v>74</v>
      </c>
      <c r="I481" t="s">
        <v>6496</v>
      </c>
      <c r="J481" t="s">
        <v>6497</v>
      </c>
      <c r="K481" t="s">
        <v>74</v>
      </c>
      <c r="L481" t="s">
        <v>74</v>
      </c>
      <c r="M481" t="s">
        <v>78</v>
      </c>
      <c r="N481" t="s">
        <v>79</v>
      </c>
      <c r="O481" t="s">
        <v>74</v>
      </c>
      <c r="P481" t="s">
        <v>74</v>
      </c>
      <c r="Q481" t="s">
        <v>74</v>
      </c>
      <c r="R481" t="s">
        <v>74</v>
      </c>
      <c r="S481" t="s">
        <v>74</v>
      </c>
      <c r="T481" t="s">
        <v>6498</v>
      </c>
      <c r="U481" t="s">
        <v>6499</v>
      </c>
      <c r="V481" t="s">
        <v>6500</v>
      </c>
      <c r="W481" t="s">
        <v>6501</v>
      </c>
      <c r="X481" t="s">
        <v>6502</v>
      </c>
      <c r="Y481" t="s">
        <v>6503</v>
      </c>
      <c r="Z481" t="s">
        <v>6504</v>
      </c>
      <c r="AA481" t="s">
        <v>6505</v>
      </c>
      <c r="AB481" t="s">
        <v>6506</v>
      </c>
      <c r="AC481" t="s">
        <v>74</v>
      </c>
      <c r="AD481" t="s">
        <v>74</v>
      </c>
      <c r="AE481" t="s">
        <v>74</v>
      </c>
      <c r="AF481" t="s">
        <v>74</v>
      </c>
      <c r="AG481">
        <v>45</v>
      </c>
      <c r="AH481">
        <v>4</v>
      </c>
      <c r="AI481">
        <v>4</v>
      </c>
      <c r="AJ481">
        <v>3</v>
      </c>
      <c r="AK481">
        <v>27</v>
      </c>
      <c r="AL481" t="s">
        <v>1982</v>
      </c>
      <c r="AM481" t="s">
        <v>1983</v>
      </c>
      <c r="AN481" t="s">
        <v>2573</v>
      </c>
      <c r="AO481" t="s">
        <v>6507</v>
      </c>
      <c r="AP481" t="s">
        <v>6508</v>
      </c>
      <c r="AQ481" t="s">
        <v>74</v>
      </c>
      <c r="AR481" t="s">
        <v>6509</v>
      </c>
      <c r="AS481" t="s">
        <v>6510</v>
      </c>
      <c r="AT481" t="s">
        <v>1904</v>
      </c>
      <c r="AU481">
        <v>2020</v>
      </c>
      <c r="AV481">
        <v>31</v>
      </c>
      <c r="AW481">
        <v>2</v>
      </c>
      <c r="AX481" t="s">
        <v>74</v>
      </c>
      <c r="AY481" t="s">
        <v>74</v>
      </c>
      <c r="AZ481" t="s">
        <v>259</v>
      </c>
      <c r="BA481" t="s">
        <v>74</v>
      </c>
      <c r="BB481">
        <v>187</v>
      </c>
      <c r="BC481">
        <v>202</v>
      </c>
      <c r="BD481" t="s">
        <v>74</v>
      </c>
      <c r="BE481" t="s">
        <v>6511</v>
      </c>
      <c r="BF481" t="str">
        <f>HYPERLINK("http://dx.doi.org/10.1108/JOSM-06-2019-0167","http://dx.doi.org/10.1108/JOSM-06-2019-0167")</f>
        <v>http://dx.doi.org/10.1108/JOSM-06-2019-0167</v>
      </c>
      <c r="BG481" t="s">
        <v>74</v>
      </c>
      <c r="BH481" t="s">
        <v>6512</v>
      </c>
      <c r="BI481">
        <v>16</v>
      </c>
      <c r="BJ481" t="s">
        <v>2493</v>
      </c>
      <c r="BK481" t="s">
        <v>101</v>
      </c>
      <c r="BL481" t="s">
        <v>154</v>
      </c>
      <c r="BM481" t="s">
        <v>6513</v>
      </c>
      <c r="BN481" t="s">
        <v>74</v>
      </c>
      <c r="BO481" t="s">
        <v>74</v>
      </c>
      <c r="BP481" t="s">
        <v>74</v>
      </c>
      <c r="BQ481" t="s">
        <v>74</v>
      </c>
      <c r="BR481" t="s">
        <v>6098</v>
      </c>
      <c r="BS481" t="s">
        <v>6514</v>
      </c>
      <c r="BT481" t="str">
        <f>HYPERLINK("https%3A%2F%2Fwww.webofscience.com%2Fwos%2Fwoscc%2Ffull-record%2FWOS:000537772700001","View Full Record in Web of Science")</f>
        <v>View Full Record in Web of Science</v>
      </c>
      <c r="BU481" t="s">
        <v>6100</v>
      </c>
      <c r="BV481" s="1" t="s">
        <v>10653</v>
      </c>
    </row>
    <row r="482" spans="1:75" ht="333.5" x14ac:dyDescent="0.35">
      <c r="A482" t="s">
        <v>72</v>
      </c>
      <c r="B482" t="s">
        <v>6562</v>
      </c>
      <c r="C482" t="s">
        <v>74</v>
      </c>
      <c r="D482" t="s">
        <v>74</v>
      </c>
      <c r="E482" t="s">
        <v>74</v>
      </c>
      <c r="F482" t="s">
        <v>6563</v>
      </c>
      <c r="G482" t="s">
        <v>74</v>
      </c>
      <c r="H482" t="s">
        <v>74</v>
      </c>
      <c r="I482" t="s">
        <v>6564</v>
      </c>
      <c r="J482" t="s">
        <v>6394</v>
      </c>
      <c r="K482" t="s">
        <v>74</v>
      </c>
      <c r="L482" t="s">
        <v>74</v>
      </c>
      <c r="M482" t="s">
        <v>78</v>
      </c>
      <c r="N482" t="s">
        <v>79</v>
      </c>
      <c r="O482" t="s">
        <v>74</v>
      </c>
      <c r="P482" t="s">
        <v>74</v>
      </c>
      <c r="Q482" t="s">
        <v>74</v>
      </c>
      <c r="R482" t="s">
        <v>74</v>
      </c>
      <c r="S482" t="s">
        <v>74</v>
      </c>
      <c r="T482" t="s">
        <v>74</v>
      </c>
      <c r="U482" t="s">
        <v>6565</v>
      </c>
      <c r="V482" s="1" t="s">
        <v>6566</v>
      </c>
      <c r="W482" t="s">
        <v>6567</v>
      </c>
      <c r="X482" t="s">
        <v>6568</v>
      </c>
      <c r="Y482" t="s">
        <v>6569</v>
      </c>
      <c r="Z482" t="s">
        <v>6570</v>
      </c>
      <c r="AA482" t="s">
        <v>4248</v>
      </c>
      <c r="AB482" t="s">
        <v>6571</v>
      </c>
      <c r="AC482" t="s">
        <v>6572</v>
      </c>
      <c r="AD482" t="s">
        <v>6572</v>
      </c>
      <c r="AE482" t="s">
        <v>6573</v>
      </c>
      <c r="AF482" t="s">
        <v>74</v>
      </c>
      <c r="AG482">
        <v>55</v>
      </c>
      <c r="AH482">
        <v>17</v>
      </c>
      <c r="AI482">
        <v>17</v>
      </c>
      <c r="AJ482">
        <v>9</v>
      </c>
      <c r="AK482">
        <v>61</v>
      </c>
      <c r="AL482" t="s">
        <v>1180</v>
      </c>
      <c r="AM482" t="s">
        <v>1181</v>
      </c>
      <c r="AN482" t="s">
        <v>1182</v>
      </c>
      <c r="AO482" t="s">
        <v>6402</v>
      </c>
      <c r="AP482" t="s">
        <v>6403</v>
      </c>
      <c r="AQ482" t="s">
        <v>74</v>
      </c>
      <c r="AR482" t="s">
        <v>6404</v>
      </c>
      <c r="AS482" t="s">
        <v>6405</v>
      </c>
      <c r="AT482" t="s">
        <v>6574</v>
      </c>
      <c r="AU482">
        <v>2020</v>
      </c>
      <c r="AV482">
        <v>49</v>
      </c>
      <c r="AW482">
        <v>1</v>
      </c>
      <c r="AX482" t="s">
        <v>74</v>
      </c>
      <c r="AY482" t="s">
        <v>74</v>
      </c>
      <c r="AZ482" t="s">
        <v>74</v>
      </c>
      <c r="BA482" t="s">
        <v>74</v>
      </c>
      <c r="BB482">
        <v>3</v>
      </c>
      <c r="BC482">
        <v>17</v>
      </c>
      <c r="BD482" t="s">
        <v>74</v>
      </c>
      <c r="BE482" t="s">
        <v>6575</v>
      </c>
      <c r="BF482" t="str">
        <f>HYPERLINK("http://dx.doi.org/10.1080/00913367.2019.1652120","http://dx.doi.org/10.1080/00913367.2019.1652120")</f>
        <v>http://dx.doi.org/10.1080/00913367.2019.1652120</v>
      </c>
      <c r="BG482" t="s">
        <v>74</v>
      </c>
      <c r="BH482" t="s">
        <v>4229</v>
      </c>
      <c r="BI482">
        <v>15</v>
      </c>
      <c r="BJ482" t="s">
        <v>2010</v>
      </c>
      <c r="BK482" t="s">
        <v>101</v>
      </c>
      <c r="BL482" t="s">
        <v>2011</v>
      </c>
      <c r="BM482" t="s">
        <v>6576</v>
      </c>
      <c r="BN482" t="s">
        <v>74</v>
      </c>
      <c r="BO482" t="s">
        <v>74</v>
      </c>
      <c r="BP482" t="s">
        <v>74</v>
      </c>
      <c r="BQ482" t="s">
        <v>74</v>
      </c>
      <c r="BR482" t="s">
        <v>6098</v>
      </c>
      <c r="BS482" t="s">
        <v>6577</v>
      </c>
      <c r="BT482" t="str">
        <f>HYPERLINK("https%3A%2F%2Fwww.webofscience.com%2Fwos%2Fwoscc%2Ffull-record%2FWOS:000484920100001","View Full Record in Web of Science")</f>
        <v>View Full Record in Web of Science</v>
      </c>
      <c r="BU482" t="s">
        <v>6100</v>
      </c>
      <c r="BV482" s="1" t="s">
        <v>6080</v>
      </c>
      <c r="BW482" s="1" t="s">
        <v>6080</v>
      </c>
    </row>
    <row r="483" spans="1:75" x14ac:dyDescent="0.35">
      <c r="A483" t="s">
        <v>72</v>
      </c>
      <c r="B483" t="s">
        <v>6578</v>
      </c>
      <c r="C483" t="s">
        <v>74</v>
      </c>
      <c r="D483" t="s">
        <v>74</v>
      </c>
      <c r="E483" t="s">
        <v>74</v>
      </c>
      <c r="F483" t="s">
        <v>6579</v>
      </c>
      <c r="G483" t="s">
        <v>74</v>
      </c>
      <c r="H483" t="s">
        <v>74</v>
      </c>
      <c r="I483" t="s">
        <v>6580</v>
      </c>
      <c r="J483" t="s">
        <v>6581</v>
      </c>
      <c r="K483" t="s">
        <v>74</v>
      </c>
      <c r="L483" t="s">
        <v>74</v>
      </c>
      <c r="M483" t="s">
        <v>78</v>
      </c>
      <c r="N483" t="s">
        <v>79</v>
      </c>
      <c r="O483" t="s">
        <v>74</v>
      </c>
      <c r="P483" t="s">
        <v>74</v>
      </c>
      <c r="Q483" t="s">
        <v>74</v>
      </c>
      <c r="R483" t="s">
        <v>74</v>
      </c>
      <c r="S483" t="s">
        <v>74</v>
      </c>
      <c r="T483" t="s">
        <v>6582</v>
      </c>
      <c r="U483" t="s">
        <v>6583</v>
      </c>
      <c r="V483" t="s">
        <v>6584</v>
      </c>
      <c r="W483" t="s">
        <v>6585</v>
      </c>
      <c r="X483" t="s">
        <v>6586</v>
      </c>
      <c r="Y483" t="s">
        <v>6587</v>
      </c>
      <c r="Z483" t="s">
        <v>6588</v>
      </c>
      <c r="AA483" t="s">
        <v>6589</v>
      </c>
      <c r="AB483" t="s">
        <v>6590</v>
      </c>
      <c r="AC483" t="s">
        <v>74</v>
      </c>
      <c r="AD483" t="s">
        <v>74</v>
      </c>
      <c r="AE483" t="s">
        <v>74</v>
      </c>
      <c r="AF483" t="s">
        <v>74</v>
      </c>
      <c r="AG483">
        <v>156</v>
      </c>
      <c r="AH483">
        <v>34</v>
      </c>
      <c r="AI483">
        <v>34</v>
      </c>
      <c r="AJ483">
        <v>17</v>
      </c>
      <c r="AK483">
        <v>68</v>
      </c>
      <c r="AL483" t="s">
        <v>1982</v>
      </c>
      <c r="AM483" t="s">
        <v>1983</v>
      </c>
      <c r="AN483" t="s">
        <v>2573</v>
      </c>
      <c r="AO483" t="s">
        <v>6591</v>
      </c>
      <c r="AP483" t="s">
        <v>6592</v>
      </c>
      <c r="AQ483" t="s">
        <v>74</v>
      </c>
      <c r="AR483" t="s">
        <v>6593</v>
      </c>
      <c r="AS483" t="s">
        <v>6594</v>
      </c>
      <c r="AT483" t="s">
        <v>74</v>
      </c>
      <c r="AU483">
        <v>2020</v>
      </c>
      <c r="AV483">
        <v>29</v>
      </c>
      <c r="AW483">
        <v>3</v>
      </c>
      <c r="AX483" t="s">
        <v>74</v>
      </c>
      <c r="AY483" t="s">
        <v>74</v>
      </c>
      <c r="AZ483" t="s">
        <v>74</v>
      </c>
      <c r="BA483" t="s">
        <v>74</v>
      </c>
      <c r="BB483">
        <v>387</v>
      </c>
      <c r="BC483">
        <v>408</v>
      </c>
      <c r="BD483" t="s">
        <v>74</v>
      </c>
      <c r="BE483" t="s">
        <v>6595</v>
      </c>
      <c r="BF483" t="str">
        <f>HYPERLINK("http://dx.doi.org/10.1108/JPBM-11-2018-2120","http://dx.doi.org/10.1108/JPBM-11-2018-2120")</f>
        <v>http://dx.doi.org/10.1108/JPBM-11-2018-2120</v>
      </c>
      <c r="BG483" t="s">
        <v>74</v>
      </c>
      <c r="BH483" t="s">
        <v>74</v>
      </c>
      <c r="BI483">
        <v>22</v>
      </c>
      <c r="BJ483" t="s">
        <v>877</v>
      </c>
      <c r="BK483" t="s">
        <v>101</v>
      </c>
      <c r="BL483" t="s">
        <v>154</v>
      </c>
      <c r="BM483" t="s">
        <v>6596</v>
      </c>
      <c r="BN483" t="s">
        <v>74</v>
      </c>
      <c r="BO483" t="s">
        <v>74</v>
      </c>
      <c r="BP483" t="s">
        <v>74</v>
      </c>
      <c r="BQ483" t="s">
        <v>74</v>
      </c>
      <c r="BR483" t="s">
        <v>6098</v>
      </c>
      <c r="BS483" t="s">
        <v>6597</v>
      </c>
      <c r="BT483" t="str">
        <f>HYPERLINK("https%3A%2F%2Fwww.webofscience.com%2Fwos%2Fwoscc%2Ffull-record%2FWOS:000565539000009","View Full Record in Web of Science")</f>
        <v>View Full Record in Web of Science</v>
      </c>
      <c r="BU483" t="s">
        <v>6100</v>
      </c>
      <c r="BV483" s="1" t="s">
        <v>6080</v>
      </c>
      <c r="BW483" s="1" t="s">
        <v>6080</v>
      </c>
    </row>
    <row r="484" spans="1:75" x14ac:dyDescent="0.35">
      <c r="A484" t="s">
        <v>72</v>
      </c>
      <c r="B484" t="s">
        <v>6647</v>
      </c>
      <c r="C484" t="s">
        <v>74</v>
      </c>
      <c r="D484" t="s">
        <v>74</v>
      </c>
      <c r="E484" t="s">
        <v>74</v>
      </c>
      <c r="F484" t="s">
        <v>6648</v>
      </c>
      <c r="G484" t="s">
        <v>74</v>
      </c>
      <c r="H484" t="s">
        <v>74</v>
      </c>
      <c r="I484" t="s">
        <v>6649</v>
      </c>
      <c r="J484" t="s">
        <v>6650</v>
      </c>
      <c r="K484" t="s">
        <v>74</v>
      </c>
      <c r="L484" t="s">
        <v>74</v>
      </c>
      <c r="M484" t="s">
        <v>78</v>
      </c>
      <c r="N484" t="s">
        <v>79</v>
      </c>
      <c r="O484" t="s">
        <v>74</v>
      </c>
      <c r="P484" t="s">
        <v>74</v>
      </c>
      <c r="Q484" t="s">
        <v>74</v>
      </c>
      <c r="R484" t="s">
        <v>74</v>
      </c>
      <c r="S484" t="s">
        <v>74</v>
      </c>
      <c r="T484" t="s">
        <v>6651</v>
      </c>
      <c r="U484" t="s">
        <v>6652</v>
      </c>
      <c r="V484" t="s">
        <v>6653</v>
      </c>
      <c r="W484" t="s">
        <v>6654</v>
      </c>
      <c r="X484" t="s">
        <v>6655</v>
      </c>
      <c r="Y484" t="s">
        <v>6656</v>
      </c>
      <c r="Z484" t="s">
        <v>6657</v>
      </c>
      <c r="AA484" t="s">
        <v>74</v>
      </c>
      <c r="AB484" t="s">
        <v>6658</v>
      </c>
      <c r="AC484" t="s">
        <v>74</v>
      </c>
      <c r="AD484" t="s">
        <v>74</v>
      </c>
      <c r="AE484" t="s">
        <v>74</v>
      </c>
      <c r="AF484" t="s">
        <v>74</v>
      </c>
      <c r="AG484">
        <v>39</v>
      </c>
      <c r="AH484">
        <v>20</v>
      </c>
      <c r="AI484">
        <v>20</v>
      </c>
      <c r="AJ484">
        <v>2</v>
      </c>
      <c r="AK484">
        <v>18</v>
      </c>
      <c r="AL484" t="s">
        <v>409</v>
      </c>
      <c r="AM484" t="s">
        <v>410</v>
      </c>
      <c r="AN484" t="s">
        <v>411</v>
      </c>
      <c r="AO484" t="s">
        <v>6659</v>
      </c>
      <c r="AP484" t="s">
        <v>6660</v>
      </c>
      <c r="AQ484" t="s">
        <v>74</v>
      </c>
      <c r="AR484" t="s">
        <v>6661</v>
      </c>
      <c r="AS484" t="s">
        <v>6662</v>
      </c>
      <c r="AT484" t="s">
        <v>177</v>
      </c>
      <c r="AU484">
        <v>2020</v>
      </c>
      <c r="AV484">
        <v>28</v>
      </c>
      <c r="AW484">
        <v>1</v>
      </c>
      <c r="AX484" t="s">
        <v>74</v>
      </c>
      <c r="AY484" t="s">
        <v>74</v>
      </c>
      <c r="AZ484" t="s">
        <v>74</v>
      </c>
      <c r="BA484" t="s">
        <v>74</v>
      </c>
      <c r="BB484">
        <v>3</v>
      </c>
      <c r="BC484">
        <v>10</v>
      </c>
      <c r="BD484" t="s">
        <v>74</v>
      </c>
      <c r="BE484" t="s">
        <v>6663</v>
      </c>
      <c r="BF484" t="str">
        <f>HYPERLINK("http://dx.doi.org/10.1016/j.ausmj.2019.09.003","http://dx.doi.org/10.1016/j.ausmj.2019.09.003")</f>
        <v>http://dx.doi.org/10.1016/j.ausmj.2019.09.003</v>
      </c>
      <c r="BG484" t="s">
        <v>74</v>
      </c>
      <c r="BH484" t="s">
        <v>74</v>
      </c>
      <c r="BI484">
        <v>8</v>
      </c>
      <c r="BJ484" t="s">
        <v>153</v>
      </c>
      <c r="BK484" t="s">
        <v>3880</v>
      </c>
      <c r="BL484" t="s">
        <v>154</v>
      </c>
      <c r="BM484" t="s">
        <v>6664</v>
      </c>
      <c r="BN484" t="s">
        <v>74</v>
      </c>
      <c r="BO484" t="s">
        <v>74</v>
      </c>
      <c r="BP484" t="s">
        <v>74</v>
      </c>
      <c r="BQ484" t="s">
        <v>74</v>
      </c>
      <c r="BR484" t="s">
        <v>6098</v>
      </c>
      <c r="BS484" t="s">
        <v>6665</v>
      </c>
      <c r="BT484" t="str">
        <f>HYPERLINK("https%3A%2F%2Fwww.webofscience.com%2Fwos%2Fwoscc%2Ffull-record%2FWOS:000528856400002","View Full Record in Web of Science")</f>
        <v>View Full Record in Web of Science</v>
      </c>
      <c r="BU484" t="s">
        <v>6100</v>
      </c>
      <c r="BV484" s="1" t="s">
        <v>6080</v>
      </c>
      <c r="BW484" s="1" t="s">
        <v>6080</v>
      </c>
    </row>
    <row r="485" spans="1:75" ht="409.5" x14ac:dyDescent="0.35">
      <c r="A485" t="s">
        <v>72</v>
      </c>
      <c r="B485" t="s">
        <v>6794</v>
      </c>
      <c r="C485" t="s">
        <v>74</v>
      </c>
      <c r="D485" t="s">
        <v>74</v>
      </c>
      <c r="E485" t="s">
        <v>74</v>
      </c>
      <c r="F485" t="s">
        <v>6795</v>
      </c>
      <c r="G485" t="s">
        <v>74</v>
      </c>
      <c r="H485" t="s">
        <v>74</v>
      </c>
      <c r="I485" t="s">
        <v>6796</v>
      </c>
      <c r="J485" t="s">
        <v>6084</v>
      </c>
      <c r="K485" t="s">
        <v>74</v>
      </c>
      <c r="L485" t="s">
        <v>74</v>
      </c>
      <c r="M485" t="s">
        <v>78</v>
      </c>
      <c r="N485" t="s">
        <v>79</v>
      </c>
      <c r="O485" t="s">
        <v>74</v>
      </c>
      <c r="P485" t="s">
        <v>74</v>
      </c>
      <c r="Q485" t="s">
        <v>74</v>
      </c>
      <c r="R485" t="s">
        <v>74</v>
      </c>
      <c r="S485" t="s">
        <v>74</v>
      </c>
      <c r="T485" t="s">
        <v>6797</v>
      </c>
      <c r="U485" t="s">
        <v>6798</v>
      </c>
      <c r="V485" s="1" t="s">
        <v>6799</v>
      </c>
      <c r="W485" t="s">
        <v>6800</v>
      </c>
      <c r="X485" t="s">
        <v>74</v>
      </c>
      <c r="Y485" t="s">
        <v>6801</v>
      </c>
      <c r="Z485" t="s">
        <v>6802</v>
      </c>
      <c r="AA485" t="s">
        <v>74</v>
      </c>
      <c r="AB485" t="s">
        <v>74</v>
      </c>
      <c r="AC485" t="s">
        <v>74</v>
      </c>
      <c r="AD485" t="s">
        <v>74</v>
      </c>
      <c r="AE485" t="s">
        <v>74</v>
      </c>
      <c r="AF485" t="s">
        <v>74</v>
      </c>
      <c r="AG485">
        <v>110</v>
      </c>
      <c r="AH485">
        <v>27</v>
      </c>
      <c r="AI485">
        <v>28</v>
      </c>
      <c r="AJ485">
        <v>10</v>
      </c>
      <c r="AK485">
        <v>55</v>
      </c>
      <c r="AL485" t="s">
        <v>324</v>
      </c>
      <c r="AM485" t="s">
        <v>325</v>
      </c>
      <c r="AN485" t="s">
        <v>2004</v>
      </c>
      <c r="AO485" t="s">
        <v>6092</v>
      </c>
      <c r="AP485" t="s">
        <v>6093</v>
      </c>
      <c r="AQ485" t="s">
        <v>74</v>
      </c>
      <c r="AR485" t="s">
        <v>6094</v>
      </c>
      <c r="AS485" t="s">
        <v>6095</v>
      </c>
      <c r="AT485" t="s">
        <v>281</v>
      </c>
      <c r="AU485">
        <v>2020</v>
      </c>
      <c r="AV485">
        <v>90</v>
      </c>
      <c r="AW485" t="s">
        <v>74</v>
      </c>
      <c r="AX485" t="s">
        <v>74</v>
      </c>
      <c r="AY485" t="s">
        <v>74</v>
      </c>
      <c r="AZ485" t="s">
        <v>74</v>
      </c>
      <c r="BA485" t="s">
        <v>74</v>
      </c>
      <c r="BB485">
        <v>605</v>
      </c>
      <c r="BC485">
        <v>616</v>
      </c>
      <c r="BD485" t="s">
        <v>74</v>
      </c>
      <c r="BE485" t="s">
        <v>6803</v>
      </c>
      <c r="BF485" t="str">
        <f>HYPERLINK("http://dx.doi.org/10.1016/j.indmarman.2019.12.012","http://dx.doi.org/10.1016/j.indmarman.2019.12.012")</f>
        <v>http://dx.doi.org/10.1016/j.indmarman.2019.12.012</v>
      </c>
      <c r="BG485" t="s">
        <v>74</v>
      </c>
      <c r="BH485" t="s">
        <v>74</v>
      </c>
      <c r="BI485">
        <v>12</v>
      </c>
      <c r="BJ485" t="s">
        <v>877</v>
      </c>
      <c r="BK485" t="s">
        <v>101</v>
      </c>
      <c r="BL485" t="s">
        <v>154</v>
      </c>
      <c r="BM485" t="s">
        <v>6804</v>
      </c>
      <c r="BN485" t="s">
        <v>74</v>
      </c>
      <c r="BO485" t="s">
        <v>74</v>
      </c>
      <c r="BP485" t="s">
        <v>74</v>
      </c>
      <c r="BQ485" t="s">
        <v>74</v>
      </c>
      <c r="BR485" t="s">
        <v>6098</v>
      </c>
      <c r="BS485" t="s">
        <v>6805</v>
      </c>
      <c r="BT485" t="str">
        <f>HYPERLINK("https%3A%2F%2Fwww.webofscience.com%2Fwos%2Fwoscc%2Ffull-record%2FWOS:000579880200046","View Full Record in Web of Science")</f>
        <v>View Full Record in Web of Science</v>
      </c>
      <c r="BU485" t="s">
        <v>6100</v>
      </c>
      <c r="BV485" s="1" t="s">
        <v>6080</v>
      </c>
      <c r="BW485" s="1" t="s">
        <v>6080</v>
      </c>
    </row>
    <row r="486" spans="1:75" x14ac:dyDescent="0.35">
      <c r="A486" t="s">
        <v>72</v>
      </c>
      <c r="B486" t="s">
        <v>6845</v>
      </c>
      <c r="C486" t="s">
        <v>74</v>
      </c>
      <c r="D486" t="s">
        <v>74</v>
      </c>
      <c r="E486" t="s">
        <v>74</v>
      </c>
      <c r="F486" t="s">
        <v>6846</v>
      </c>
      <c r="G486" t="s">
        <v>74</v>
      </c>
      <c r="H486" t="s">
        <v>74</v>
      </c>
      <c r="I486" t="s">
        <v>6847</v>
      </c>
      <c r="J486" t="s">
        <v>4018</v>
      </c>
      <c r="K486" t="s">
        <v>74</v>
      </c>
      <c r="L486" t="s">
        <v>74</v>
      </c>
      <c r="M486" t="s">
        <v>78</v>
      </c>
      <c r="N486" t="s">
        <v>79</v>
      </c>
      <c r="O486" t="s">
        <v>74</v>
      </c>
      <c r="P486" t="s">
        <v>74</v>
      </c>
      <c r="Q486" t="s">
        <v>74</v>
      </c>
      <c r="R486" t="s">
        <v>74</v>
      </c>
      <c r="S486" t="s">
        <v>74</v>
      </c>
      <c r="T486" t="s">
        <v>6848</v>
      </c>
      <c r="U486" t="s">
        <v>6849</v>
      </c>
      <c r="V486" t="s">
        <v>6850</v>
      </c>
      <c r="W486" t="s">
        <v>6851</v>
      </c>
      <c r="X486" t="s">
        <v>6852</v>
      </c>
      <c r="Y486" t="s">
        <v>6853</v>
      </c>
      <c r="Z486" t="s">
        <v>6854</v>
      </c>
      <c r="AA486" t="s">
        <v>6855</v>
      </c>
      <c r="AB486" t="s">
        <v>6856</v>
      </c>
      <c r="AC486" t="s">
        <v>74</v>
      </c>
      <c r="AD486" t="s">
        <v>74</v>
      </c>
      <c r="AE486" t="s">
        <v>74</v>
      </c>
      <c r="AF486" t="s">
        <v>74</v>
      </c>
      <c r="AG486">
        <v>51</v>
      </c>
      <c r="AH486">
        <v>5</v>
      </c>
      <c r="AI486">
        <v>5</v>
      </c>
      <c r="AJ486">
        <v>6</v>
      </c>
      <c r="AK486">
        <v>42</v>
      </c>
      <c r="AL486" t="s">
        <v>1886</v>
      </c>
      <c r="AM486" t="s">
        <v>121</v>
      </c>
      <c r="AN486" t="s">
        <v>1887</v>
      </c>
      <c r="AO486" t="s">
        <v>4027</v>
      </c>
      <c r="AP486" t="s">
        <v>4028</v>
      </c>
      <c r="AQ486" t="s">
        <v>74</v>
      </c>
      <c r="AR486" t="s">
        <v>4029</v>
      </c>
      <c r="AS486" t="s">
        <v>4030</v>
      </c>
      <c r="AT486" t="s">
        <v>258</v>
      </c>
      <c r="AU486">
        <v>2020</v>
      </c>
      <c r="AV486">
        <v>62</v>
      </c>
      <c r="AW486">
        <v>6</v>
      </c>
      <c r="AX486" t="s">
        <v>74</v>
      </c>
      <c r="AY486" t="s">
        <v>74</v>
      </c>
      <c r="AZ486" t="s">
        <v>74</v>
      </c>
      <c r="BA486" t="s">
        <v>74</v>
      </c>
      <c r="BB486">
        <v>689</v>
      </c>
      <c r="BC486">
        <v>706</v>
      </c>
      <c r="BD486" t="s">
        <v>74</v>
      </c>
      <c r="BE486" t="s">
        <v>6857</v>
      </c>
      <c r="BF486" t="str">
        <f>HYPERLINK("http://dx.doi.org/10.1177/1470785319844146","http://dx.doi.org/10.1177/1470785319844146")</f>
        <v>http://dx.doi.org/10.1177/1470785319844146</v>
      </c>
      <c r="BG486" t="s">
        <v>74</v>
      </c>
      <c r="BH486" t="s">
        <v>74</v>
      </c>
      <c r="BI486">
        <v>18</v>
      </c>
      <c r="BJ486" t="s">
        <v>153</v>
      </c>
      <c r="BK486" t="s">
        <v>101</v>
      </c>
      <c r="BL486" t="s">
        <v>154</v>
      </c>
      <c r="BM486" t="s">
        <v>6858</v>
      </c>
      <c r="BN486" t="s">
        <v>74</v>
      </c>
      <c r="BO486" t="s">
        <v>74</v>
      </c>
      <c r="BP486" t="s">
        <v>74</v>
      </c>
      <c r="BQ486" t="s">
        <v>74</v>
      </c>
      <c r="BR486" t="s">
        <v>6098</v>
      </c>
      <c r="BS486" t="s">
        <v>6859</v>
      </c>
      <c r="BT486" t="str">
        <f>HYPERLINK("https%3A%2F%2Fwww.webofscience.com%2Fwos%2Fwoscc%2Ffull-record%2FWOS:000586044800005","View Full Record in Web of Science")</f>
        <v>View Full Record in Web of Science</v>
      </c>
      <c r="BU486" t="s">
        <v>6100</v>
      </c>
      <c r="BV486" s="1" t="s">
        <v>6080</v>
      </c>
      <c r="BW486" s="1" t="s">
        <v>6080</v>
      </c>
    </row>
    <row r="487" spans="1:75" x14ac:dyDescent="0.35">
      <c r="A487" t="s">
        <v>72</v>
      </c>
      <c r="B487" t="s">
        <v>6860</v>
      </c>
      <c r="C487" t="s">
        <v>74</v>
      </c>
      <c r="D487" t="s">
        <v>74</v>
      </c>
      <c r="E487" t="s">
        <v>74</v>
      </c>
      <c r="F487" t="s">
        <v>6861</v>
      </c>
      <c r="G487" t="s">
        <v>74</v>
      </c>
      <c r="H487" t="s">
        <v>74</v>
      </c>
      <c r="I487" t="s">
        <v>6862</v>
      </c>
      <c r="J487" t="s">
        <v>6863</v>
      </c>
      <c r="K487" t="s">
        <v>74</v>
      </c>
      <c r="L487" t="s">
        <v>74</v>
      </c>
      <c r="M487" t="s">
        <v>78</v>
      </c>
      <c r="N487" t="s">
        <v>79</v>
      </c>
      <c r="O487" t="s">
        <v>74</v>
      </c>
      <c r="P487" t="s">
        <v>74</v>
      </c>
      <c r="Q487" t="s">
        <v>74</v>
      </c>
      <c r="R487" t="s">
        <v>74</v>
      </c>
      <c r="S487" t="s">
        <v>74</v>
      </c>
      <c r="T487" t="s">
        <v>6864</v>
      </c>
      <c r="U487" t="s">
        <v>6865</v>
      </c>
      <c r="V487" t="s">
        <v>6866</v>
      </c>
      <c r="W487" t="s">
        <v>6867</v>
      </c>
      <c r="X487" t="s">
        <v>6868</v>
      </c>
      <c r="Y487" t="s">
        <v>6869</v>
      </c>
      <c r="Z487" t="s">
        <v>6870</v>
      </c>
      <c r="AA487" t="s">
        <v>6871</v>
      </c>
      <c r="AB487" t="s">
        <v>6872</v>
      </c>
      <c r="AC487" t="s">
        <v>74</v>
      </c>
      <c r="AD487" t="s">
        <v>74</v>
      </c>
      <c r="AE487" t="s">
        <v>74</v>
      </c>
      <c r="AF487" t="s">
        <v>74</v>
      </c>
      <c r="AG487">
        <v>56</v>
      </c>
      <c r="AH487">
        <v>3</v>
      </c>
      <c r="AI487">
        <v>3</v>
      </c>
      <c r="AJ487">
        <v>1</v>
      </c>
      <c r="AK487">
        <v>7</v>
      </c>
      <c r="AL487" t="s">
        <v>1180</v>
      </c>
      <c r="AM487" t="s">
        <v>1181</v>
      </c>
      <c r="AN487" t="s">
        <v>1182</v>
      </c>
      <c r="AO487" t="s">
        <v>6873</v>
      </c>
      <c r="AP487" t="s">
        <v>6874</v>
      </c>
      <c r="AQ487" t="s">
        <v>74</v>
      </c>
      <c r="AR487" t="s">
        <v>6875</v>
      </c>
      <c r="AS487" t="s">
        <v>6876</v>
      </c>
      <c r="AT487" t="s">
        <v>74</v>
      </c>
      <c r="AU487">
        <v>2020</v>
      </c>
      <c r="AV487">
        <v>11</v>
      </c>
      <c r="AW487">
        <v>2</v>
      </c>
      <c r="AX487" t="s">
        <v>74</v>
      </c>
      <c r="AY487" t="s">
        <v>74</v>
      </c>
      <c r="AZ487" t="s">
        <v>74</v>
      </c>
      <c r="BA487" t="s">
        <v>74</v>
      </c>
      <c r="BB487">
        <v>117</v>
      </c>
      <c r="BC487">
        <v>136</v>
      </c>
      <c r="BD487" t="s">
        <v>74</v>
      </c>
      <c r="BE487" t="s">
        <v>6877</v>
      </c>
      <c r="BF487" t="str">
        <f>HYPERLINK("http://dx.doi.org/10.1080/20932685.2019.1706608","http://dx.doi.org/10.1080/20932685.2019.1706608")</f>
        <v>http://dx.doi.org/10.1080/20932685.2019.1706608</v>
      </c>
      <c r="BG487" t="s">
        <v>74</v>
      </c>
      <c r="BH487" t="s">
        <v>74</v>
      </c>
      <c r="BI487">
        <v>20</v>
      </c>
      <c r="BJ487" t="s">
        <v>153</v>
      </c>
      <c r="BK487" t="s">
        <v>3880</v>
      </c>
      <c r="BL487" t="s">
        <v>154</v>
      </c>
      <c r="BM487" t="s">
        <v>6878</v>
      </c>
      <c r="BN487" t="s">
        <v>74</v>
      </c>
      <c r="BO487" t="s">
        <v>74</v>
      </c>
      <c r="BP487" t="s">
        <v>74</v>
      </c>
      <c r="BQ487" t="s">
        <v>74</v>
      </c>
      <c r="BR487" t="s">
        <v>6098</v>
      </c>
      <c r="BS487" t="s">
        <v>6879</v>
      </c>
      <c r="BT487" t="str">
        <f>HYPERLINK("https%3A%2F%2Fwww.webofscience.com%2Fwos%2Fwoscc%2Ffull-record%2FWOS:000541852600002","View Full Record in Web of Science")</f>
        <v>View Full Record in Web of Science</v>
      </c>
      <c r="BU487" t="s">
        <v>6100</v>
      </c>
      <c r="BV487" s="1" t="s">
        <v>6080</v>
      </c>
      <c r="BW487" s="1" t="s">
        <v>6080</v>
      </c>
    </row>
    <row r="488" spans="1:75" x14ac:dyDescent="0.35">
      <c r="A488" t="s">
        <v>2064</v>
      </c>
      <c r="B488" t="s">
        <v>7516</v>
      </c>
      <c r="C488" t="s">
        <v>74</v>
      </c>
      <c r="D488" t="s">
        <v>74</v>
      </c>
      <c r="E488" t="s">
        <v>7517</v>
      </c>
      <c r="F488" t="s">
        <v>7518</v>
      </c>
      <c r="G488" t="s">
        <v>74</v>
      </c>
      <c r="H488" t="s">
        <v>74</v>
      </c>
      <c r="I488" t="s">
        <v>7519</v>
      </c>
      <c r="J488" t="s">
        <v>7520</v>
      </c>
      <c r="K488" t="s">
        <v>74</v>
      </c>
      <c r="L488" t="s">
        <v>74</v>
      </c>
      <c r="M488" t="s">
        <v>78</v>
      </c>
      <c r="N488" t="s">
        <v>3379</v>
      </c>
      <c r="O488" t="s">
        <v>74</v>
      </c>
      <c r="P488" t="s">
        <v>74</v>
      </c>
      <c r="Q488" t="s">
        <v>74</v>
      </c>
      <c r="R488" t="s">
        <v>74</v>
      </c>
      <c r="S488" t="s">
        <v>74</v>
      </c>
      <c r="T488" t="s">
        <v>74</v>
      </c>
      <c r="U488" t="s">
        <v>7521</v>
      </c>
      <c r="V488" t="s">
        <v>7522</v>
      </c>
      <c r="W488" t="s">
        <v>7523</v>
      </c>
      <c r="X488" t="s">
        <v>7524</v>
      </c>
      <c r="Y488" t="s">
        <v>7525</v>
      </c>
      <c r="Z488" t="s">
        <v>74</v>
      </c>
      <c r="AA488" t="s">
        <v>74</v>
      </c>
      <c r="AB488" t="s">
        <v>74</v>
      </c>
      <c r="AC488" t="s">
        <v>74</v>
      </c>
      <c r="AD488" t="s">
        <v>74</v>
      </c>
      <c r="AE488" t="s">
        <v>74</v>
      </c>
      <c r="AF488" t="s">
        <v>74</v>
      </c>
      <c r="AG488">
        <v>21</v>
      </c>
      <c r="AH488">
        <v>0</v>
      </c>
      <c r="AI488">
        <v>0</v>
      </c>
      <c r="AJ488">
        <v>0</v>
      </c>
      <c r="AK488">
        <v>2</v>
      </c>
      <c r="AL488" t="s">
        <v>7526</v>
      </c>
      <c r="AM488" t="s">
        <v>7527</v>
      </c>
      <c r="AN488" t="s">
        <v>7528</v>
      </c>
      <c r="AO488" t="s">
        <v>74</v>
      </c>
      <c r="AP488" t="s">
        <v>74</v>
      </c>
      <c r="AQ488" t="s">
        <v>7529</v>
      </c>
      <c r="AR488" t="s">
        <v>74</v>
      </c>
      <c r="AS488" t="s">
        <v>74</v>
      </c>
      <c r="AT488" t="s">
        <v>74</v>
      </c>
      <c r="AU488">
        <v>2012</v>
      </c>
      <c r="AV488" t="s">
        <v>74</v>
      </c>
      <c r="AW488" t="s">
        <v>74</v>
      </c>
      <c r="AX488" t="s">
        <v>74</v>
      </c>
      <c r="AY488" t="s">
        <v>74</v>
      </c>
      <c r="AZ488" t="s">
        <v>74</v>
      </c>
      <c r="BA488" t="s">
        <v>74</v>
      </c>
      <c r="BB488">
        <v>341</v>
      </c>
      <c r="BC488">
        <v>349</v>
      </c>
      <c r="BD488" t="s">
        <v>74</v>
      </c>
      <c r="BE488" t="s">
        <v>7530</v>
      </c>
      <c r="BF488" t="str">
        <f>HYPERLINK("http://dx.doi.org/10.4018/978-1-4666-1598-4.ch021","http://dx.doi.org/10.4018/978-1-4666-1598-4.ch021")</f>
        <v>http://dx.doi.org/10.4018/978-1-4666-1598-4.ch021</v>
      </c>
      <c r="BG488" t="s">
        <v>7531</v>
      </c>
      <c r="BH488" t="s">
        <v>74</v>
      </c>
      <c r="BI488">
        <v>9</v>
      </c>
      <c r="BJ488" t="s">
        <v>7532</v>
      </c>
      <c r="BK488" t="s">
        <v>2415</v>
      </c>
      <c r="BL488" t="s">
        <v>7533</v>
      </c>
      <c r="BM488" t="s">
        <v>7534</v>
      </c>
      <c r="BN488" t="s">
        <v>74</v>
      </c>
      <c r="BO488" t="s">
        <v>74</v>
      </c>
      <c r="BP488" t="s">
        <v>74</v>
      </c>
      <c r="BQ488" t="s">
        <v>74</v>
      </c>
      <c r="BR488" t="s">
        <v>6098</v>
      </c>
      <c r="BS488" t="s">
        <v>7535</v>
      </c>
      <c r="BT488" t="str">
        <f>HYPERLINK("https%3A%2F%2Fwww.webofscience.com%2Fwos%2Fwoscc%2Ffull-record%2FWOS:000419456400022","View Full Record in Web of Science")</f>
        <v>View Full Record in Web of Science</v>
      </c>
      <c r="BU488" t="s">
        <v>6100</v>
      </c>
      <c r="BV488" s="1" t="s">
        <v>6080</v>
      </c>
      <c r="BW488" s="1" t="s">
        <v>10653</v>
      </c>
    </row>
    <row r="489" spans="1:75" x14ac:dyDescent="0.35">
      <c r="A489" t="s">
        <v>72</v>
      </c>
      <c r="B489" t="s">
        <v>6973</v>
      </c>
      <c r="C489" t="s">
        <v>74</v>
      </c>
      <c r="D489" t="s">
        <v>74</v>
      </c>
      <c r="E489" t="s">
        <v>74</v>
      </c>
      <c r="F489" t="s">
        <v>6974</v>
      </c>
      <c r="G489" t="s">
        <v>74</v>
      </c>
      <c r="H489" t="s">
        <v>74</v>
      </c>
      <c r="I489" t="s">
        <v>6975</v>
      </c>
      <c r="J489" t="s">
        <v>6976</v>
      </c>
      <c r="K489" t="s">
        <v>74</v>
      </c>
      <c r="L489" t="s">
        <v>74</v>
      </c>
      <c r="M489" t="s">
        <v>78</v>
      </c>
      <c r="N489" t="s">
        <v>79</v>
      </c>
      <c r="O489" t="s">
        <v>74</v>
      </c>
      <c r="P489" t="s">
        <v>74</v>
      </c>
      <c r="Q489" t="s">
        <v>74</v>
      </c>
      <c r="R489" t="s">
        <v>74</v>
      </c>
      <c r="S489" t="s">
        <v>74</v>
      </c>
      <c r="T489" t="s">
        <v>6977</v>
      </c>
      <c r="U489" t="s">
        <v>6978</v>
      </c>
      <c r="V489" t="s">
        <v>6979</v>
      </c>
      <c r="W489" t="s">
        <v>6980</v>
      </c>
      <c r="X489" t="s">
        <v>6981</v>
      </c>
      <c r="Y489" t="s">
        <v>6982</v>
      </c>
      <c r="Z489" t="s">
        <v>6983</v>
      </c>
      <c r="AA489" t="s">
        <v>6984</v>
      </c>
      <c r="AB489" t="s">
        <v>74</v>
      </c>
      <c r="AC489" t="s">
        <v>74</v>
      </c>
      <c r="AD489" t="s">
        <v>74</v>
      </c>
      <c r="AE489" t="s">
        <v>74</v>
      </c>
      <c r="AF489" t="s">
        <v>74</v>
      </c>
      <c r="AG489">
        <v>99</v>
      </c>
      <c r="AH489">
        <v>4</v>
      </c>
      <c r="AI489">
        <v>4</v>
      </c>
      <c r="AJ489">
        <v>1</v>
      </c>
      <c r="AK489">
        <v>149</v>
      </c>
      <c r="AL489" t="s">
        <v>4737</v>
      </c>
      <c r="AM489" t="s">
        <v>4738</v>
      </c>
      <c r="AN489" t="s">
        <v>4739</v>
      </c>
      <c r="AO489" t="s">
        <v>6985</v>
      </c>
      <c r="AP489" t="s">
        <v>74</v>
      </c>
      <c r="AQ489" t="s">
        <v>74</v>
      </c>
      <c r="AR489" t="s">
        <v>6986</v>
      </c>
      <c r="AS489" t="s">
        <v>6987</v>
      </c>
      <c r="AT489" t="s">
        <v>213</v>
      </c>
      <c r="AU489">
        <v>2020</v>
      </c>
      <c r="AV489">
        <v>15</v>
      </c>
      <c r="AW489">
        <v>1</v>
      </c>
      <c r="AX489" t="s">
        <v>74</v>
      </c>
      <c r="AY489" t="s">
        <v>74</v>
      </c>
      <c r="AZ489" t="s">
        <v>74</v>
      </c>
      <c r="BA489" t="s">
        <v>74</v>
      </c>
      <c r="BB489">
        <v>48</v>
      </c>
      <c r="BC489">
        <v>65</v>
      </c>
      <c r="BD489" t="s">
        <v>74</v>
      </c>
      <c r="BE489" t="s">
        <v>6988</v>
      </c>
      <c r="BF489" t="str">
        <f>HYPERLINK("http://dx.doi.org/10.4067/S0718-18762020000100105","http://dx.doi.org/10.4067/S0718-18762020000100105")</f>
        <v>http://dx.doi.org/10.4067/S0718-18762020000100105</v>
      </c>
      <c r="BG489" t="s">
        <v>74</v>
      </c>
      <c r="BH489" t="s">
        <v>74</v>
      </c>
      <c r="BI489">
        <v>18</v>
      </c>
      <c r="BJ489" t="s">
        <v>153</v>
      </c>
      <c r="BK489" t="s">
        <v>101</v>
      </c>
      <c r="BL489" t="s">
        <v>154</v>
      </c>
      <c r="BM489" t="s">
        <v>6989</v>
      </c>
      <c r="BN489" t="s">
        <v>74</v>
      </c>
      <c r="BO489" t="s">
        <v>4746</v>
      </c>
      <c r="BP489" t="s">
        <v>74</v>
      </c>
      <c r="BQ489" t="s">
        <v>74</v>
      </c>
      <c r="BR489" t="s">
        <v>6098</v>
      </c>
      <c r="BS489" t="s">
        <v>6990</v>
      </c>
      <c r="BT489" t="str">
        <f>HYPERLINK("https%3A%2F%2Fwww.webofscience.com%2Fwos%2Fwoscc%2Ffull-record%2FWOS:000469468600005","View Full Record in Web of Science")</f>
        <v>View Full Record in Web of Science</v>
      </c>
      <c r="BU489" t="s">
        <v>6100</v>
      </c>
      <c r="BV489" s="1" t="s">
        <v>10653</v>
      </c>
    </row>
    <row r="490" spans="1:75" x14ac:dyDescent="0.35">
      <c r="A490" t="s">
        <v>72</v>
      </c>
      <c r="B490" t="s">
        <v>6991</v>
      </c>
      <c r="C490" t="s">
        <v>74</v>
      </c>
      <c r="D490" t="s">
        <v>74</v>
      </c>
      <c r="E490" t="s">
        <v>74</v>
      </c>
      <c r="F490" t="s">
        <v>5883</v>
      </c>
      <c r="G490" t="s">
        <v>74</v>
      </c>
      <c r="H490" t="s">
        <v>74</v>
      </c>
      <c r="I490" t="s">
        <v>5907</v>
      </c>
      <c r="J490" t="s">
        <v>6084</v>
      </c>
      <c r="K490" t="s">
        <v>74</v>
      </c>
      <c r="L490" t="s">
        <v>74</v>
      </c>
      <c r="M490" t="s">
        <v>78</v>
      </c>
      <c r="N490" t="s">
        <v>110</v>
      </c>
      <c r="O490" t="s">
        <v>74</v>
      </c>
      <c r="P490" t="s">
        <v>74</v>
      </c>
      <c r="Q490" t="s">
        <v>74</v>
      </c>
      <c r="R490" t="s">
        <v>74</v>
      </c>
      <c r="S490" t="s">
        <v>74</v>
      </c>
      <c r="T490" t="s">
        <v>6992</v>
      </c>
      <c r="U490" t="s">
        <v>6993</v>
      </c>
      <c r="V490" t="s">
        <v>6002</v>
      </c>
      <c r="W490" t="s">
        <v>6994</v>
      </c>
      <c r="X490" t="s">
        <v>6995</v>
      </c>
      <c r="Y490" t="s">
        <v>6996</v>
      </c>
      <c r="Z490" t="s">
        <v>6997</v>
      </c>
      <c r="AA490" t="s">
        <v>6998</v>
      </c>
      <c r="AB490" t="s">
        <v>6999</v>
      </c>
      <c r="AC490" t="s">
        <v>7000</v>
      </c>
      <c r="AD490" t="s">
        <v>7001</v>
      </c>
      <c r="AE490" t="s">
        <v>7002</v>
      </c>
      <c r="AF490" t="s">
        <v>74</v>
      </c>
      <c r="AG490">
        <v>89</v>
      </c>
      <c r="AH490">
        <v>65</v>
      </c>
      <c r="AI490">
        <v>66</v>
      </c>
      <c r="AJ490">
        <v>10</v>
      </c>
      <c r="AK490">
        <v>80</v>
      </c>
      <c r="AL490" t="s">
        <v>324</v>
      </c>
      <c r="AM490" t="s">
        <v>325</v>
      </c>
      <c r="AN490" t="s">
        <v>2004</v>
      </c>
      <c r="AO490" t="s">
        <v>6092</v>
      </c>
      <c r="AP490" t="s">
        <v>6093</v>
      </c>
      <c r="AQ490" t="s">
        <v>74</v>
      </c>
      <c r="AR490" t="s">
        <v>6094</v>
      </c>
      <c r="AS490" t="s">
        <v>6095</v>
      </c>
      <c r="AT490" t="s">
        <v>281</v>
      </c>
      <c r="AU490">
        <v>2020</v>
      </c>
      <c r="AV490">
        <v>90</v>
      </c>
      <c r="AW490" t="s">
        <v>74</v>
      </c>
      <c r="AX490" t="s">
        <v>74</v>
      </c>
      <c r="AY490" t="s">
        <v>74</v>
      </c>
      <c r="AZ490" t="s">
        <v>74</v>
      </c>
      <c r="BA490" t="s">
        <v>74</v>
      </c>
      <c r="BB490">
        <v>523</v>
      </c>
      <c r="BC490">
        <v>537</v>
      </c>
      <c r="BD490" t="s">
        <v>74</v>
      </c>
      <c r="BE490" t="s">
        <v>7003</v>
      </c>
      <c r="BF490" t="str">
        <f>HYPERLINK("http://dx.doi.org/10.1016/j.indmarman.2019.08.003","http://dx.doi.org/10.1016/j.indmarman.2019.08.003")</f>
        <v>http://dx.doi.org/10.1016/j.indmarman.2019.08.003</v>
      </c>
      <c r="BG490" t="s">
        <v>74</v>
      </c>
      <c r="BH490" t="s">
        <v>74</v>
      </c>
      <c r="BI490">
        <v>15</v>
      </c>
      <c r="BJ490" t="s">
        <v>877</v>
      </c>
      <c r="BK490" t="s">
        <v>101</v>
      </c>
      <c r="BL490" t="s">
        <v>154</v>
      </c>
      <c r="BM490" t="s">
        <v>6804</v>
      </c>
      <c r="BN490" t="s">
        <v>74</v>
      </c>
      <c r="BO490" t="s">
        <v>74</v>
      </c>
      <c r="BP490" t="s">
        <v>74</v>
      </c>
      <c r="BQ490" t="s">
        <v>74</v>
      </c>
      <c r="BR490" t="s">
        <v>6098</v>
      </c>
      <c r="BS490" t="s">
        <v>7004</v>
      </c>
      <c r="BT490" t="str">
        <f>HYPERLINK("https%3A%2F%2Fwww.webofscience.com%2Fwos%2Fwoscc%2Ffull-record%2FWOS:000579880200040","View Full Record in Web of Science")</f>
        <v>View Full Record in Web of Science</v>
      </c>
      <c r="BU490" t="s">
        <v>6100</v>
      </c>
      <c r="BV490" s="1" t="s">
        <v>6080</v>
      </c>
      <c r="BW490" s="1" t="s">
        <v>6080</v>
      </c>
    </row>
    <row r="491" spans="1:75" x14ac:dyDescent="0.35">
      <c r="A491" t="s">
        <v>72</v>
      </c>
      <c r="B491" t="s">
        <v>5063</v>
      </c>
      <c r="C491" t="s">
        <v>74</v>
      </c>
      <c r="D491" t="s">
        <v>74</v>
      </c>
      <c r="E491" t="s">
        <v>74</v>
      </c>
      <c r="F491" t="s">
        <v>5064</v>
      </c>
      <c r="G491" t="s">
        <v>74</v>
      </c>
      <c r="H491" t="s">
        <v>74</v>
      </c>
      <c r="I491" t="s">
        <v>5065</v>
      </c>
      <c r="J491" t="s">
        <v>5066</v>
      </c>
      <c r="K491" t="s">
        <v>74</v>
      </c>
      <c r="L491" t="s">
        <v>74</v>
      </c>
      <c r="M491" t="s">
        <v>78</v>
      </c>
      <c r="N491" t="s">
        <v>79</v>
      </c>
      <c r="O491" t="s">
        <v>74</v>
      </c>
      <c r="P491" t="s">
        <v>74</v>
      </c>
      <c r="Q491" t="s">
        <v>74</v>
      </c>
      <c r="R491" t="s">
        <v>74</v>
      </c>
      <c r="S491" t="s">
        <v>74</v>
      </c>
      <c r="T491" t="s">
        <v>5067</v>
      </c>
      <c r="U491" t="s">
        <v>5068</v>
      </c>
      <c r="V491" t="s">
        <v>5069</v>
      </c>
      <c r="W491" t="s">
        <v>5070</v>
      </c>
      <c r="X491" t="s">
        <v>5071</v>
      </c>
      <c r="Y491" t="s">
        <v>5072</v>
      </c>
      <c r="Z491" t="s">
        <v>5073</v>
      </c>
      <c r="AA491" t="s">
        <v>5074</v>
      </c>
      <c r="AB491" t="s">
        <v>5075</v>
      </c>
      <c r="AC491" t="s">
        <v>74</v>
      </c>
      <c r="AD491" t="s">
        <v>74</v>
      </c>
      <c r="AE491" t="s">
        <v>74</v>
      </c>
      <c r="AF491" t="s">
        <v>74</v>
      </c>
      <c r="AG491">
        <v>62</v>
      </c>
      <c r="AH491">
        <v>21</v>
      </c>
      <c r="AI491">
        <v>21</v>
      </c>
      <c r="AJ491">
        <v>5</v>
      </c>
      <c r="AK491">
        <v>38</v>
      </c>
      <c r="AL491" t="s">
        <v>1982</v>
      </c>
      <c r="AM491" t="s">
        <v>1983</v>
      </c>
      <c r="AN491" t="s">
        <v>2573</v>
      </c>
      <c r="AO491" t="s">
        <v>5076</v>
      </c>
      <c r="AP491" t="s">
        <v>5077</v>
      </c>
      <c r="AQ491" t="s">
        <v>74</v>
      </c>
      <c r="AR491" t="s">
        <v>5078</v>
      </c>
      <c r="AS491" t="s">
        <v>5079</v>
      </c>
      <c r="AT491" t="s">
        <v>5080</v>
      </c>
      <c r="AU491">
        <v>2020</v>
      </c>
      <c r="AV491">
        <v>54</v>
      </c>
      <c r="AW491">
        <v>2</v>
      </c>
      <c r="AX491" t="s">
        <v>74</v>
      </c>
      <c r="AY491" t="s">
        <v>74</v>
      </c>
      <c r="AZ491" t="s">
        <v>74</v>
      </c>
      <c r="BA491" t="s">
        <v>74</v>
      </c>
      <c r="BB491">
        <v>305</v>
      </c>
      <c r="BC491">
        <v>326</v>
      </c>
      <c r="BD491" t="s">
        <v>74</v>
      </c>
      <c r="BE491" t="s">
        <v>5081</v>
      </c>
      <c r="BF491" t="str">
        <f>HYPERLINK("http://dx.doi.org/10.1108/EJM-01-2019-0083","http://dx.doi.org/10.1108/EJM-01-2019-0083")</f>
        <v>http://dx.doi.org/10.1108/EJM-01-2019-0083</v>
      </c>
      <c r="BG491" t="s">
        <v>74</v>
      </c>
      <c r="BH491" t="s">
        <v>74</v>
      </c>
      <c r="BI491">
        <v>22</v>
      </c>
      <c r="BJ491" t="s">
        <v>153</v>
      </c>
      <c r="BK491" t="s">
        <v>101</v>
      </c>
      <c r="BL491" t="s">
        <v>154</v>
      </c>
      <c r="BM491" t="s">
        <v>5082</v>
      </c>
      <c r="BN491" t="s">
        <v>74</v>
      </c>
      <c r="BO491" t="s">
        <v>156</v>
      </c>
      <c r="BP491" t="s">
        <v>74</v>
      </c>
      <c r="BQ491" t="s">
        <v>74</v>
      </c>
      <c r="BR491" t="s">
        <v>6098</v>
      </c>
      <c r="BS491" t="s">
        <v>5083</v>
      </c>
      <c r="BT491" t="str">
        <f>HYPERLINK("https%3A%2F%2Fwww.webofscience.com%2Fwos%2Fwoscc%2Ffull-record%2FWOS:000511445400001","View Full Record in Web of Science")</f>
        <v>View Full Record in Web of Science</v>
      </c>
      <c r="BU491" t="s">
        <v>6100</v>
      </c>
      <c r="BV491" s="1" t="s">
        <v>6080</v>
      </c>
      <c r="BW491" s="1" t="s">
        <v>6080</v>
      </c>
    </row>
    <row r="492" spans="1:75" ht="290" x14ac:dyDescent="0.35">
      <c r="A492" t="s">
        <v>72</v>
      </c>
      <c r="B492" t="s">
        <v>7073</v>
      </c>
      <c r="C492" t="s">
        <v>74</v>
      </c>
      <c r="D492" t="s">
        <v>74</v>
      </c>
      <c r="E492" t="s">
        <v>74</v>
      </c>
      <c r="F492" t="s">
        <v>7074</v>
      </c>
      <c r="G492" t="s">
        <v>74</v>
      </c>
      <c r="H492" t="s">
        <v>74</v>
      </c>
      <c r="I492" t="s">
        <v>7075</v>
      </c>
      <c r="J492" t="s">
        <v>7076</v>
      </c>
      <c r="K492" t="s">
        <v>74</v>
      </c>
      <c r="L492" t="s">
        <v>74</v>
      </c>
      <c r="M492" t="s">
        <v>78</v>
      </c>
      <c r="N492" t="s">
        <v>79</v>
      </c>
      <c r="O492" t="s">
        <v>74</v>
      </c>
      <c r="P492" t="s">
        <v>74</v>
      </c>
      <c r="Q492" t="s">
        <v>74</v>
      </c>
      <c r="R492" t="s">
        <v>74</v>
      </c>
      <c r="S492" t="s">
        <v>74</v>
      </c>
      <c r="T492" t="s">
        <v>7077</v>
      </c>
      <c r="U492" t="s">
        <v>7078</v>
      </c>
      <c r="V492" s="1" t="s">
        <v>7079</v>
      </c>
      <c r="W492" t="s">
        <v>7080</v>
      </c>
      <c r="X492" t="s">
        <v>7081</v>
      </c>
      <c r="Y492" t="s">
        <v>7082</v>
      </c>
      <c r="Z492" t="s">
        <v>7083</v>
      </c>
      <c r="AA492" t="s">
        <v>74</v>
      </c>
      <c r="AB492" t="s">
        <v>74</v>
      </c>
      <c r="AC492" t="s">
        <v>74</v>
      </c>
      <c r="AD492" t="s">
        <v>74</v>
      </c>
      <c r="AE492" t="s">
        <v>74</v>
      </c>
      <c r="AF492" t="s">
        <v>74</v>
      </c>
      <c r="AG492">
        <v>64</v>
      </c>
      <c r="AH492">
        <v>2</v>
      </c>
      <c r="AI492">
        <v>2</v>
      </c>
      <c r="AJ492">
        <v>1</v>
      </c>
      <c r="AK492">
        <v>1</v>
      </c>
      <c r="AL492" t="s">
        <v>7084</v>
      </c>
      <c r="AM492" t="s">
        <v>7085</v>
      </c>
      <c r="AN492" t="s">
        <v>7086</v>
      </c>
      <c r="AO492" t="s">
        <v>7087</v>
      </c>
      <c r="AP492" t="s">
        <v>7088</v>
      </c>
      <c r="AQ492" t="s">
        <v>74</v>
      </c>
      <c r="AR492" t="s">
        <v>7089</v>
      </c>
      <c r="AS492" t="s">
        <v>7090</v>
      </c>
      <c r="AT492" t="s">
        <v>74</v>
      </c>
      <c r="AU492">
        <v>2020</v>
      </c>
      <c r="AV492">
        <v>14</v>
      </c>
      <c r="AW492">
        <v>1</v>
      </c>
      <c r="AX492" t="s">
        <v>74</v>
      </c>
      <c r="AY492" t="s">
        <v>74</v>
      </c>
      <c r="AZ492" t="s">
        <v>74</v>
      </c>
      <c r="BA492" t="s">
        <v>74</v>
      </c>
      <c r="BB492">
        <v>91</v>
      </c>
      <c r="BC492">
        <v>111</v>
      </c>
      <c r="BD492" t="s">
        <v>74</v>
      </c>
      <c r="BE492" t="s">
        <v>7091</v>
      </c>
      <c r="BF492" t="str">
        <f>HYPERLINK("http://dx.doi.org/10.1504/IJIMA.2020.106041","http://dx.doi.org/10.1504/IJIMA.2020.106041")</f>
        <v>http://dx.doi.org/10.1504/IJIMA.2020.106041</v>
      </c>
      <c r="BG492" t="s">
        <v>74</v>
      </c>
      <c r="BH492" t="s">
        <v>74</v>
      </c>
      <c r="BI492">
        <v>21</v>
      </c>
      <c r="BJ492" t="s">
        <v>153</v>
      </c>
      <c r="BK492" t="s">
        <v>3880</v>
      </c>
      <c r="BL492" t="s">
        <v>154</v>
      </c>
      <c r="BM492" t="s">
        <v>7092</v>
      </c>
      <c r="BN492" t="s">
        <v>74</v>
      </c>
      <c r="BO492" t="s">
        <v>828</v>
      </c>
      <c r="BP492" t="s">
        <v>74</v>
      </c>
      <c r="BQ492" t="s">
        <v>74</v>
      </c>
      <c r="BR492" t="s">
        <v>6098</v>
      </c>
      <c r="BS492" t="s">
        <v>7093</v>
      </c>
      <c r="BT492" t="str">
        <f>HYPERLINK("https%3A%2F%2Fwww.webofscience.com%2Fwos%2Fwoscc%2Ffull-record%2FWOS:000892580100005","View Full Record in Web of Science")</f>
        <v>View Full Record in Web of Science</v>
      </c>
      <c r="BU492" t="s">
        <v>6100</v>
      </c>
      <c r="BV492" s="1" t="s">
        <v>6080</v>
      </c>
      <c r="BW492" s="1" t="s">
        <v>6080</v>
      </c>
    </row>
    <row r="493" spans="1:75" x14ac:dyDescent="0.35">
      <c r="A493" t="s">
        <v>72</v>
      </c>
      <c r="B493" t="s">
        <v>7237</v>
      </c>
      <c r="C493" t="s">
        <v>74</v>
      </c>
      <c r="D493" t="s">
        <v>74</v>
      </c>
      <c r="E493" t="s">
        <v>74</v>
      </c>
      <c r="F493" t="s">
        <v>7238</v>
      </c>
      <c r="G493" t="s">
        <v>74</v>
      </c>
      <c r="H493" t="s">
        <v>74</v>
      </c>
      <c r="I493" t="s">
        <v>7239</v>
      </c>
      <c r="J493" t="s">
        <v>6581</v>
      </c>
      <c r="K493" t="s">
        <v>74</v>
      </c>
      <c r="L493" t="s">
        <v>74</v>
      </c>
      <c r="M493" t="s">
        <v>78</v>
      </c>
      <c r="N493" t="s">
        <v>79</v>
      </c>
      <c r="O493" t="s">
        <v>74</v>
      </c>
      <c r="P493" t="s">
        <v>74</v>
      </c>
      <c r="Q493" t="s">
        <v>74</v>
      </c>
      <c r="R493" t="s">
        <v>74</v>
      </c>
      <c r="S493" t="s">
        <v>74</v>
      </c>
      <c r="T493" t="s">
        <v>7240</v>
      </c>
      <c r="U493" t="s">
        <v>7241</v>
      </c>
      <c r="V493" t="s">
        <v>7242</v>
      </c>
      <c r="W493" t="s">
        <v>7243</v>
      </c>
      <c r="X493" t="s">
        <v>7244</v>
      </c>
      <c r="Y493" t="s">
        <v>7245</v>
      </c>
      <c r="Z493" t="s">
        <v>7246</v>
      </c>
      <c r="AA493" t="s">
        <v>7247</v>
      </c>
      <c r="AB493" t="s">
        <v>7248</v>
      </c>
      <c r="AC493" t="s">
        <v>74</v>
      </c>
      <c r="AD493" t="s">
        <v>74</v>
      </c>
      <c r="AE493" t="s">
        <v>74</v>
      </c>
      <c r="AF493" t="s">
        <v>74</v>
      </c>
      <c r="AG493">
        <v>142</v>
      </c>
      <c r="AH493">
        <v>4</v>
      </c>
      <c r="AI493">
        <v>4</v>
      </c>
      <c r="AJ493">
        <v>2</v>
      </c>
      <c r="AK493">
        <v>16</v>
      </c>
      <c r="AL493" t="s">
        <v>1982</v>
      </c>
      <c r="AM493" t="s">
        <v>1983</v>
      </c>
      <c r="AN493" t="s">
        <v>2573</v>
      </c>
      <c r="AO493" t="s">
        <v>6591</v>
      </c>
      <c r="AP493" t="s">
        <v>6592</v>
      </c>
      <c r="AQ493" t="s">
        <v>74</v>
      </c>
      <c r="AR493" t="s">
        <v>6593</v>
      </c>
      <c r="AS493" t="s">
        <v>6594</v>
      </c>
      <c r="AT493" t="s">
        <v>74</v>
      </c>
      <c r="AU493">
        <v>2020</v>
      </c>
      <c r="AV493">
        <v>29</v>
      </c>
      <c r="AW493">
        <v>3</v>
      </c>
      <c r="AX493" t="s">
        <v>74</v>
      </c>
      <c r="AY493" t="s">
        <v>74</v>
      </c>
      <c r="AZ493" t="s">
        <v>74</v>
      </c>
      <c r="BA493" t="s">
        <v>74</v>
      </c>
      <c r="BB493">
        <v>335</v>
      </c>
      <c r="BC493">
        <v>354</v>
      </c>
      <c r="BD493" t="s">
        <v>74</v>
      </c>
      <c r="BE493" t="s">
        <v>7249</v>
      </c>
      <c r="BF493" t="str">
        <f>HYPERLINK("http://dx.doi.org/10.1108/JPBM-09-2018-2037","http://dx.doi.org/10.1108/JPBM-09-2018-2037")</f>
        <v>http://dx.doi.org/10.1108/JPBM-09-2018-2037</v>
      </c>
      <c r="BG493" t="s">
        <v>74</v>
      </c>
      <c r="BH493" t="s">
        <v>74</v>
      </c>
      <c r="BI493">
        <v>20</v>
      </c>
      <c r="BJ493" t="s">
        <v>877</v>
      </c>
      <c r="BK493" t="s">
        <v>101</v>
      </c>
      <c r="BL493" t="s">
        <v>154</v>
      </c>
      <c r="BM493" t="s">
        <v>6596</v>
      </c>
      <c r="BN493" t="s">
        <v>74</v>
      </c>
      <c r="BO493" t="s">
        <v>156</v>
      </c>
      <c r="BP493" t="s">
        <v>74</v>
      </c>
      <c r="BQ493" t="s">
        <v>74</v>
      </c>
      <c r="BR493" t="s">
        <v>6098</v>
      </c>
      <c r="BS493" t="s">
        <v>7250</v>
      </c>
      <c r="BT493" t="str">
        <f>HYPERLINK("https%3A%2F%2Fwww.webofscience.com%2Fwos%2Fwoscc%2Ffull-record%2FWOS:000565539000006","View Full Record in Web of Science")</f>
        <v>View Full Record in Web of Science</v>
      </c>
      <c r="BU493" t="s">
        <v>6100</v>
      </c>
      <c r="BV493" s="1" t="s">
        <v>6080</v>
      </c>
      <c r="BW493" s="1" t="s">
        <v>6080</v>
      </c>
    </row>
    <row r="494" spans="1:75" x14ac:dyDescent="0.35">
      <c r="A494" t="s">
        <v>72</v>
      </c>
      <c r="B494" t="s">
        <v>7314</v>
      </c>
      <c r="C494" t="s">
        <v>74</v>
      </c>
      <c r="D494" t="s">
        <v>74</v>
      </c>
      <c r="E494" t="s">
        <v>74</v>
      </c>
      <c r="F494" t="s">
        <v>7315</v>
      </c>
      <c r="G494" t="s">
        <v>74</v>
      </c>
      <c r="H494" t="s">
        <v>74</v>
      </c>
      <c r="I494" t="s">
        <v>7316</v>
      </c>
      <c r="J494" t="s">
        <v>6220</v>
      </c>
      <c r="K494" t="s">
        <v>74</v>
      </c>
      <c r="L494" t="s">
        <v>74</v>
      </c>
      <c r="M494" t="s">
        <v>78</v>
      </c>
      <c r="N494" t="s">
        <v>79</v>
      </c>
      <c r="O494" t="s">
        <v>74</v>
      </c>
      <c r="P494" t="s">
        <v>74</v>
      </c>
      <c r="Q494" t="s">
        <v>74</v>
      </c>
      <c r="R494" t="s">
        <v>74</v>
      </c>
      <c r="S494" t="s">
        <v>74</v>
      </c>
      <c r="T494" t="s">
        <v>74</v>
      </c>
      <c r="U494" t="s">
        <v>7317</v>
      </c>
      <c r="V494" t="s">
        <v>7318</v>
      </c>
      <c r="W494" t="s">
        <v>7319</v>
      </c>
      <c r="X494" t="s">
        <v>7320</v>
      </c>
      <c r="Y494" t="s">
        <v>7321</v>
      </c>
      <c r="Z494" t="s">
        <v>7322</v>
      </c>
      <c r="AA494" t="s">
        <v>74</v>
      </c>
      <c r="AB494" t="s">
        <v>7323</v>
      </c>
      <c r="AC494" t="s">
        <v>74</v>
      </c>
      <c r="AD494" t="s">
        <v>74</v>
      </c>
      <c r="AE494" t="s">
        <v>74</v>
      </c>
      <c r="AF494" t="s">
        <v>74</v>
      </c>
      <c r="AG494">
        <v>60</v>
      </c>
      <c r="AH494">
        <v>7</v>
      </c>
      <c r="AI494">
        <v>8</v>
      </c>
      <c r="AJ494">
        <v>7</v>
      </c>
      <c r="AK494">
        <v>32</v>
      </c>
      <c r="AL494" t="s">
        <v>206</v>
      </c>
      <c r="AM494" t="s">
        <v>207</v>
      </c>
      <c r="AN494" t="s">
        <v>208</v>
      </c>
      <c r="AO494" t="s">
        <v>6226</v>
      </c>
      <c r="AP494" t="s">
        <v>6227</v>
      </c>
      <c r="AQ494" t="s">
        <v>74</v>
      </c>
      <c r="AR494" t="s">
        <v>6228</v>
      </c>
      <c r="AS494" t="s">
        <v>6229</v>
      </c>
      <c r="AT494" t="s">
        <v>213</v>
      </c>
      <c r="AU494">
        <v>2020</v>
      </c>
      <c r="AV494">
        <v>19</v>
      </c>
      <c r="AW494">
        <v>1</v>
      </c>
      <c r="AX494" t="s">
        <v>74</v>
      </c>
      <c r="AY494" t="s">
        <v>74</v>
      </c>
      <c r="AZ494" t="s">
        <v>74</v>
      </c>
      <c r="BA494" t="s">
        <v>74</v>
      </c>
      <c r="BB494">
        <v>80</v>
      </c>
      <c r="BC494">
        <v>95</v>
      </c>
      <c r="BD494" t="s">
        <v>74</v>
      </c>
      <c r="BE494" t="s">
        <v>7324</v>
      </c>
      <c r="BF494" t="str">
        <f>HYPERLINK("http://dx.doi.org/10.1002/cb.1796","http://dx.doi.org/10.1002/cb.1796")</f>
        <v>http://dx.doi.org/10.1002/cb.1796</v>
      </c>
      <c r="BG494" t="s">
        <v>74</v>
      </c>
      <c r="BH494" t="s">
        <v>74</v>
      </c>
      <c r="BI494">
        <v>16</v>
      </c>
      <c r="BJ494" t="s">
        <v>153</v>
      </c>
      <c r="BK494" t="s">
        <v>101</v>
      </c>
      <c r="BL494" t="s">
        <v>154</v>
      </c>
      <c r="BM494" t="s">
        <v>7325</v>
      </c>
      <c r="BN494" t="s">
        <v>74</v>
      </c>
      <c r="BO494" t="s">
        <v>74</v>
      </c>
      <c r="BP494" t="s">
        <v>74</v>
      </c>
      <c r="BQ494" t="s">
        <v>74</v>
      </c>
      <c r="BR494" t="s">
        <v>6098</v>
      </c>
      <c r="BS494" t="s">
        <v>7326</v>
      </c>
      <c r="BT494" t="str">
        <f>HYPERLINK("https%3A%2F%2Fwww.webofscience.com%2Fwos%2Fwoscc%2Ffull-record%2FWOS:000506684100008","View Full Record in Web of Science")</f>
        <v>View Full Record in Web of Science</v>
      </c>
      <c r="BU494" t="s">
        <v>6100</v>
      </c>
      <c r="BV494" s="1" t="s">
        <v>6080</v>
      </c>
      <c r="BW494" s="1" t="s">
        <v>6080</v>
      </c>
    </row>
    <row r="495" spans="1:75" x14ac:dyDescent="0.35">
      <c r="A495" t="s">
        <v>72</v>
      </c>
      <c r="B495" t="s">
        <v>7458</v>
      </c>
      <c r="C495" t="s">
        <v>74</v>
      </c>
      <c r="D495" t="s">
        <v>74</v>
      </c>
      <c r="E495" t="s">
        <v>74</v>
      </c>
      <c r="F495" t="s">
        <v>7459</v>
      </c>
      <c r="G495" t="s">
        <v>74</v>
      </c>
      <c r="H495" t="s">
        <v>74</v>
      </c>
      <c r="I495" t="s">
        <v>7460</v>
      </c>
      <c r="J495" t="s">
        <v>7461</v>
      </c>
      <c r="K495" t="s">
        <v>74</v>
      </c>
      <c r="L495" t="s">
        <v>74</v>
      </c>
      <c r="M495" t="s">
        <v>78</v>
      </c>
      <c r="N495" t="s">
        <v>79</v>
      </c>
      <c r="O495" t="s">
        <v>74</v>
      </c>
      <c r="P495" t="s">
        <v>74</v>
      </c>
      <c r="Q495" t="s">
        <v>74</v>
      </c>
      <c r="R495" t="s">
        <v>74</v>
      </c>
      <c r="S495" t="s">
        <v>74</v>
      </c>
      <c r="T495" t="s">
        <v>7462</v>
      </c>
      <c r="U495" t="s">
        <v>7463</v>
      </c>
      <c r="V495" t="s">
        <v>7464</v>
      </c>
      <c r="W495" t="s">
        <v>7465</v>
      </c>
      <c r="X495" t="s">
        <v>7466</v>
      </c>
      <c r="Y495" t="s">
        <v>7467</v>
      </c>
      <c r="Z495" t="s">
        <v>7468</v>
      </c>
      <c r="AA495" t="s">
        <v>7469</v>
      </c>
      <c r="AB495" t="s">
        <v>7470</v>
      </c>
      <c r="AC495" t="s">
        <v>74</v>
      </c>
      <c r="AD495" t="s">
        <v>74</v>
      </c>
      <c r="AE495" t="s">
        <v>74</v>
      </c>
      <c r="AF495" t="s">
        <v>74</v>
      </c>
      <c r="AG495">
        <v>75</v>
      </c>
      <c r="AH495">
        <v>9</v>
      </c>
      <c r="AI495">
        <v>9</v>
      </c>
      <c r="AJ495">
        <v>0</v>
      </c>
      <c r="AK495">
        <v>15</v>
      </c>
      <c r="AL495" t="s">
        <v>1982</v>
      </c>
      <c r="AM495" t="s">
        <v>1983</v>
      </c>
      <c r="AN495" t="s">
        <v>2573</v>
      </c>
      <c r="AO495" t="s">
        <v>7471</v>
      </c>
      <c r="AP495" t="s">
        <v>7472</v>
      </c>
      <c r="AQ495" t="s">
        <v>74</v>
      </c>
      <c r="AR495" t="s">
        <v>7473</v>
      </c>
      <c r="AS495" t="s">
        <v>7474</v>
      </c>
      <c r="AT495" t="s">
        <v>7475</v>
      </c>
      <c r="AU495">
        <v>2020</v>
      </c>
      <c r="AV495">
        <v>23</v>
      </c>
      <c r="AW495">
        <v>1</v>
      </c>
      <c r="AX495" t="s">
        <v>74</v>
      </c>
      <c r="AY495" t="s">
        <v>74</v>
      </c>
      <c r="AZ495" t="s">
        <v>74</v>
      </c>
      <c r="BA495" t="s">
        <v>74</v>
      </c>
      <c r="BB495">
        <v>109</v>
      </c>
      <c r="BC495">
        <v>121</v>
      </c>
      <c r="BD495" t="s">
        <v>74</v>
      </c>
      <c r="BE495" t="s">
        <v>7476</v>
      </c>
      <c r="BF495" t="str">
        <f>HYPERLINK("http://dx.doi.org/10.1108/QMR-12-2017-0183","http://dx.doi.org/10.1108/QMR-12-2017-0183")</f>
        <v>http://dx.doi.org/10.1108/QMR-12-2017-0183</v>
      </c>
      <c r="BG495" t="s">
        <v>74</v>
      </c>
      <c r="BH495" t="s">
        <v>7477</v>
      </c>
      <c r="BI495">
        <v>13</v>
      </c>
      <c r="BJ495" t="s">
        <v>153</v>
      </c>
      <c r="BK495" t="s">
        <v>3880</v>
      </c>
      <c r="BL495" t="s">
        <v>154</v>
      </c>
      <c r="BM495" t="s">
        <v>7478</v>
      </c>
      <c r="BN495" t="s">
        <v>74</v>
      </c>
      <c r="BO495" t="s">
        <v>74</v>
      </c>
      <c r="BP495" t="s">
        <v>74</v>
      </c>
      <c r="BQ495" t="s">
        <v>74</v>
      </c>
      <c r="BR495" t="s">
        <v>6098</v>
      </c>
      <c r="BS495" t="s">
        <v>7479</v>
      </c>
      <c r="BT495" t="str">
        <f>HYPERLINK("https%3A%2F%2Fwww.webofscience.com%2Fwos%2Fwoscc%2Ffull-record%2FWOS:000512300000001","View Full Record in Web of Science")</f>
        <v>View Full Record in Web of Science</v>
      </c>
      <c r="BU495" t="s">
        <v>6100</v>
      </c>
      <c r="BV495" s="1" t="s">
        <v>6080</v>
      </c>
      <c r="BW495" s="1" t="s">
        <v>6080</v>
      </c>
    </row>
    <row r="496" spans="1:75" x14ac:dyDescent="0.35">
      <c r="A496" t="s">
        <v>72</v>
      </c>
      <c r="B496" t="s">
        <v>7536</v>
      </c>
      <c r="C496" t="s">
        <v>74</v>
      </c>
      <c r="D496" t="s">
        <v>74</v>
      </c>
      <c r="E496" t="s">
        <v>74</v>
      </c>
      <c r="F496" t="s">
        <v>7537</v>
      </c>
      <c r="G496" t="s">
        <v>74</v>
      </c>
      <c r="H496" t="s">
        <v>74</v>
      </c>
      <c r="I496" t="s">
        <v>7538</v>
      </c>
      <c r="J496" t="s">
        <v>6084</v>
      </c>
      <c r="K496" t="s">
        <v>74</v>
      </c>
      <c r="L496" t="s">
        <v>74</v>
      </c>
      <c r="M496" t="s">
        <v>78</v>
      </c>
      <c r="N496" t="s">
        <v>79</v>
      </c>
      <c r="O496" t="s">
        <v>74</v>
      </c>
      <c r="P496" t="s">
        <v>74</v>
      </c>
      <c r="Q496" t="s">
        <v>74</v>
      </c>
      <c r="R496" t="s">
        <v>74</v>
      </c>
      <c r="S496" t="s">
        <v>74</v>
      </c>
      <c r="T496" t="s">
        <v>7539</v>
      </c>
      <c r="U496" t="s">
        <v>7540</v>
      </c>
      <c r="V496" t="s">
        <v>7541</v>
      </c>
      <c r="W496" t="s">
        <v>7542</v>
      </c>
      <c r="X496" t="s">
        <v>7543</v>
      </c>
      <c r="Y496" t="s">
        <v>7544</v>
      </c>
      <c r="Z496" t="s">
        <v>7545</v>
      </c>
      <c r="AA496" t="s">
        <v>7546</v>
      </c>
      <c r="AB496" t="s">
        <v>7547</v>
      </c>
      <c r="AC496" t="s">
        <v>7548</v>
      </c>
      <c r="AD496" t="s">
        <v>7549</v>
      </c>
      <c r="AE496" t="s">
        <v>7550</v>
      </c>
      <c r="AF496" t="s">
        <v>74</v>
      </c>
      <c r="AG496">
        <v>50</v>
      </c>
      <c r="AH496">
        <v>26</v>
      </c>
      <c r="AI496">
        <v>26</v>
      </c>
      <c r="AJ496">
        <v>6</v>
      </c>
      <c r="AK496">
        <v>36</v>
      </c>
      <c r="AL496" t="s">
        <v>324</v>
      </c>
      <c r="AM496" t="s">
        <v>325</v>
      </c>
      <c r="AN496" t="s">
        <v>2004</v>
      </c>
      <c r="AO496" t="s">
        <v>6092</v>
      </c>
      <c r="AP496" t="s">
        <v>6093</v>
      </c>
      <c r="AQ496" t="s">
        <v>74</v>
      </c>
      <c r="AR496" t="s">
        <v>6094</v>
      </c>
      <c r="AS496" t="s">
        <v>6095</v>
      </c>
      <c r="AT496" t="s">
        <v>281</v>
      </c>
      <c r="AU496">
        <v>2020</v>
      </c>
      <c r="AV496">
        <v>90</v>
      </c>
      <c r="AW496" t="s">
        <v>74</v>
      </c>
      <c r="AX496" t="s">
        <v>74</v>
      </c>
      <c r="AY496" t="s">
        <v>74</v>
      </c>
      <c r="AZ496" t="s">
        <v>74</v>
      </c>
      <c r="BA496" t="s">
        <v>74</v>
      </c>
      <c r="BB496">
        <v>593</v>
      </c>
      <c r="BC496">
        <v>604</v>
      </c>
      <c r="BD496" t="s">
        <v>74</v>
      </c>
      <c r="BE496" t="s">
        <v>7551</v>
      </c>
      <c r="BF496" t="str">
        <f>HYPERLINK("http://dx.doi.org/10.1016/j.indmarman.2019.11.014","http://dx.doi.org/10.1016/j.indmarman.2019.11.014")</f>
        <v>http://dx.doi.org/10.1016/j.indmarman.2019.11.014</v>
      </c>
      <c r="BG496" t="s">
        <v>74</v>
      </c>
      <c r="BH496" t="s">
        <v>74</v>
      </c>
      <c r="BI496">
        <v>12</v>
      </c>
      <c r="BJ496" t="s">
        <v>877</v>
      </c>
      <c r="BK496" t="s">
        <v>101</v>
      </c>
      <c r="BL496" t="s">
        <v>154</v>
      </c>
      <c r="BM496" t="s">
        <v>6804</v>
      </c>
      <c r="BN496" t="s">
        <v>74</v>
      </c>
      <c r="BO496" t="s">
        <v>74</v>
      </c>
      <c r="BP496" t="s">
        <v>74</v>
      </c>
      <c r="BQ496" t="s">
        <v>74</v>
      </c>
      <c r="BR496" t="s">
        <v>6098</v>
      </c>
      <c r="BS496" t="s">
        <v>7552</v>
      </c>
      <c r="BT496" t="str">
        <f>HYPERLINK("https%3A%2F%2Fwww.webofscience.com%2Fwos%2Fwoscc%2Ffull-record%2FWOS:000579880200045","View Full Record in Web of Science")</f>
        <v>View Full Record in Web of Science</v>
      </c>
      <c r="BU496" t="s">
        <v>6100</v>
      </c>
      <c r="BV496" s="1" t="s">
        <v>6080</v>
      </c>
      <c r="BW496" s="1" t="s">
        <v>6080</v>
      </c>
    </row>
    <row r="497" spans="1:75" x14ac:dyDescent="0.35">
      <c r="A497" t="s">
        <v>72</v>
      </c>
      <c r="B497" t="s">
        <v>7553</v>
      </c>
      <c r="C497" t="s">
        <v>74</v>
      </c>
      <c r="D497" t="s">
        <v>74</v>
      </c>
      <c r="E497" t="s">
        <v>74</v>
      </c>
      <c r="F497" t="s">
        <v>7554</v>
      </c>
      <c r="G497" t="s">
        <v>74</v>
      </c>
      <c r="H497" t="s">
        <v>74</v>
      </c>
      <c r="I497" t="s">
        <v>7555</v>
      </c>
      <c r="J497" t="s">
        <v>7556</v>
      </c>
      <c r="K497" t="s">
        <v>74</v>
      </c>
      <c r="L497" t="s">
        <v>74</v>
      </c>
      <c r="M497" t="s">
        <v>78</v>
      </c>
      <c r="N497" t="s">
        <v>79</v>
      </c>
      <c r="O497" t="s">
        <v>74</v>
      </c>
      <c r="P497" t="s">
        <v>74</v>
      </c>
      <c r="Q497" t="s">
        <v>74</v>
      </c>
      <c r="R497" t="s">
        <v>74</v>
      </c>
      <c r="S497" t="s">
        <v>74</v>
      </c>
      <c r="T497" t="s">
        <v>7557</v>
      </c>
      <c r="U497" t="s">
        <v>7558</v>
      </c>
      <c r="V497" t="s">
        <v>7559</v>
      </c>
      <c r="W497" t="s">
        <v>7560</v>
      </c>
      <c r="X497" t="s">
        <v>7561</v>
      </c>
      <c r="Y497" t="s">
        <v>7562</v>
      </c>
      <c r="Z497" t="s">
        <v>7563</v>
      </c>
      <c r="AA497" t="s">
        <v>7564</v>
      </c>
      <c r="AB497" t="s">
        <v>7565</v>
      </c>
      <c r="AC497" t="s">
        <v>7566</v>
      </c>
      <c r="AD497" t="s">
        <v>7567</v>
      </c>
      <c r="AE497" t="s">
        <v>7568</v>
      </c>
      <c r="AF497" t="s">
        <v>74</v>
      </c>
      <c r="AG497">
        <v>65</v>
      </c>
      <c r="AH497">
        <v>22</v>
      </c>
      <c r="AI497">
        <v>22</v>
      </c>
      <c r="AJ497">
        <v>9</v>
      </c>
      <c r="AK497">
        <v>148</v>
      </c>
      <c r="AL497" t="s">
        <v>2073</v>
      </c>
      <c r="AM497" t="s">
        <v>653</v>
      </c>
      <c r="AN497" t="s">
        <v>2074</v>
      </c>
      <c r="AO497" t="s">
        <v>7569</v>
      </c>
      <c r="AP497" t="s">
        <v>7570</v>
      </c>
      <c r="AQ497" t="s">
        <v>74</v>
      </c>
      <c r="AR497" t="s">
        <v>7571</v>
      </c>
      <c r="AS497" t="s">
        <v>7572</v>
      </c>
      <c r="AT497" t="s">
        <v>281</v>
      </c>
      <c r="AU497">
        <v>2020</v>
      </c>
      <c r="AV497">
        <v>96</v>
      </c>
      <c r="AW497" t="s">
        <v>74</v>
      </c>
      <c r="AX497" t="s">
        <v>74</v>
      </c>
      <c r="AY497" t="s">
        <v>74</v>
      </c>
      <c r="AZ497" t="s">
        <v>74</v>
      </c>
      <c r="BA497" t="s">
        <v>74</v>
      </c>
      <c r="BB497" t="s">
        <v>74</v>
      </c>
      <c r="BC497" t="s">
        <v>74</v>
      </c>
      <c r="BD497">
        <v>102074</v>
      </c>
      <c r="BE497" t="s">
        <v>7573</v>
      </c>
      <c r="BF497" t="str">
        <f>HYPERLINK("http://dx.doi.org/10.1016/j.omega.2019.05.010","http://dx.doi.org/10.1016/j.omega.2019.05.010")</f>
        <v>http://dx.doi.org/10.1016/j.omega.2019.05.010</v>
      </c>
      <c r="BG497" t="s">
        <v>74</v>
      </c>
      <c r="BH497" t="s">
        <v>74</v>
      </c>
      <c r="BI497">
        <v>16</v>
      </c>
      <c r="BJ497" t="s">
        <v>519</v>
      </c>
      <c r="BK497" t="s">
        <v>520</v>
      </c>
      <c r="BL497" t="s">
        <v>521</v>
      </c>
      <c r="BM497" t="s">
        <v>7574</v>
      </c>
      <c r="BN497" t="s">
        <v>74</v>
      </c>
      <c r="BO497" t="s">
        <v>74</v>
      </c>
      <c r="BP497" t="s">
        <v>74</v>
      </c>
      <c r="BQ497" t="s">
        <v>74</v>
      </c>
      <c r="BR497" t="s">
        <v>6098</v>
      </c>
      <c r="BS497" t="s">
        <v>7575</v>
      </c>
      <c r="BT497" t="str">
        <f>HYPERLINK("https%3A%2F%2Fwww.webofscience.com%2Fwos%2Fwoscc%2Ffull-record%2FWOS:000541944700006","View Full Record in Web of Science")</f>
        <v>View Full Record in Web of Science</v>
      </c>
      <c r="BU497" t="s">
        <v>6100</v>
      </c>
      <c r="BV497" s="1" t="s">
        <v>10653</v>
      </c>
    </row>
    <row r="498" spans="1:75" x14ac:dyDescent="0.35">
      <c r="A498" t="s">
        <v>72</v>
      </c>
      <c r="B498" t="s">
        <v>7903</v>
      </c>
      <c r="C498" t="s">
        <v>74</v>
      </c>
      <c r="D498" t="s">
        <v>74</v>
      </c>
      <c r="E498" t="s">
        <v>74</v>
      </c>
      <c r="F498" t="s">
        <v>5885</v>
      </c>
      <c r="G498" t="s">
        <v>74</v>
      </c>
      <c r="H498" t="s">
        <v>74</v>
      </c>
      <c r="I498" t="s">
        <v>5911</v>
      </c>
      <c r="J498" t="s">
        <v>3737</v>
      </c>
      <c r="K498" t="s">
        <v>74</v>
      </c>
      <c r="L498" t="s">
        <v>74</v>
      </c>
      <c r="M498" t="s">
        <v>78</v>
      </c>
      <c r="N498" t="s">
        <v>110</v>
      </c>
      <c r="O498" t="s">
        <v>74</v>
      </c>
      <c r="P498" t="s">
        <v>74</v>
      </c>
      <c r="Q498" t="s">
        <v>74</v>
      </c>
      <c r="R498" t="s">
        <v>74</v>
      </c>
      <c r="S498" t="s">
        <v>74</v>
      </c>
      <c r="T498" t="s">
        <v>7904</v>
      </c>
      <c r="U498" t="s">
        <v>7905</v>
      </c>
      <c r="V498" t="s">
        <v>6007</v>
      </c>
      <c r="W498" t="s">
        <v>7906</v>
      </c>
      <c r="X498" t="s">
        <v>6316</v>
      </c>
      <c r="Y498" t="s">
        <v>7907</v>
      </c>
      <c r="Z498" t="s">
        <v>7908</v>
      </c>
      <c r="AA498" t="s">
        <v>74</v>
      </c>
      <c r="AB498" t="s">
        <v>74</v>
      </c>
      <c r="AC498" t="s">
        <v>74</v>
      </c>
      <c r="AD498" t="s">
        <v>74</v>
      </c>
      <c r="AE498" t="s">
        <v>74</v>
      </c>
      <c r="AF498" t="s">
        <v>74</v>
      </c>
      <c r="AG498">
        <v>74</v>
      </c>
      <c r="AH498">
        <v>22</v>
      </c>
      <c r="AI498">
        <v>21</v>
      </c>
      <c r="AJ498">
        <v>14</v>
      </c>
      <c r="AK498">
        <v>57</v>
      </c>
      <c r="AL498" t="s">
        <v>324</v>
      </c>
      <c r="AM498" t="s">
        <v>325</v>
      </c>
      <c r="AN498" t="s">
        <v>2004</v>
      </c>
      <c r="AO498" t="s">
        <v>3743</v>
      </c>
      <c r="AP498" t="s">
        <v>3831</v>
      </c>
      <c r="AQ498" t="s">
        <v>74</v>
      </c>
      <c r="AR498" t="s">
        <v>3744</v>
      </c>
      <c r="AS498" t="s">
        <v>3745</v>
      </c>
      <c r="AT498" t="s">
        <v>151</v>
      </c>
      <c r="AU498">
        <v>2020</v>
      </c>
      <c r="AV498">
        <v>114</v>
      </c>
      <c r="AW498" t="s">
        <v>74</v>
      </c>
      <c r="AX498" t="s">
        <v>74</v>
      </c>
      <c r="AY498" t="s">
        <v>74</v>
      </c>
      <c r="AZ498" t="s">
        <v>74</v>
      </c>
      <c r="BA498" t="s">
        <v>74</v>
      </c>
      <c r="BB498">
        <v>213</v>
      </c>
      <c r="BC498">
        <v>226</v>
      </c>
      <c r="BD498" t="s">
        <v>74</v>
      </c>
      <c r="BE498" t="s">
        <v>7909</v>
      </c>
      <c r="BF498" t="str">
        <f>HYPERLINK("http://dx.doi.org/10.1016/j.jbusres.2020.04.003","http://dx.doi.org/10.1016/j.jbusres.2020.04.003")</f>
        <v>http://dx.doi.org/10.1016/j.jbusres.2020.04.003</v>
      </c>
      <c r="BG498" t="s">
        <v>74</v>
      </c>
      <c r="BH498" t="s">
        <v>74</v>
      </c>
      <c r="BI498">
        <v>14</v>
      </c>
      <c r="BJ498" t="s">
        <v>153</v>
      </c>
      <c r="BK498" t="s">
        <v>101</v>
      </c>
      <c r="BL498" t="s">
        <v>154</v>
      </c>
      <c r="BM498" t="s">
        <v>7910</v>
      </c>
      <c r="BN498" t="s">
        <v>74</v>
      </c>
      <c r="BO498" t="s">
        <v>74</v>
      </c>
      <c r="BP498" t="s">
        <v>74</v>
      </c>
      <c r="BQ498" t="s">
        <v>74</v>
      </c>
      <c r="BR498" t="s">
        <v>6098</v>
      </c>
      <c r="BS498" t="s">
        <v>7911</v>
      </c>
      <c r="BT498" t="str">
        <f>HYPERLINK("https%3A%2F%2Fwww.webofscience.com%2Fwos%2Fwoscc%2Ffull-record%2FWOS:000532827900016","View Full Record in Web of Science")</f>
        <v>View Full Record in Web of Science</v>
      </c>
      <c r="BU498" t="s">
        <v>6100</v>
      </c>
      <c r="BV498" s="1" t="s">
        <v>10653</v>
      </c>
    </row>
    <row r="499" spans="1:75" x14ac:dyDescent="0.35">
      <c r="A499" t="s">
        <v>72</v>
      </c>
      <c r="B499" t="s">
        <v>7949</v>
      </c>
      <c r="C499" t="s">
        <v>74</v>
      </c>
      <c r="D499" t="s">
        <v>74</v>
      </c>
      <c r="E499" t="s">
        <v>74</v>
      </c>
      <c r="F499" t="s">
        <v>7950</v>
      </c>
      <c r="G499" t="s">
        <v>74</v>
      </c>
      <c r="H499" t="s">
        <v>74</v>
      </c>
      <c r="I499" t="s">
        <v>7951</v>
      </c>
      <c r="J499" t="s">
        <v>7952</v>
      </c>
      <c r="K499" t="s">
        <v>74</v>
      </c>
      <c r="L499" t="s">
        <v>74</v>
      </c>
      <c r="M499" t="s">
        <v>78</v>
      </c>
      <c r="N499" t="s">
        <v>79</v>
      </c>
      <c r="O499" t="s">
        <v>74</v>
      </c>
      <c r="P499" t="s">
        <v>74</v>
      </c>
      <c r="Q499" t="s">
        <v>74</v>
      </c>
      <c r="R499" t="s">
        <v>74</v>
      </c>
      <c r="S499" t="s">
        <v>74</v>
      </c>
      <c r="T499" t="s">
        <v>7953</v>
      </c>
      <c r="U499" t="s">
        <v>7954</v>
      </c>
      <c r="V499" t="s">
        <v>7955</v>
      </c>
      <c r="W499" t="s">
        <v>7956</v>
      </c>
      <c r="X499" t="s">
        <v>7957</v>
      </c>
      <c r="Y499" t="s">
        <v>7958</v>
      </c>
      <c r="Z499" t="s">
        <v>7959</v>
      </c>
      <c r="AA499" t="s">
        <v>7960</v>
      </c>
      <c r="AB499" t="s">
        <v>7961</v>
      </c>
      <c r="AC499" t="s">
        <v>74</v>
      </c>
      <c r="AD499" t="s">
        <v>74</v>
      </c>
      <c r="AE499" t="s">
        <v>74</v>
      </c>
      <c r="AF499" t="s">
        <v>74</v>
      </c>
      <c r="AG499">
        <v>39</v>
      </c>
      <c r="AH499">
        <v>10</v>
      </c>
      <c r="AI499">
        <v>11</v>
      </c>
      <c r="AJ499">
        <v>5</v>
      </c>
      <c r="AK499">
        <v>19</v>
      </c>
      <c r="AL499" t="s">
        <v>206</v>
      </c>
      <c r="AM499" t="s">
        <v>207</v>
      </c>
      <c r="AN499" t="s">
        <v>208</v>
      </c>
      <c r="AO499" t="s">
        <v>7962</v>
      </c>
      <c r="AP499" t="s">
        <v>7963</v>
      </c>
      <c r="AQ499" t="s">
        <v>74</v>
      </c>
      <c r="AR499" t="s">
        <v>7964</v>
      </c>
      <c r="AS499" t="s">
        <v>7965</v>
      </c>
      <c r="AT499" t="s">
        <v>363</v>
      </c>
      <c r="AU499">
        <v>2020</v>
      </c>
      <c r="AV499">
        <v>37</v>
      </c>
      <c r="AW499">
        <v>1</v>
      </c>
      <c r="AX499" t="s">
        <v>74</v>
      </c>
      <c r="AY499" t="s">
        <v>74</v>
      </c>
      <c r="AZ499" t="s">
        <v>259</v>
      </c>
      <c r="BA499" t="s">
        <v>74</v>
      </c>
      <c r="BB499">
        <v>68</v>
      </c>
      <c r="BC499">
        <v>81</v>
      </c>
      <c r="BD499" t="s">
        <v>74</v>
      </c>
      <c r="BE499" t="s">
        <v>7966</v>
      </c>
      <c r="BF499" t="str">
        <f>HYPERLINK("http://dx.doi.org/10.1002/cjas.1543","http://dx.doi.org/10.1002/cjas.1543")</f>
        <v>http://dx.doi.org/10.1002/cjas.1543</v>
      </c>
      <c r="BG499" t="s">
        <v>74</v>
      </c>
      <c r="BH499" t="s">
        <v>7967</v>
      </c>
      <c r="BI499">
        <v>14</v>
      </c>
      <c r="BJ499" t="s">
        <v>877</v>
      </c>
      <c r="BK499" t="s">
        <v>101</v>
      </c>
      <c r="BL499" t="s">
        <v>154</v>
      </c>
      <c r="BM499" t="s">
        <v>7968</v>
      </c>
      <c r="BN499" t="s">
        <v>74</v>
      </c>
      <c r="BO499" t="s">
        <v>828</v>
      </c>
      <c r="BP499" t="s">
        <v>74</v>
      </c>
      <c r="BQ499" t="s">
        <v>74</v>
      </c>
      <c r="BR499" t="s">
        <v>6098</v>
      </c>
      <c r="BS499" t="s">
        <v>7969</v>
      </c>
      <c r="BT499" t="str">
        <f>HYPERLINK("https%3A%2F%2Fwww.webofscience.com%2Fwos%2Fwoscc%2Ffull-record%2FWOS:000485834500001","View Full Record in Web of Science")</f>
        <v>View Full Record in Web of Science</v>
      </c>
      <c r="BU499" t="s">
        <v>6100</v>
      </c>
      <c r="BV499" s="1" t="s">
        <v>10653</v>
      </c>
    </row>
    <row r="500" spans="1:75" x14ac:dyDescent="0.35">
      <c r="A500" t="s">
        <v>72</v>
      </c>
      <c r="B500" t="s">
        <v>7696</v>
      </c>
      <c r="C500" t="s">
        <v>74</v>
      </c>
      <c r="D500" t="s">
        <v>74</v>
      </c>
      <c r="E500" t="s">
        <v>74</v>
      </c>
      <c r="F500" t="s">
        <v>7697</v>
      </c>
      <c r="G500" t="s">
        <v>74</v>
      </c>
      <c r="H500" t="s">
        <v>74</v>
      </c>
      <c r="I500" t="s">
        <v>7698</v>
      </c>
      <c r="J500" t="s">
        <v>240</v>
      </c>
      <c r="K500" t="s">
        <v>74</v>
      </c>
      <c r="L500" t="s">
        <v>74</v>
      </c>
      <c r="M500" t="s">
        <v>78</v>
      </c>
      <c r="N500" t="s">
        <v>79</v>
      </c>
      <c r="O500" t="s">
        <v>74</v>
      </c>
      <c r="P500" t="s">
        <v>74</v>
      </c>
      <c r="Q500" t="s">
        <v>74</v>
      </c>
      <c r="R500" t="s">
        <v>74</v>
      </c>
      <c r="S500" t="s">
        <v>74</v>
      </c>
      <c r="T500" t="s">
        <v>7699</v>
      </c>
      <c r="U500" t="s">
        <v>7700</v>
      </c>
      <c r="V500" t="s">
        <v>7701</v>
      </c>
      <c r="W500" t="s">
        <v>7702</v>
      </c>
      <c r="X500" t="s">
        <v>7703</v>
      </c>
      <c r="Y500" t="s">
        <v>7704</v>
      </c>
      <c r="Z500" t="s">
        <v>7705</v>
      </c>
      <c r="AA500" t="s">
        <v>74</v>
      </c>
      <c r="AB500" t="s">
        <v>74</v>
      </c>
      <c r="AC500" t="s">
        <v>74</v>
      </c>
      <c r="AD500" t="s">
        <v>74</v>
      </c>
      <c r="AE500" t="s">
        <v>74</v>
      </c>
      <c r="AF500" t="s">
        <v>74</v>
      </c>
      <c r="AG500">
        <v>71</v>
      </c>
      <c r="AH500">
        <v>8</v>
      </c>
      <c r="AI500">
        <v>8</v>
      </c>
      <c r="AJ500">
        <v>17</v>
      </c>
      <c r="AK500">
        <v>71</v>
      </c>
      <c r="AL500" t="s">
        <v>144</v>
      </c>
      <c r="AM500" t="s">
        <v>145</v>
      </c>
      <c r="AN500" t="s">
        <v>146</v>
      </c>
      <c r="AO500" t="s">
        <v>254</v>
      </c>
      <c r="AP500" t="s">
        <v>255</v>
      </c>
      <c r="AQ500" t="s">
        <v>74</v>
      </c>
      <c r="AR500" t="s">
        <v>256</v>
      </c>
      <c r="AS500" t="s">
        <v>257</v>
      </c>
      <c r="AT500" t="s">
        <v>517</v>
      </c>
      <c r="AU500">
        <v>2021</v>
      </c>
      <c r="AV500">
        <v>85</v>
      </c>
      <c r="AW500">
        <v>5</v>
      </c>
      <c r="AX500" t="s">
        <v>74</v>
      </c>
      <c r="AY500" t="s">
        <v>74</v>
      </c>
      <c r="AZ500" t="s">
        <v>74</v>
      </c>
      <c r="BA500" t="s">
        <v>74</v>
      </c>
      <c r="BB500">
        <v>42</v>
      </c>
      <c r="BC500">
        <v>57</v>
      </c>
      <c r="BD500">
        <v>222429211003560</v>
      </c>
      <c r="BE500" t="s">
        <v>7706</v>
      </c>
      <c r="BF500" t="str">
        <f>HYPERLINK("http://dx.doi.org/10.1177/00222429211003560","http://dx.doi.org/10.1177/00222429211003560")</f>
        <v>http://dx.doi.org/10.1177/00222429211003560</v>
      </c>
      <c r="BG500" t="s">
        <v>74</v>
      </c>
      <c r="BH500" t="s">
        <v>6408</v>
      </c>
      <c r="BI500">
        <v>16</v>
      </c>
      <c r="BJ500" t="s">
        <v>153</v>
      </c>
      <c r="BK500" t="s">
        <v>101</v>
      </c>
      <c r="BL500" t="s">
        <v>154</v>
      </c>
      <c r="BM500" t="s">
        <v>4621</v>
      </c>
      <c r="BN500" t="s">
        <v>74</v>
      </c>
      <c r="BO500" t="s">
        <v>74</v>
      </c>
      <c r="BP500" t="s">
        <v>74</v>
      </c>
      <c r="BQ500" t="s">
        <v>74</v>
      </c>
      <c r="BR500" t="s">
        <v>6098</v>
      </c>
      <c r="BS500" t="s">
        <v>7707</v>
      </c>
      <c r="BT500" t="str">
        <f>HYPERLINK("https%3A%2F%2Fwww.webofscience.com%2Fwos%2Fwoscc%2Ffull-record%2FWOS:000680517700001","View Full Record in Web of Science")</f>
        <v>View Full Record in Web of Science</v>
      </c>
      <c r="BU500" t="s">
        <v>6100</v>
      </c>
      <c r="BV500" s="1" t="s">
        <v>6080</v>
      </c>
      <c r="BW500" s="1" t="s">
        <v>10653</v>
      </c>
    </row>
    <row r="501" spans="1:75" ht="290" x14ac:dyDescent="0.35">
      <c r="A501" t="s">
        <v>72</v>
      </c>
      <c r="B501" t="s">
        <v>7970</v>
      </c>
      <c r="C501" t="s">
        <v>74</v>
      </c>
      <c r="D501" t="s">
        <v>74</v>
      </c>
      <c r="E501" t="s">
        <v>74</v>
      </c>
      <c r="F501" t="s">
        <v>7971</v>
      </c>
      <c r="G501" t="s">
        <v>74</v>
      </c>
      <c r="H501" t="s">
        <v>74</v>
      </c>
      <c r="I501" t="s">
        <v>7972</v>
      </c>
      <c r="J501" t="s">
        <v>6902</v>
      </c>
      <c r="K501" t="s">
        <v>74</v>
      </c>
      <c r="L501" t="s">
        <v>74</v>
      </c>
      <c r="M501" t="s">
        <v>78</v>
      </c>
      <c r="N501" t="s">
        <v>79</v>
      </c>
      <c r="O501" t="s">
        <v>74</v>
      </c>
      <c r="P501" t="s">
        <v>74</v>
      </c>
      <c r="Q501" t="s">
        <v>74</v>
      </c>
      <c r="R501" t="s">
        <v>74</v>
      </c>
      <c r="S501" t="s">
        <v>74</v>
      </c>
      <c r="T501" t="s">
        <v>74</v>
      </c>
      <c r="U501" t="s">
        <v>7973</v>
      </c>
      <c r="V501" s="1" t="s">
        <v>7974</v>
      </c>
      <c r="W501" t="s">
        <v>7975</v>
      </c>
      <c r="X501" t="s">
        <v>7976</v>
      </c>
      <c r="Y501" t="s">
        <v>7977</v>
      </c>
      <c r="Z501" t="s">
        <v>7978</v>
      </c>
      <c r="AA501" t="s">
        <v>74</v>
      </c>
      <c r="AB501" t="s">
        <v>74</v>
      </c>
      <c r="AC501" t="s">
        <v>74</v>
      </c>
      <c r="AD501" t="s">
        <v>74</v>
      </c>
      <c r="AE501" t="s">
        <v>74</v>
      </c>
      <c r="AF501" t="s">
        <v>74</v>
      </c>
      <c r="AG501">
        <v>53</v>
      </c>
      <c r="AH501">
        <v>5</v>
      </c>
      <c r="AI501">
        <v>5</v>
      </c>
      <c r="AJ501">
        <v>4</v>
      </c>
      <c r="AK501">
        <v>9</v>
      </c>
      <c r="AL501" t="s">
        <v>3363</v>
      </c>
      <c r="AM501" t="s">
        <v>1181</v>
      </c>
      <c r="AN501" t="s">
        <v>6910</v>
      </c>
      <c r="AO501" t="s">
        <v>6911</v>
      </c>
      <c r="AP501" t="s">
        <v>6912</v>
      </c>
      <c r="AQ501" t="s">
        <v>74</v>
      </c>
      <c r="AR501" t="s">
        <v>6913</v>
      </c>
      <c r="AS501" t="s">
        <v>6914</v>
      </c>
      <c r="AT501" t="s">
        <v>74</v>
      </c>
      <c r="AU501">
        <v>2020</v>
      </c>
      <c r="AV501">
        <v>41</v>
      </c>
      <c r="AW501">
        <v>1</v>
      </c>
      <c r="AX501" t="s">
        <v>74</v>
      </c>
      <c r="AY501" t="s">
        <v>74</v>
      </c>
      <c r="AZ501" t="s">
        <v>74</v>
      </c>
      <c r="BA501" t="s">
        <v>74</v>
      </c>
      <c r="BB501">
        <v>36</v>
      </c>
      <c r="BC501">
        <v>53</v>
      </c>
      <c r="BD501" t="s">
        <v>74</v>
      </c>
      <c r="BE501" t="s">
        <v>7979</v>
      </c>
      <c r="BF501" t="str">
        <f>HYPERLINK("http://dx.doi.org/10.1080/10641734.2018.1557090","http://dx.doi.org/10.1080/10641734.2018.1557090")</f>
        <v>http://dx.doi.org/10.1080/10641734.2018.1557090</v>
      </c>
      <c r="BG501" t="s">
        <v>74</v>
      </c>
      <c r="BH501" t="s">
        <v>74</v>
      </c>
      <c r="BI501">
        <v>18</v>
      </c>
      <c r="BJ501" t="s">
        <v>2010</v>
      </c>
      <c r="BK501" t="s">
        <v>3880</v>
      </c>
      <c r="BL501" t="s">
        <v>2011</v>
      </c>
      <c r="BM501" t="s">
        <v>7980</v>
      </c>
      <c r="BN501" t="s">
        <v>74</v>
      </c>
      <c r="BO501" t="s">
        <v>74</v>
      </c>
      <c r="BP501" t="s">
        <v>74</v>
      </c>
      <c r="BQ501" t="s">
        <v>74</v>
      </c>
      <c r="BR501" t="s">
        <v>6098</v>
      </c>
      <c r="BS501" t="s">
        <v>7981</v>
      </c>
      <c r="BT501" t="str">
        <f>HYPERLINK("https%3A%2F%2Fwww.webofscience.com%2Fwos%2Fwoscc%2Ffull-record%2FWOS:000558693000003","View Full Record in Web of Science")</f>
        <v>View Full Record in Web of Science</v>
      </c>
      <c r="BU501" t="s">
        <v>6100</v>
      </c>
      <c r="BV501" s="1" t="s">
        <v>6080</v>
      </c>
      <c r="BW501" s="1" t="s">
        <v>6080</v>
      </c>
    </row>
    <row r="502" spans="1:75" x14ac:dyDescent="0.35">
      <c r="A502" t="s">
        <v>72</v>
      </c>
      <c r="B502" t="s">
        <v>7982</v>
      </c>
      <c r="C502" t="s">
        <v>74</v>
      </c>
      <c r="D502" t="s">
        <v>74</v>
      </c>
      <c r="E502" t="s">
        <v>74</v>
      </c>
      <c r="F502" t="s">
        <v>7983</v>
      </c>
      <c r="G502" t="s">
        <v>74</v>
      </c>
      <c r="H502" t="s">
        <v>74</v>
      </c>
      <c r="I502" t="s">
        <v>7984</v>
      </c>
      <c r="J502" t="s">
        <v>7985</v>
      </c>
      <c r="K502" t="s">
        <v>74</v>
      </c>
      <c r="L502" t="s">
        <v>74</v>
      </c>
      <c r="M502" t="s">
        <v>78</v>
      </c>
      <c r="N502" t="s">
        <v>79</v>
      </c>
      <c r="O502" t="s">
        <v>74</v>
      </c>
      <c r="P502" t="s">
        <v>74</v>
      </c>
      <c r="Q502" t="s">
        <v>74</v>
      </c>
      <c r="R502" t="s">
        <v>74</v>
      </c>
      <c r="S502" t="s">
        <v>74</v>
      </c>
      <c r="T502" t="s">
        <v>7986</v>
      </c>
      <c r="U502" t="s">
        <v>7987</v>
      </c>
      <c r="V502" t="s">
        <v>7988</v>
      </c>
      <c r="W502" t="s">
        <v>7989</v>
      </c>
      <c r="X502" t="s">
        <v>7990</v>
      </c>
      <c r="Y502" t="s">
        <v>7991</v>
      </c>
      <c r="Z502" t="s">
        <v>7992</v>
      </c>
      <c r="AA502" t="s">
        <v>74</v>
      </c>
      <c r="AB502" t="s">
        <v>7993</v>
      </c>
      <c r="AC502" t="s">
        <v>7994</v>
      </c>
      <c r="AD502" t="s">
        <v>7995</v>
      </c>
      <c r="AE502" t="s">
        <v>7996</v>
      </c>
      <c r="AF502" t="s">
        <v>74</v>
      </c>
      <c r="AG502">
        <v>110</v>
      </c>
      <c r="AH502">
        <v>37</v>
      </c>
      <c r="AI502">
        <v>37</v>
      </c>
      <c r="AJ502">
        <v>8</v>
      </c>
      <c r="AK502">
        <v>64</v>
      </c>
      <c r="AL502" t="s">
        <v>820</v>
      </c>
      <c r="AM502" t="s">
        <v>2119</v>
      </c>
      <c r="AN502" t="s">
        <v>2120</v>
      </c>
      <c r="AO502" t="s">
        <v>7997</v>
      </c>
      <c r="AP502" t="s">
        <v>7998</v>
      </c>
      <c r="AQ502" t="s">
        <v>74</v>
      </c>
      <c r="AR502" t="s">
        <v>7999</v>
      </c>
      <c r="AS502" t="s">
        <v>8000</v>
      </c>
      <c r="AT502" t="s">
        <v>281</v>
      </c>
      <c r="AU502">
        <v>2020</v>
      </c>
      <c r="AV502">
        <v>55</v>
      </c>
      <c r="AW502">
        <v>3</v>
      </c>
      <c r="AX502" t="s">
        <v>74</v>
      </c>
      <c r="AY502" t="s">
        <v>74</v>
      </c>
      <c r="AZ502" t="s">
        <v>259</v>
      </c>
      <c r="BA502" t="s">
        <v>74</v>
      </c>
      <c r="BB502">
        <v>627</v>
      </c>
      <c r="BC502">
        <v>649</v>
      </c>
      <c r="BD502" t="s">
        <v>74</v>
      </c>
      <c r="BE502" t="s">
        <v>8001</v>
      </c>
      <c r="BF502" t="str">
        <f>HYPERLINK("http://dx.doi.org/10.1007/s11187-019-00218-w","http://dx.doi.org/10.1007/s11187-019-00218-w")</f>
        <v>http://dx.doi.org/10.1007/s11187-019-00218-w</v>
      </c>
      <c r="BG502" t="s">
        <v>74</v>
      </c>
      <c r="BH502" t="s">
        <v>74</v>
      </c>
      <c r="BI502">
        <v>23</v>
      </c>
      <c r="BJ502" t="s">
        <v>7128</v>
      </c>
      <c r="BK502" t="s">
        <v>101</v>
      </c>
      <c r="BL502" t="s">
        <v>154</v>
      </c>
      <c r="BM502" t="s">
        <v>8002</v>
      </c>
      <c r="BN502" t="s">
        <v>74</v>
      </c>
      <c r="BO502" t="s">
        <v>131</v>
      </c>
      <c r="BP502" t="s">
        <v>74</v>
      </c>
      <c r="BQ502" t="s">
        <v>74</v>
      </c>
      <c r="BR502" t="s">
        <v>6098</v>
      </c>
      <c r="BS502" t="s">
        <v>8003</v>
      </c>
      <c r="BT502" t="str">
        <f>HYPERLINK("https%3A%2F%2Fwww.webofscience.com%2Fwos%2Fwoscc%2Ffull-record%2FWOS:000561766100006","View Full Record in Web of Science")</f>
        <v>View Full Record in Web of Science</v>
      </c>
      <c r="BU502" t="s">
        <v>6100</v>
      </c>
      <c r="BV502" s="1" t="s">
        <v>10653</v>
      </c>
    </row>
    <row r="503" spans="1:75" x14ac:dyDescent="0.35">
      <c r="A503" t="s">
        <v>72</v>
      </c>
      <c r="B503" t="s">
        <v>8004</v>
      </c>
      <c r="C503" t="s">
        <v>74</v>
      </c>
      <c r="D503" t="s">
        <v>74</v>
      </c>
      <c r="E503" t="s">
        <v>74</v>
      </c>
      <c r="F503" t="s">
        <v>8005</v>
      </c>
      <c r="G503" t="s">
        <v>74</v>
      </c>
      <c r="H503" t="s">
        <v>74</v>
      </c>
      <c r="I503" t="s">
        <v>8006</v>
      </c>
      <c r="J503" t="s">
        <v>5066</v>
      </c>
      <c r="K503" t="s">
        <v>74</v>
      </c>
      <c r="L503" t="s">
        <v>74</v>
      </c>
      <c r="M503" t="s">
        <v>78</v>
      </c>
      <c r="N503" t="s">
        <v>79</v>
      </c>
      <c r="O503" t="s">
        <v>74</v>
      </c>
      <c r="P503" t="s">
        <v>74</v>
      </c>
      <c r="Q503" t="s">
        <v>74</v>
      </c>
      <c r="R503" t="s">
        <v>74</v>
      </c>
      <c r="S503" t="s">
        <v>74</v>
      </c>
      <c r="T503" t="s">
        <v>8007</v>
      </c>
      <c r="U503" t="s">
        <v>8008</v>
      </c>
      <c r="V503" t="s">
        <v>8009</v>
      </c>
      <c r="W503" t="s">
        <v>8010</v>
      </c>
      <c r="X503" t="s">
        <v>8011</v>
      </c>
      <c r="Y503" t="s">
        <v>8012</v>
      </c>
      <c r="Z503" t="s">
        <v>8013</v>
      </c>
      <c r="AA503" t="s">
        <v>74</v>
      </c>
      <c r="AB503" t="s">
        <v>74</v>
      </c>
      <c r="AC503" t="s">
        <v>74</v>
      </c>
      <c r="AD503" t="s">
        <v>74</v>
      </c>
      <c r="AE503" t="s">
        <v>74</v>
      </c>
      <c r="AF503" t="s">
        <v>74</v>
      </c>
      <c r="AG503">
        <v>53</v>
      </c>
      <c r="AH503">
        <v>4</v>
      </c>
      <c r="AI503">
        <v>4</v>
      </c>
      <c r="AJ503">
        <v>5</v>
      </c>
      <c r="AK503">
        <v>29</v>
      </c>
      <c r="AL503" t="s">
        <v>1982</v>
      </c>
      <c r="AM503" t="s">
        <v>1983</v>
      </c>
      <c r="AN503" t="s">
        <v>2573</v>
      </c>
      <c r="AO503" t="s">
        <v>5076</v>
      </c>
      <c r="AP503" t="s">
        <v>5077</v>
      </c>
      <c r="AQ503" t="s">
        <v>74</v>
      </c>
      <c r="AR503" t="s">
        <v>5078</v>
      </c>
      <c r="AS503" t="s">
        <v>5079</v>
      </c>
      <c r="AT503" t="s">
        <v>8014</v>
      </c>
      <c r="AU503">
        <v>2020</v>
      </c>
      <c r="AV503">
        <v>54</v>
      </c>
      <c r="AW503">
        <v>3</v>
      </c>
      <c r="AX503" t="s">
        <v>74</v>
      </c>
      <c r="AY503" t="s">
        <v>74</v>
      </c>
      <c r="AZ503" t="s">
        <v>259</v>
      </c>
      <c r="BA503" t="s">
        <v>74</v>
      </c>
      <c r="BB503">
        <v>546</v>
      </c>
      <c r="BC503">
        <v>569</v>
      </c>
      <c r="BD503" t="s">
        <v>74</v>
      </c>
      <c r="BE503" t="s">
        <v>8015</v>
      </c>
      <c r="BF503" t="str">
        <f>HYPERLINK("http://dx.doi.org/10.1108/EJM-01-2019-0105","http://dx.doi.org/10.1108/EJM-01-2019-0105")</f>
        <v>http://dx.doi.org/10.1108/EJM-01-2019-0105</v>
      </c>
      <c r="BG503" t="s">
        <v>74</v>
      </c>
      <c r="BH503" t="s">
        <v>7477</v>
      </c>
      <c r="BI503">
        <v>24</v>
      </c>
      <c r="BJ503" t="s">
        <v>153</v>
      </c>
      <c r="BK503" t="s">
        <v>101</v>
      </c>
      <c r="BL503" t="s">
        <v>154</v>
      </c>
      <c r="BM503" t="s">
        <v>8016</v>
      </c>
      <c r="BN503" t="s">
        <v>74</v>
      </c>
      <c r="BO503" t="s">
        <v>74</v>
      </c>
      <c r="BP503" t="s">
        <v>74</v>
      </c>
      <c r="BQ503" t="s">
        <v>74</v>
      </c>
      <c r="BR503" t="s">
        <v>6098</v>
      </c>
      <c r="BS503" t="s">
        <v>8017</v>
      </c>
      <c r="BT503" t="str">
        <f>HYPERLINK("https%3A%2F%2Fwww.webofscience.com%2Fwos%2Fwoscc%2Ffull-record%2FWOS:000512320400001","View Full Record in Web of Science")</f>
        <v>View Full Record in Web of Science</v>
      </c>
      <c r="BU503" t="s">
        <v>6100</v>
      </c>
      <c r="BV503" s="1" t="s">
        <v>6080</v>
      </c>
      <c r="BW503" s="1" t="s">
        <v>6080</v>
      </c>
    </row>
    <row r="504" spans="1:75" x14ac:dyDescent="0.35">
      <c r="A504" t="s">
        <v>72</v>
      </c>
      <c r="B504" t="s">
        <v>8470</v>
      </c>
      <c r="C504" t="s">
        <v>74</v>
      </c>
      <c r="D504" t="s">
        <v>74</v>
      </c>
      <c r="E504" t="s">
        <v>74</v>
      </c>
      <c r="F504" t="s">
        <v>8471</v>
      </c>
      <c r="G504" t="s">
        <v>74</v>
      </c>
      <c r="H504" t="s">
        <v>74</v>
      </c>
      <c r="I504" t="s">
        <v>8472</v>
      </c>
      <c r="J504" t="s">
        <v>8473</v>
      </c>
      <c r="K504" t="s">
        <v>74</v>
      </c>
      <c r="L504" t="s">
        <v>74</v>
      </c>
      <c r="M504" t="s">
        <v>8474</v>
      </c>
      <c r="N504" t="s">
        <v>110</v>
      </c>
      <c r="O504" t="s">
        <v>74</v>
      </c>
      <c r="P504" t="s">
        <v>74</v>
      </c>
      <c r="Q504" t="s">
        <v>74</v>
      </c>
      <c r="R504" t="s">
        <v>74</v>
      </c>
      <c r="S504" t="s">
        <v>74</v>
      </c>
      <c r="T504" t="s">
        <v>8475</v>
      </c>
      <c r="U504" t="s">
        <v>8476</v>
      </c>
      <c r="V504" t="s">
        <v>8477</v>
      </c>
      <c r="W504" t="s">
        <v>8478</v>
      </c>
      <c r="X504" t="s">
        <v>74</v>
      </c>
      <c r="Y504" t="s">
        <v>8479</v>
      </c>
      <c r="Z504" t="s">
        <v>8480</v>
      </c>
      <c r="AA504" t="s">
        <v>8481</v>
      </c>
      <c r="AB504" t="s">
        <v>8482</v>
      </c>
      <c r="AC504" t="s">
        <v>74</v>
      </c>
      <c r="AD504" t="s">
        <v>74</v>
      </c>
      <c r="AE504" t="s">
        <v>74</v>
      </c>
      <c r="AF504" t="s">
        <v>74</v>
      </c>
      <c r="AG504">
        <v>58</v>
      </c>
      <c r="AH504">
        <v>1</v>
      </c>
      <c r="AI504">
        <v>1</v>
      </c>
      <c r="AJ504">
        <v>4</v>
      </c>
      <c r="AK504">
        <v>22</v>
      </c>
      <c r="AL504" t="s">
        <v>8483</v>
      </c>
      <c r="AM504" t="s">
        <v>8484</v>
      </c>
      <c r="AN504" t="s">
        <v>8485</v>
      </c>
      <c r="AO504" t="s">
        <v>8486</v>
      </c>
      <c r="AP504" t="s">
        <v>8487</v>
      </c>
      <c r="AQ504" t="s">
        <v>74</v>
      </c>
      <c r="AR504" t="s">
        <v>8488</v>
      </c>
      <c r="AS504" t="s">
        <v>8489</v>
      </c>
      <c r="AT504" t="s">
        <v>8490</v>
      </c>
      <c r="AU504">
        <v>2020</v>
      </c>
      <c r="AV504">
        <v>11</v>
      </c>
      <c r="AW504">
        <v>24</v>
      </c>
      <c r="AX504" t="s">
        <v>74</v>
      </c>
      <c r="AY504" t="s">
        <v>74</v>
      </c>
      <c r="AZ504" t="s">
        <v>74</v>
      </c>
      <c r="BA504" t="s">
        <v>74</v>
      </c>
      <c r="BB504">
        <v>84</v>
      </c>
      <c r="BC504">
        <v>97</v>
      </c>
      <c r="BD504" t="s">
        <v>74</v>
      </c>
      <c r="BE504" t="s">
        <v>8491</v>
      </c>
      <c r="BF504" t="str">
        <f>HYPERLINK("http://dx.doi.org/10.14349/sumneg/2020.V11.N24.A9","http://dx.doi.org/10.14349/sumneg/2020.V11.N24.A9")</f>
        <v>http://dx.doi.org/10.14349/sumneg/2020.V11.N24.A9</v>
      </c>
      <c r="BG504" t="s">
        <v>74</v>
      </c>
      <c r="BH504" t="s">
        <v>74</v>
      </c>
      <c r="BI504">
        <v>14</v>
      </c>
      <c r="BJ504" t="s">
        <v>153</v>
      </c>
      <c r="BK504" t="s">
        <v>3880</v>
      </c>
      <c r="BL504" t="s">
        <v>154</v>
      </c>
      <c r="BM504" t="s">
        <v>8492</v>
      </c>
      <c r="BN504" t="s">
        <v>74</v>
      </c>
      <c r="BO504" t="s">
        <v>2294</v>
      </c>
      <c r="BP504" t="s">
        <v>74</v>
      </c>
      <c r="BQ504" t="s">
        <v>74</v>
      </c>
      <c r="BR504" t="s">
        <v>6098</v>
      </c>
      <c r="BS504" t="s">
        <v>8493</v>
      </c>
      <c r="BT504" t="str">
        <f>HYPERLINK("https%3A%2F%2Fwww.webofscience.com%2Fwos%2Fwoscc%2Ffull-record%2FWOS:000614804600009","View Full Record in Web of Science")</f>
        <v>View Full Record in Web of Science</v>
      </c>
      <c r="BU504" t="s">
        <v>6100</v>
      </c>
      <c r="BV504" s="1" t="s">
        <v>10653</v>
      </c>
    </row>
    <row r="505" spans="1:75" x14ac:dyDescent="0.35">
      <c r="A505" t="s">
        <v>72</v>
      </c>
      <c r="B505" t="s">
        <v>8494</v>
      </c>
      <c r="C505" t="s">
        <v>74</v>
      </c>
      <c r="D505" t="s">
        <v>74</v>
      </c>
      <c r="E505" t="s">
        <v>74</v>
      </c>
      <c r="F505" t="s">
        <v>5892</v>
      </c>
      <c r="G505" t="s">
        <v>74</v>
      </c>
      <c r="H505" t="s">
        <v>74</v>
      </c>
      <c r="I505" t="s">
        <v>5940</v>
      </c>
      <c r="J505" t="s">
        <v>4018</v>
      </c>
      <c r="K505" t="s">
        <v>74</v>
      </c>
      <c r="L505" t="s">
        <v>74</v>
      </c>
      <c r="M505" t="s">
        <v>78</v>
      </c>
      <c r="N505" t="s">
        <v>110</v>
      </c>
      <c r="O505" t="s">
        <v>74</v>
      </c>
      <c r="P505" t="s">
        <v>74</v>
      </c>
      <c r="Q505" t="s">
        <v>74</v>
      </c>
      <c r="R505" t="s">
        <v>74</v>
      </c>
      <c r="S505" t="s">
        <v>74</v>
      </c>
      <c r="T505" t="s">
        <v>8495</v>
      </c>
      <c r="U505" t="s">
        <v>8496</v>
      </c>
      <c r="V505" t="s">
        <v>6045</v>
      </c>
      <c r="W505" t="s">
        <v>8497</v>
      </c>
      <c r="X505" t="s">
        <v>2234</v>
      </c>
      <c r="Y505" t="s">
        <v>8498</v>
      </c>
      <c r="Z505" t="s">
        <v>8499</v>
      </c>
      <c r="AA505" t="s">
        <v>74</v>
      </c>
      <c r="AB505" t="s">
        <v>74</v>
      </c>
      <c r="AC505" t="s">
        <v>74</v>
      </c>
      <c r="AD505" t="s">
        <v>74</v>
      </c>
      <c r="AE505" t="s">
        <v>74</v>
      </c>
      <c r="AF505" t="s">
        <v>74</v>
      </c>
      <c r="AG505">
        <v>52</v>
      </c>
      <c r="AH505">
        <v>12</v>
      </c>
      <c r="AI505">
        <v>12</v>
      </c>
      <c r="AJ505">
        <v>7</v>
      </c>
      <c r="AK505">
        <v>52</v>
      </c>
      <c r="AL505" t="s">
        <v>1886</v>
      </c>
      <c r="AM505" t="s">
        <v>121</v>
      </c>
      <c r="AN505" t="s">
        <v>1887</v>
      </c>
      <c r="AO505" t="s">
        <v>4027</v>
      </c>
      <c r="AP505" t="s">
        <v>4028</v>
      </c>
      <c r="AQ505" t="s">
        <v>74</v>
      </c>
      <c r="AR505" t="s">
        <v>4029</v>
      </c>
      <c r="AS505" t="s">
        <v>4030</v>
      </c>
      <c r="AT505" t="s">
        <v>363</v>
      </c>
      <c r="AU505">
        <v>2020</v>
      </c>
      <c r="AV505">
        <v>62</v>
      </c>
      <c r="AW505">
        <v>2</v>
      </c>
      <c r="AX505" t="s">
        <v>74</v>
      </c>
      <c r="AY505" t="s">
        <v>74</v>
      </c>
      <c r="AZ505" t="s">
        <v>74</v>
      </c>
      <c r="BA505" t="s">
        <v>74</v>
      </c>
      <c r="BB505">
        <v>195</v>
      </c>
      <c r="BC505">
        <v>215</v>
      </c>
      <c r="BD505">
        <v>1470785319863619</v>
      </c>
      <c r="BE505" t="s">
        <v>8500</v>
      </c>
      <c r="BF505" t="str">
        <f>HYPERLINK("http://dx.doi.org/10.1177/1470785319863619","http://dx.doi.org/10.1177/1470785319863619")</f>
        <v>http://dx.doi.org/10.1177/1470785319863619</v>
      </c>
      <c r="BG505" t="s">
        <v>74</v>
      </c>
      <c r="BH505" t="s">
        <v>4229</v>
      </c>
      <c r="BI505">
        <v>21</v>
      </c>
      <c r="BJ505" t="s">
        <v>153</v>
      </c>
      <c r="BK505" t="s">
        <v>101</v>
      </c>
      <c r="BL505" t="s">
        <v>154</v>
      </c>
      <c r="BM505" t="s">
        <v>8501</v>
      </c>
      <c r="BN505" t="s">
        <v>74</v>
      </c>
      <c r="BO505" t="s">
        <v>74</v>
      </c>
      <c r="BP505" t="s">
        <v>74</v>
      </c>
      <c r="BQ505" t="s">
        <v>74</v>
      </c>
      <c r="BR505" t="s">
        <v>6098</v>
      </c>
      <c r="BS505" t="s">
        <v>8502</v>
      </c>
      <c r="BT505" t="str">
        <f>HYPERLINK("https%3A%2F%2Fwww.webofscience.com%2Fwos%2Fwoscc%2Ffull-record%2FWOS:000480320500001","View Full Record in Web of Science")</f>
        <v>View Full Record in Web of Science</v>
      </c>
      <c r="BU505" t="s">
        <v>6100</v>
      </c>
      <c r="BV505" s="1" t="s">
        <v>6080</v>
      </c>
      <c r="BW505" s="1" t="s">
        <v>6080</v>
      </c>
    </row>
    <row r="506" spans="1:75" x14ac:dyDescent="0.35">
      <c r="A506" t="s">
        <v>72</v>
      </c>
      <c r="B506" t="s">
        <v>7785</v>
      </c>
      <c r="C506" t="s">
        <v>74</v>
      </c>
      <c r="D506" t="s">
        <v>74</v>
      </c>
      <c r="E506" t="s">
        <v>74</v>
      </c>
      <c r="F506" t="s">
        <v>7786</v>
      </c>
      <c r="G506" t="s">
        <v>74</v>
      </c>
      <c r="H506" t="s">
        <v>74</v>
      </c>
      <c r="I506" t="s">
        <v>7787</v>
      </c>
      <c r="J506" t="s">
        <v>6149</v>
      </c>
      <c r="K506" t="s">
        <v>74</v>
      </c>
      <c r="L506" t="s">
        <v>74</v>
      </c>
      <c r="M506" t="s">
        <v>78</v>
      </c>
      <c r="N506" t="s">
        <v>4302</v>
      </c>
      <c r="O506" t="s">
        <v>74</v>
      </c>
      <c r="P506" t="s">
        <v>74</v>
      </c>
      <c r="Q506" t="s">
        <v>74</v>
      </c>
      <c r="R506" t="s">
        <v>74</v>
      </c>
      <c r="S506" t="s">
        <v>74</v>
      </c>
      <c r="T506" t="s">
        <v>7788</v>
      </c>
      <c r="U506" t="s">
        <v>7789</v>
      </c>
      <c r="V506" t="s">
        <v>7790</v>
      </c>
      <c r="W506" t="s">
        <v>7791</v>
      </c>
      <c r="X506" t="s">
        <v>7792</v>
      </c>
      <c r="Y506" t="s">
        <v>7793</v>
      </c>
      <c r="Z506" t="s">
        <v>7794</v>
      </c>
      <c r="AA506" t="s">
        <v>7795</v>
      </c>
      <c r="AB506" t="s">
        <v>7796</v>
      </c>
      <c r="AC506" t="s">
        <v>7797</v>
      </c>
      <c r="AD506" t="s">
        <v>7798</v>
      </c>
      <c r="AE506" t="s">
        <v>7799</v>
      </c>
      <c r="AF506" t="s">
        <v>74</v>
      </c>
      <c r="AG506">
        <v>53</v>
      </c>
      <c r="AH506">
        <v>0</v>
      </c>
      <c r="AI506">
        <v>0</v>
      </c>
      <c r="AJ506">
        <v>3</v>
      </c>
      <c r="AK506">
        <v>3</v>
      </c>
      <c r="AL506" t="s">
        <v>820</v>
      </c>
      <c r="AM506" t="s">
        <v>2119</v>
      </c>
      <c r="AN506" t="s">
        <v>2120</v>
      </c>
      <c r="AO506" t="s">
        <v>6157</v>
      </c>
      <c r="AP506" t="s">
        <v>6158</v>
      </c>
      <c r="AQ506" t="s">
        <v>74</v>
      </c>
      <c r="AR506" t="s">
        <v>6159</v>
      </c>
      <c r="AS506" t="s">
        <v>6160</v>
      </c>
      <c r="AT506" t="s">
        <v>74</v>
      </c>
      <c r="AU506" t="s">
        <v>74</v>
      </c>
      <c r="AV506" t="s">
        <v>74</v>
      </c>
      <c r="AW506" t="s">
        <v>74</v>
      </c>
      <c r="AX506" t="s">
        <v>74</v>
      </c>
      <c r="AY506" t="s">
        <v>74</v>
      </c>
      <c r="AZ506" t="s">
        <v>74</v>
      </c>
      <c r="BA506" t="s">
        <v>74</v>
      </c>
      <c r="BB506" t="s">
        <v>74</v>
      </c>
      <c r="BC506" t="s">
        <v>74</v>
      </c>
      <c r="BD506" t="s">
        <v>74</v>
      </c>
      <c r="BE506" t="s">
        <v>7800</v>
      </c>
      <c r="BF506" t="str">
        <f>HYPERLINK("http://dx.doi.org/10.1007/s11002-022-09662-3","http://dx.doi.org/10.1007/s11002-022-09662-3")</f>
        <v>http://dx.doi.org/10.1007/s11002-022-09662-3</v>
      </c>
      <c r="BG506" t="s">
        <v>74</v>
      </c>
      <c r="BH506" t="s">
        <v>7801</v>
      </c>
      <c r="BI506">
        <v>15</v>
      </c>
      <c r="BJ506" t="s">
        <v>153</v>
      </c>
      <c r="BK506" t="s">
        <v>101</v>
      </c>
      <c r="BL506" t="s">
        <v>154</v>
      </c>
      <c r="BM506" t="s">
        <v>7802</v>
      </c>
      <c r="BN506" t="s">
        <v>74</v>
      </c>
      <c r="BO506" t="s">
        <v>74</v>
      </c>
      <c r="BP506" t="s">
        <v>74</v>
      </c>
      <c r="BQ506" t="s">
        <v>74</v>
      </c>
      <c r="BR506" t="s">
        <v>6098</v>
      </c>
      <c r="BS506" t="s">
        <v>7803</v>
      </c>
      <c r="BT506" t="str">
        <f>HYPERLINK("https%3A%2F%2Fwww.webofscience.com%2Fwos%2Fwoscc%2Ffull-record%2FWOS:000901696700001","View Full Record in Web of Science")</f>
        <v>View Full Record in Web of Science</v>
      </c>
      <c r="BU506" t="s">
        <v>6100</v>
      </c>
      <c r="BV506" s="1" t="s">
        <v>6080</v>
      </c>
      <c r="BW506" s="1" t="s">
        <v>10653</v>
      </c>
    </row>
    <row r="507" spans="1:75" x14ac:dyDescent="0.35">
      <c r="A507" t="s">
        <v>72</v>
      </c>
      <c r="B507" t="s">
        <v>8830</v>
      </c>
      <c r="C507" t="s">
        <v>74</v>
      </c>
      <c r="D507" t="s">
        <v>74</v>
      </c>
      <c r="E507" t="s">
        <v>74</v>
      </c>
      <c r="F507" t="s">
        <v>8831</v>
      </c>
      <c r="G507" t="s">
        <v>74</v>
      </c>
      <c r="H507" t="s">
        <v>74</v>
      </c>
      <c r="I507" t="s">
        <v>8832</v>
      </c>
      <c r="J507" t="s">
        <v>240</v>
      </c>
      <c r="K507" t="s">
        <v>74</v>
      </c>
      <c r="L507" t="s">
        <v>74</v>
      </c>
      <c r="M507" t="s">
        <v>78</v>
      </c>
      <c r="N507" t="s">
        <v>79</v>
      </c>
      <c r="O507" t="s">
        <v>74</v>
      </c>
      <c r="P507" t="s">
        <v>74</v>
      </c>
      <c r="Q507" t="s">
        <v>74</v>
      </c>
      <c r="R507" t="s">
        <v>74</v>
      </c>
      <c r="S507" t="s">
        <v>74</v>
      </c>
      <c r="T507" t="s">
        <v>8833</v>
      </c>
      <c r="U507" t="s">
        <v>8834</v>
      </c>
      <c r="V507" t="s">
        <v>8835</v>
      </c>
      <c r="W507" t="s">
        <v>8836</v>
      </c>
      <c r="X507" t="s">
        <v>8837</v>
      </c>
      <c r="Y507" t="s">
        <v>8838</v>
      </c>
      <c r="Z507" t="s">
        <v>8839</v>
      </c>
      <c r="AA507" t="s">
        <v>8840</v>
      </c>
      <c r="AB507" t="s">
        <v>74</v>
      </c>
      <c r="AC507" t="s">
        <v>74</v>
      </c>
      <c r="AD507" t="s">
        <v>74</v>
      </c>
      <c r="AE507" t="s">
        <v>74</v>
      </c>
      <c r="AF507" t="s">
        <v>74</v>
      </c>
      <c r="AG507">
        <v>105</v>
      </c>
      <c r="AH507">
        <v>20</v>
      </c>
      <c r="AI507">
        <v>20</v>
      </c>
      <c r="AJ507">
        <v>17</v>
      </c>
      <c r="AK507">
        <v>127</v>
      </c>
      <c r="AL507" t="s">
        <v>144</v>
      </c>
      <c r="AM507" t="s">
        <v>145</v>
      </c>
      <c r="AN507" t="s">
        <v>146</v>
      </c>
      <c r="AO507" t="s">
        <v>254</v>
      </c>
      <c r="AP507" t="s">
        <v>255</v>
      </c>
      <c r="AQ507" t="s">
        <v>74</v>
      </c>
      <c r="AR507" t="s">
        <v>256</v>
      </c>
      <c r="AS507" t="s">
        <v>257</v>
      </c>
      <c r="AT507" t="s">
        <v>98</v>
      </c>
      <c r="AU507">
        <v>2020</v>
      </c>
      <c r="AV507">
        <v>84</v>
      </c>
      <c r="AW507">
        <v>4</v>
      </c>
      <c r="AX507" t="s">
        <v>74</v>
      </c>
      <c r="AY507" t="s">
        <v>74</v>
      </c>
      <c r="AZ507" t="s">
        <v>74</v>
      </c>
      <c r="BA507" t="s">
        <v>74</v>
      </c>
      <c r="BB507">
        <v>1</v>
      </c>
      <c r="BC507">
        <v>22</v>
      </c>
      <c r="BD507" t="s">
        <v>74</v>
      </c>
      <c r="BE507" t="s">
        <v>8841</v>
      </c>
      <c r="BF507" t="str">
        <f>HYPERLINK("http://dx.doi.org/10.1177/0022242920925517","http://dx.doi.org/10.1177/0022242920925517")</f>
        <v>http://dx.doi.org/10.1177/0022242920925517</v>
      </c>
      <c r="BG507" t="s">
        <v>74</v>
      </c>
      <c r="BH507" t="s">
        <v>74</v>
      </c>
      <c r="BI507">
        <v>22</v>
      </c>
      <c r="BJ507" t="s">
        <v>153</v>
      </c>
      <c r="BK507" t="s">
        <v>101</v>
      </c>
      <c r="BL507" t="s">
        <v>154</v>
      </c>
      <c r="BM507" t="s">
        <v>8842</v>
      </c>
      <c r="BN507" t="s">
        <v>74</v>
      </c>
      <c r="BO507" t="s">
        <v>74</v>
      </c>
      <c r="BP507" t="s">
        <v>74</v>
      </c>
      <c r="BQ507" t="s">
        <v>74</v>
      </c>
      <c r="BR507" t="s">
        <v>6098</v>
      </c>
      <c r="BS507" t="s">
        <v>8843</v>
      </c>
      <c r="BT507" t="str">
        <f>HYPERLINK("https%3A%2F%2Fwww.webofscience.com%2Fwos%2Fwoscc%2Ffull-record%2FWOS:000542330500001","View Full Record in Web of Science")</f>
        <v>View Full Record in Web of Science</v>
      </c>
      <c r="BU507" t="s">
        <v>6100</v>
      </c>
      <c r="BV507" s="1" t="s">
        <v>6080</v>
      </c>
      <c r="BW507" s="1" t="s">
        <v>6080</v>
      </c>
    </row>
    <row r="508" spans="1:75" x14ac:dyDescent="0.35">
      <c r="A508" t="s">
        <v>72</v>
      </c>
      <c r="B508" t="s">
        <v>8895</v>
      </c>
      <c r="C508" t="s">
        <v>74</v>
      </c>
      <c r="D508" t="s">
        <v>74</v>
      </c>
      <c r="E508" t="s">
        <v>74</v>
      </c>
      <c r="F508" t="s">
        <v>8896</v>
      </c>
      <c r="G508" t="s">
        <v>74</v>
      </c>
      <c r="H508" t="s">
        <v>74</v>
      </c>
      <c r="I508" t="s">
        <v>8897</v>
      </c>
      <c r="J508" t="s">
        <v>1146</v>
      </c>
      <c r="K508" t="s">
        <v>74</v>
      </c>
      <c r="L508" t="s">
        <v>74</v>
      </c>
      <c r="M508" t="s">
        <v>78</v>
      </c>
      <c r="N508" t="s">
        <v>79</v>
      </c>
      <c r="O508" t="s">
        <v>74</v>
      </c>
      <c r="P508" t="s">
        <v>74</v>
      </c>
      <c r="Q508" t="s">
        <v>74</v>
      </c>
      <c r="R508" t="s">
        <v>74</v>
      </c>
      <c r="S508" t="s">
        <v>74</v>
      </c>
      <c r="T508" t="s">
        <v>8898</v>
      </c>
      <c r="U508" t="s">
        <v>8899</v>
      </c>
      <c r="V508" t="s">
        <v>8900</v>
      </c>
      <c r="W508" t="s">
        <v>8901</v>
      </c>
      <c r="X508" t="s">
        <v>8902</v>
      </c>
      <c r="Y508" t="s">
        <v>8903</v>
      </c>
      <c r="Z508" t="s">
        <v>8904</v>
      </c>
      <c r="AA508" t="s">
        <v>74</v>
      </c>
      <c r="AB508" t="s">
        <v>8905</v>
      </c>
      <c r="AC508" t="s">
        <v>74</v>
      </c>
      <c r="AD508" t="s">
        <v>74</v>
      </c>
      <c r="AE508" t="s">
        <v>74</v>
      </c>
      <c r="AF508" t="s">
        <v>74</v>
      </c>
      <c r="AG508">
        <v>131</v>
      </c>
      <c r="AH508">
        <v>36</v>
      </c>
      <c r="AI508">
        <v>35</v>
      </c>
      <c r="AJ508">
        <v>64</v>
      </c>
      <c r="AK508">
        <v>328</v>
      </c>
      <c r="AL508" t="s">
        <v>1155</v>
      </c>
      <c r="AM508" t="s">
        <v>1156</v>
      </c>
      <c r="AN508" t="s">
        <v>1157</v>
      </c>
      <c r="AO508" t="s">
        <v>1158</v>
      </c>
      <c r="AP508" t="s">
        <v>74</v>
      </c>
      <c r="AQ508" t="s">
        <v>74</v>
      </c>
      <c r="AR508" t="s">
        <v>1159</v>
      </c>
      <c r="AS508" t="s">
        <v>1160</v>
      </c>
      <c r="AT508" t="s">
        <v>348</v>
      </c>
      <c r="AU508">
        <v>2020</v>
      </c>
      <c r="AV508">
        <v>44</v>
      </c>
      <c r="AW508">
        <v>4</v>
      </c>
      <c r="AX508" t="s">
        <v>74</v>
      </c>
      <c r="AY508" t="s">
        <v>74</v>
      </c>
      <c r="AZ508" t="s">
        <v>74</v>
      </c>
      <c r="BA508" t="s">
        <v>74</v>
      </c>
      <c r="BB508">
        <v>1459</v>
      </c>
      <c r="BC508">
        <v>1492</v>
      </c>
      <c r="BD508" t="s">
        <v>74</v>
      </c>
      <c r="BE508" t="s">
        <v>8906</v>
      </c>
      <c r="BF508" t="str">
        <f>HYPERLINK("http://dx.doi.org/10.25300/MISQ/2020/14870","http://dx.doi.org/10.25300/MISQ/2020/14870")</f>
        <v>http://dx.doi.org/10.25300/MISQ/2020/14870</v>
      </c>
      <c r="BG508" t="s">
        <v>74</v>
      </c>
      <c r="BH508" t="s">
        <v>74</v>
      </c>
      <c r="BI508">
        <v>34</v>
      </c>
      <c r="BJ508" t="s">
        <v>1162</v>
      </c>
      <c r="BK508" t="s">
        <v>520</v>
      </c>
      <c r="BL508" t="s">
        <v>1163</v>
      </c>
      <c r="BM508" t="s">
        <v>8907</v>
      </c>
      <c r="BN508" t="s">
        <v>74</v>
      </c>
      <c r="BO508" t="s">
        <v>74</v>
      </c>
      <c r="BP508" t="s">
        <v>74</v>
      </c>
      <c r="BQ508" t="s">
        <v>74</v>
      </c>
      <c r="BR508" t="s">
        <v>6098</v>
      </c>
      <c r="BS508" t="s">
        <v>8908</v>
      </c>
      <c r="BT508" t="str">
        <f>HYPERLINK("https%3A%2F%2Fwww.webofscience.com%2Fwos%2Fwoscc%2Ffull-record%2FWOS:000596039600001","View Full Record in Web of Science")</f>
        <v>View Full Record in Web of Science</v>
      </c>
      <c r="BU508" t="s">
        <v>6100</v>
      </c>
      <c r="BV508" s="1" t="s">
        <v>10653</v>
      </c>
    </row>
    <row r="509" spans="1:75" x14ac:dyDescent="0.35">
      <c r="A509" t="s">
        <v>72</v>
      </c>
      <c r="B509" t="s">
        <v>9457</v>
      </c>
      <c r="C509" t="s">
        <v>74</v>
      </c>
      <c r="D509" t="s">
        <v>74</v>
      </c>
      <c r="E509" t="s">
        <v>74</v>
      </c>
      <c r="F509" t="s">
        <v>9458</v>
      </c>
      <c r="G509" t="s">
        <v>74</v>
      </c>
      <c r="H509" t="s">
        <v>74</v>
      </c>
      <c r="I509" t="s">
        <v>9459</v>
      </c>
      <c r="J509" t="s">
        <v>9460</v>
      </c>
      <c r="K509" t="s">
        <v>74</v>
      </c>
      <c r="L509" t="s">
        <v>74</v>
      </c>
      <c r="M509" t="s">
        <v>78</v>
      </c>
      <c r="N509" t="s">
        <v>79</v>
      </c>
      <c r="O509" t="s">
        <v>74</v>
      </c>
      <c r="P509" t="s">
        <v>74</v>
      </c>
      <c r="Q509" t="s">
        <v>74</v>
      </c>
      <c r="R509" t="s">
        <v>74</v>
      </c>
      <c r="S509" t="s">
        <v>74</v>
      </c>
      <c r="T509" t="s">
        <v>9461</v>
      </c>
      <c r="U509" t="s">
        <v>9462</v>
      </c>
      <c r="V509" t="s">
        <v>9463</v>
      </c>
      <c r="W509" t="s">
        <v>9464</v>
      </c>
      <c r="X509" t="s">
        <v>9465</v>
      </c>
      <c r="Y509" t="s">
        <v>9466</v>
      </c>
      <c r="Z509" t="s">
        <v>9467</v>
      </c>
      <c r="AA509" t="s">
        <v>74</v>
      </c>
      <c r="AB509" t="s">
        <v>9468</v>
      </c>
      <c r="AC509" t="s">
        <v>74</v>
      </c>
      <c r="AD509" t="s">
        <v>74</v>
      </c>
      <c r="AE509" t="s">
        <v>74</v>
      </c>
      <c r="AF509" t="s">
        <v>74</v>
      </c>
      <c r="AG509">
        <v>90</v>
      </c>
      <c r="AH509">
        <v>34</v>
      </c>
      <c r="AI509">
        <v>34</v>
      </c>
      <c r="AJ509">
        <v>8</v>
      </c>
      <c r="AK509">
        <v>44</v>
      </c>
      <c r="AL509" t="s">
        <v>409</v>
      </c>
      <c r="AM509" t="s">
        <v>410</v>
      </c>
      <c r="AN509" t="s">
        <v>9469</v>
      </c>
      <c r="AO509" t="s">
        <v>9470</v>
      </c>
      <c r="AP509" t="s">
        <v>9471</v>
      </c>
      <c r="AQ509" t="s">
        <v>74</v>
      </c>
      <c r="AR509" t="s">
        <v>9472</v>
      </c>
      <c r="AS509" t="s">
        <v>9473</v>
      </c>
      <c r="AT509" t="s">
        <v>213</v>
      </c>
      <c r="AU509">
        <v>2020</v>
      </c>
      <c r="AV509">
        <v>57</v>
      </c>
      <c r="AW509">
        <v>1</v>
      </c>
      <c r="AX509" t="s">
        <v>74</v>
      </c>
      <c r="AY509" t="s">
        <v>74</v>
      </c>
      <c r="AZ509" t="s">
        <v>259</v>
      </c>
      <c r="BA509" t="s">
        <v>74</v>
      </c>
      <c r="BB509" t="s">
        <v>74</v>
      </c>
      <c r="BC509" t="s">
        <v>74</v>
      </c>
      <c r="BD509">
        <v>103120</v>
      </c>
      <c r="BE509" t="s">
        <v>9474</v>
      </c>
      <c r="BF509" t="str">
        <f>HYPERLINK("http://dx.doi.org/10.1016/j.im.2018.10.006","http://dx.doi.org/10.1016/j.im.2018.10.006")</f>
        <v>http://dx.doi.org/10.1016/j.im.2018.10.006</v>
      </c>
      <c r="BG509" t="s">
        <v>74</v>
      </c>
      <c r="BH509" t="s">
        <v>74</v>
      </c>
      <c r="BI509">
        <v>11</v>
      </c>
      <c r="BJ509" t="s">
        <v>1162</v>
      </c>
      <c r="BK509" t="s">
        <v>520</v>
      </c>
      <c r="BL509" t="s">
        <v>1163</v>
      </c>
      <c r="BM509" t="s">
        <v>9475</v>
      </c>
      <c r="BN509" t="s">
        <v>74</v>
      </c>
      <c r="BO509" t="s">
        <v>9476</v>
      </c>
      <c r="BP509" t="s">
        <v>74</v>
      </c>
      <c r="BQ509" t="s">
        <v>74</v>
      </c>
      <c r="BR509" t="s">
        <v>6098</v>
      </c>
      <c r="BS509" t="s">
        <v>9477</v>
      </c>
      <c r="BT509" t="str">
        <f>HYPERLINK("https%3A%2F%2Fwww.webofscience.com%2Fwos%2Fwoscc%2Ffull-record%2FWOS:000513292200005","View Full Record in Web of Science")</f>
        <v>View Full Record in Web of Science</v>
      </c>
      <c r="BU509" t="s">
        <v>6100</v>
      </c>
      <c r="BV509" s="1" t="s">
        <v>10653</v>
      </c>
    </row>
    <row r="510" spans="1:75" x14ac:dyDescent="0.35">
      <c r="A510" t="s">
        <v>72</v>
      </c>
      <c r="B510" t="s">
        <v>9553</v>
      </c>
      <c r="C510" t="s">
        <v>74</v>
      </c>
      <c r="D510" t="s">
        <v>74</v>
      </c>
      <c r="E510" t="s">
        <v>74</v>
      </c>
      <c r="F510" t="s">
        <v>9554</v>
      </c>
      <c r="G510" t="s">
        <v>74</v>
      </c>
      <c r="H510" t="s">
        <v>74</v>
      </c>
      <c r="I510" t="s">
        <v>9555</v>
      </c>
      <c r="J510" t="s">
        <v>810</v>
      </c>
      <c r="K510" t="s">
        <v>74</v>
      </c>
      <c r="L510" t="s">
        <v>74</v>
      </c>
      <c r="M510" t="s">
        <v>78</v>
      </c>
      <c r="N510" t="s">
        <v>79</v>
      </c>
      <c r="O510" t="s">
        <v>74</v>
      </c>
      <c r="P510" t="s">
        <v>74</v>
      </c>
      <c r="Q510" t="s">
        <v>74</v>
      </c>
      <c r="R510" t="s">
        <v>74</v>
      </c>
      <c r="S510" t="s">
        <v>74</v>
      </c>
      <c r="T510" t="s">
        <v>9556</v>
      </c>
      <c r="U510" t="s">
        <v>9557</v>
      </c>
      <c r="V510" t="s">
        <v>9558</v>
      </c>
      <c r="W510" t="s">
        <v>9559</v>
      </c>
      <c r="X510" t="s">
        <v>9560</v>
      </c>
      <c r="Y510" t="s">
        <v>9561</v>
      </c>
      <c r="Z510" t="s">
        <v>9562</v>
      </c>
      <c r="AA510" t="s">
        <v>74</v>
      </c>
      <c r="AB510" t="s">
        <v>9563</v>
      </c>
      <c r="AC510" t="s">
        <v>74</v>
      </c>
      <c r="AD510" t="s">
        <v>74</v>
      </c>
      <c r="AE510" t="s">
        <v>74</v>
      </c>
      <c r="AF510" t="s">
        <v>74</v>
      </c>
      <c r="AG510">
        <v>105</v>
      </c>
      <c r="AH510">
        <v>16</v>
      </c>
      <c r="AI510">
        <v>16</v>
      </c>
      <c r="AJ510">
        <v>15</v>
      </c>
      <c r="AK510">
        <v>59</v>
      </c>
      <c r="AL510" t="s">
        <v>820</v>
      </c>
      <c r="AM510" t="s">
        <v>325</v>
      </c>
      <c r="AN510" t="s">
        <v>1604</v>
      </c>
      <c r="AO510" t="s">
        <v>822</v>
      </c>
      <c r="AP510" t="s">
        <v>823</v>
      </c>
      <c r="AQ510" t="s">
        <v>74</v>
      </c>
      <c r="AR510" t="s">
        <v>824</v>
      </c>
      <c r="AS510" t="s">
        <v>825</v>
      </c>
      <c r="AT510" t="s">
        <v>363</v>
      </c>
      <c r="AU510">
        <v>2020</v>
      </c>
      <c r="AV510">
        <v>48</v>
      </c>
      <c r="AW510">
        <v>2</v>
      </c>
      <c r="AX510" t="s">
        <v>74</v>
      </c>
      <c r="AY510" t="s">
        <v>74</v>
      </c>
      <c r="AZ510" t="s">
        <v>74</v>
      </c>
      <c r="BA510" t="s">
        <v>74</v>
      </c>
      <c r="BB510">
        <v>308</v>
      </c>
      <c r="BC510">
        <v>330</v>
      </c>
      <c r="BD510" t="s">
        <v>74</v>
      </c>
      <c r="BE510" t="s">
        <v>9564</v>
      </c>
      <c r="BF510" t="str">
        <f>HYPERLINK("http://dx.doi.org/10.1007/s11747-019-00671-9","http://dx.doi.org/10.1007/s11747-019-00671-9")</f>
        <v>http://dx.doi.org/10.1007/s11747-019-00671-9</v>
      </c>
      <c r="BG510" t="s">
        <v>74</v>
      </c>
      <c r="BH510" t="s">
        <v>74</v>
      </c>
      <c r="BI510">
        <v>23</v>
      </c>
      <c r="BJ510" t="s">
        <v>153</v>
      </c>
      <c r="BK510" t="s">
        <v>101</v>
      </c>
      <c r="BL510" t="s">
        <v>154</v>
      </c>
      <c r="BM510" t="s">
        <v>9565</v>
      </c>
      <c r="BN510" t="s">
        <v>74</v>
      </c>
      <c r="BO510" t="s">
        <v>156</v>
      </c>
      <c r="BP510" t="s">
        <v>74</v>
      </c>
      <c r="BQ510" t="s">
        <v>74</v>
      </c>
      <c r="BR510" t="s">
        <v>6098</v>
      </c>
      <c r="BS510" t="s">
        <v>9566</v>
      </c>
      <c r="BT510" t="str">
        <f>HYPERLINK("https%3A%2F%2Fwww.webofscience.com%2Fwos%2Fwoscc%2Ffull-record%2FWOS:000517884500009","View Full Record in Web of Science")</f>
        <v>View Full Record in Web of Science</v>
      </c>
      <c r="BU510" t="s">
        <v>6100</v>
      </c>
      <c r="BV510" s="1" t="s">
        <v>6080</v>
      </c>
      <c r="BW510" s="1" t="s">
        <v>6080</v>
      </c>
    </row>
    <row r="511" spans="1:75" x14ac:dyDescent="0.35">
      <c r="A511" t="s">
        <v>72</v>
      </c>
      <c r="B511" t="s">
        <v>7867</v>
      </c>
      <c r="C511" t="s">
        <v>74</v>
      </c>
      <c r="D511" t="s">
        <v>74</v>
      </c>
      <c r="E511" t="s">
        <v>74</v>
      </c>
      <c r="F511" t="s">
        <v>7868</v>
      </c>
      <c r="G511" t="s">
        <v>74</v>
      </c>
      <c r="H511" t="s">
        <v>74</v>
      </c>
      <c r="I511" t="s">
        <v>7869</v>
      </c>
      <c r="J511" t="s">
        <v>7870</v>
      </c>
      <c r="K511" t="s">
        <v>74</v>
      </c>
      <c r="L511" t="s">
        <v>74</v>
      </c>
      <c r="M511" t="s">
        <v>78</v>
      </c>
      <c r="N511" t="s">
        <v>110</v>
      </c>
      <c r="O511" t="s">
        <v>74</v>
      </c>
      <c r="P511" t="s">
        <v>74</v>
      </c>
      <c r="Q511" t="s">
        <v>74</v>
      </c>
      <c r="R511" t="s">
        <v>74</v>
      </c>
      <c r="S511" t="s">
        <v>74</v>
      </c>
      <c r="T511" t="s">
        <v>7871</v>
      </c>
      <c r="U511" t="s">
        <v>7872</v>
      </c>
      <c r="V511" t="s">
        <v>7873</v>
      </c>
      <c r="W511" t="s">
        <v>7874</v>
      </c>
      <c r="X511" t="s">
        <v>7875</v>
      </c>
      <c r="Y511" t="s">
        <v>7876</v>
      </c>
      <c r="Z511" t="s">
        <v>7877</v>
      </c>
      <c r="AA511" t="s">
        <v>7878</v>
      </c>
      <c r="AB511" t="s">
        <v>7879</v>
      </c>
      <c r="AC511" t="s">
        <v>74</v>
      </c>
      <c r="AD511" t="s">
        <v>74</v>
      </c>
      <c r="AE511" t="s">
        <v>74</v>
      </c>
      <c r="AF511" t="s">
        <v>74</v>
      </c>
      <c r="AG511">
        <v>79</v>
      </c>
      <c r="AH511">
        <v>0</v>
      </c>
      <c r="AI511">
        <v>0</v>
      </c>
      <c r="AJ511">
        <v>8</v>
      </c>
      <c r="AK511">
        <v>8</v>
      </c>
      <c r="AL511" t="s">
        <v>1982</v>
      </c>
      <c r="AM511" t="s">
        <v>1983</v>
      </c>
      <c r="AN511" t="s">
        <v>2573</v>
      </c>
      <c r="AO511" t="s">
        <v>7880</v>
      </c>
      <c r="AP511" t="s">
        <v>7881</v>
      </c>
      <c r="AQ511" t="s">
        <v>74</v>
      </c>
      <c r="AR511" t="s">
        <v>7882</v>
      </c>
      <c r="AS511" t="s">
        <v>7883</v>
      </c>
      <c r="AT511" t="s">
        <v>5080</v>
      </c>
      <c r="AU511">
        <v>2023</v>
      </c>
      <c r="AV511">
        <v>25</v>
      </c>
      <c r="AW511">
        <v>1</v>
      </c>
      <c r="AX511" t="s">
        <v>74</v>
      </c>
      <c r="AY511" t="s">
        <v>74</v>
      </c>
      <c r="AZ511" t="s">
        <v>74</v>
      </c>
      <c r="BA511" t="s">
        <v>74</v>
      </c>
      <c r="BB511">
        <v>83</v>
      </c>
      <c r="BC511">
        <v>102</v>
      </c>
      <c r="BD511" t="s">
        <v>74</v>
      </c>
      <c r="BE511" t="s">
        <v>7884</v>
      </c>
      <c r="BF511" t="str">
        <f>HYPERLINK("http://dx.doi.org/10.1108/JRME-01-2022-0004","http://dx.doi.org/10.1108/JRME-01-2022-0004")</f>
        <v>http://dx.doi.org/10.1108/JRME-01-2022-0004</v>
      </c>
      <c r="BG511" t="s">
        <v>74</v>
      </c>
      <c r="BH511" t="s">
        <v>7885</v>
      </c>
      <c r="BI511">
        <v>20</v>
      </c>
      <c r="BJ511" t="s">
        <v>153</v>
      </c>
      <c r="BK511" t="s">
        <v>3880</v>
      </c>
      <c r="BL511" t="s">
        <v>154</v>
      </c>
      <c r="BM511" t="s">
        <v>7886</v>
      </c>
      <c r="BN511" t="s">
        <v>74</v>
      </c>
      <c r="BO511" t="s">
        <v>1333</v>
      </c>
      <c r="BP511" t="s">
        <v>74</v>
      </c>
      <c r="BQ511" t="s">
        <v>74</v>
      </c>
      <c r="BR511" t="s">
        <v>6098</v>
      </c>
      <c r="BS511" t="s">
        <v>7887</v>
      </c>
      <c r="BT511" t="str">
        <f>HYPERLINK("https%3A%2F%2Fwww.webofscience.com%2Fwos%2Fwoscc%2Ffull-record%2FWOS:000865094400001","View Full Record in Web of Science")</f>
        <v>View Full Record in Web of Science</v>
      </c>
      <c r="BU511" t="s">
        <v>6100</v>
      </c>
      <c r="BV511" s="1" t="s">
        <v>6080</v>
      </c>
      <c r="BW511" s="1" t="s">
        <v>10653</v>
      </c>
    </row>
    <row r="512" spans="1:75" x14ac:dyDescent="0.35">
      <c r="A512" t="s">
        <v>72</v>
      </c>
      <c r="B512" t="s">
        <v>9584</v>
      </c>
      <c r="C512" t="s">
        <v>74</v>
      </c>
      <c r="D512" t="s">
        <v>74</v>
      </c>
      <c r="E512" t="s">
        <v>74</v>
      </c>
      <c r="F512" t="s">
        <v>9585</v>
      </c>
      <c r="G512" t="s">
        <v>74</v>
      </c>
      <c r="H512" t="s">
        <v>74</v>
      </c>
      <c r="I512" t="s">
        <v>9586</v>
      </c>
      <c r="J512" t="s">
        <v>8566</v>
      </c>
      <c r="K512" t="s">
        <v>74</v>
      </c>
      <c r="L512" t="s">
        <v>74</v>
      </c>
      <c r="M512" t="s">
        <v>78</v>
      </c>
      <c r="N512" t="s">
        <v>79</v>
      </c>
      <c r="O512" t="s">
        <v>74</v>
      </c>
      <c r="P512" t="s">
        <v>74</v>
      </c>
      <c r="Q512" t="s">
        <v>74</v>
      </c>
      <c r="R512" t="s">
        <v>74</v>
      </c>
      <c r="S512" t="s">
        <v>74</v>
      </c>
      <c r="T512" t="s">
        <v>9587</v>
      </c>
      <c r="U512" t="s">
        <v>9588</v>
      </c>
      <c r="V512" t="s">
        <v>9589</v>
      </c>
      <c r="W512" t="s">
        <v>9590</v>
      </c>
      <c r="X512" t="s">
        <v>9591</v>
      </c>
      <c r="Y512" t="s">
        <v>9592</v>
      </c>
      <c r="Z512" t="s">
        <v>9593</v>
      </c>
      <c r="AA512" t="s">
        <v>74</v>
      </c>
      <c r="AB512" t="s">
        <v>74</v>
      </c>
      <c r="AC512" t="s">
        <v>9594</v>
      </c>
      <c r="AD512" t="s">
        <v>9595</v>
      </c>
      <c r="AE512" t="s">
        <v>9596</v>
      </c>
      <c r="AF512" t="s">
        <v>74</v>
      </c>
      <c r="AG512">
        <v>57</v>
      </c>
      <c r="AH512">
        <v>18</v>
      </c>
      <c r="AI512">
        <v>18</v>
      </c>
      <c r="AJ512">
        <v>15</v>
      </c>
      <c r="AK512">
        <v>89</v>
      </c>
      <c r="AL512" t="s">
        <v>409</v>
      </c>
      <c r="AM512" t="s">
        <v>410</v>
      </c>
      <c r="AN512" t="s">
        <v>411</v>
      </c>
      <c r="AO512" t="s">
        <v>8574</v>
      </c>
      <c r="AP512" t="s">
        <v>8575</v>
      </c>
      <c r="AQ512" t="s">
        <v>74</v>
      </c>
      <c r="AR512" t="s">
        <v>8576</v>
      </c>
      <c r="AS512" t="s">
        <v>8577</v>
      </c>
      <c r="AT512" t="s">
        <v>780</v>
      </c>
      <c r="AU512">
        <v>2020</v>
      </c>
      <c r="AV512">
        <v>39</v>
      </c>
      <c r="AW512" t="s">
        <v>74</v>
      </c>
      <c r="AX512" t="s">
        <v>74</v>
      </c>
      <c r="AY512" t="s">
        <v>74</v>
      </c>
      <c r="AZ512" t="s">
        <v>74</v>
      </c>
      <c r="BA512" t="s">
        <v>74</v>
      </c>
      <c r="BB512" t="s">
        <v>74</v>
      </c>
      <c r="BC512" t="s">
        <v>74</v>
      </c>
      <c r="BD512">
        <v>100912</v>
      </c>
      <c r="BE512" t="s">
        <v>9597</v>
      </c>
      <c r="BF512" t="str">
        <f>HYPERLINK("http://dx.doi.org/10.1016/j.elerap.2019.100912","http://dx.doi.org/10.1016/j.elerap.2019.100912")</f>
        <v>http://dx.doi.org/10.1016/j.elerap.2019.100912</v>
      </c>
      <c r="BG512" t="s">
        <v>74</v>
      </c>
      <c r="BH512" t="s">
        <v>74</v>
      </c>
      <c r="BI512">
        <v>8</v>
      </c>
      <c r="BJ512" t="s">
        <v>8579</v>
      </c>
      <c r="BK512" t="s">
        <v>520</v>
      </c>
      <c r="BL512" t="s">
        <v>3857</v>
      </c>
      <c r="BM512" t="s">
        <v>9598</v>
      </c>
      <c r="BN512" t="s">
        <v>74</v>
      </c>
      <c r="BO512" t="s">
        <v>74</v>
      </c>
      <c r="BP512" t="s">
        <v>74</v>
      </c>
      <c r="BQ512" t="s">
        <v>74</v>
      </c>
      <c r="BR512" t="s">
        <v>6098</v>
      </c>
      <c r="BS512" t="s">
        <v>9599</v>
      </c>
      <c r="BT512" t="str">
        <f>HYPERLINK("https%3A%2F%2Fwww.webofscience.com%2Fwos%2Fwoscc%2Ffull-record%2FWOS:000517564000014","View Full Record in Web of Science")</f>
        <v>View Full Record in Web of Science</v>
      </c>
      <c r="BU512" t="s">
        <v>6100</v>
      </c>
      <c r="BV512" s="1" t="s">
        <v>10653</v>
      </c>
    </row>
    <row r="513" spans="1:75" x14ac:dyDescent="0.35">
      <c r="A513" t="s">
        <v>72</v>
      </c>
      <c r="B513" t="s">
        <v>9810</v>
      </c>
      <c r="C513" t="s">
        <v>74</v>
      </c>
      <c r="D513" t="s">
        <v>74</v>
      </c>
      <c r="E513" t="s">
        <v>74</v>
      </c>
      <c r="F513" t="s">
        <v>9811</v>
      </c>
      <c r="G513" t="s">
        <v>74</v>
      </c>
      <c r="H513" t="s">
        <v>74</v>
      </c>
      <c r="I513" t="s">
        <v>9812</v>
      </c>
      <c r="J513" t="s">
        <v>9257</v>
      </c>
      <c r="K513" t="s">
        <v>74</v>
      </c>
      <c r="L513" t="s">
        <v>74</v>
      </c>
      <c r="M513" t="s">
        <v>78</v>
      </c>
      <c r="N513" t="s">
        <v>79</v>
      </c>
      <c r="O513" t="s">
        <v>74</v>
      </c>
      <c r="P513" t="s">
        <v>74</v>
      </c>
      <c r="Q513" t="s">
        <v>74</v>
      </c>
      <c r="R513" t="s">
        <v>74</v>
      </c>
      <c r="S513" t="s">
        <v>74</v>
      </c>
      <c r="T513" t="s">
        <v>9813</v>
      </c>
      <c r="U513" t="s">
        <v>9814</v>
      </c>
      <c r="V513" t="s">
        <v>9815</v>
      </c>
      <c r="W513" t="s">
        <v>9816</v>
      </c>
      <c r="X513" t="s">
        <v>9817</v>
      </c>
      <c r="Y513" t="s">
        <v>9818</v>
      </c>
      <c r="Z513" t="s">
        <v>9819</v>
      </c>
      <c r="AA513" t="s">
        <v>9820</v>
      </c>
      <c r="AB513" t="s">
        <v>9821</v>
      </c>
      <c r="AC513" t="s">
        <v>74</v>
      </c>
      <c r="AD513" t="s">
        <v>74</v>
      </c>
      <c r="AE513" t="s">
        <v>74</v>
      </c>
      <c r="AF513" t="s">
        <v>74</v>
      </c>
      <c r="AG513">
        <v>67</v>
      </c>
      <c r="AH513">
        <v>11</v>
      </c>
      <c r="AI513">
        <v>11</v>
      </c>
      <c r="AJ513">
        <v>7</v>
      </c>
      <c r="AK513">
        <v>32</v>
      </c>
      <c r="AL513" t="s">
        <v>1982</v>
      </c>
      <c r="AM513" t="s">
        <v>1983</v>
      </c>
      <c r="AN513" t="s">
        <v>2573</v>
      </c>
      <c r="AO513" t="s">
        <v>9265</v>
      </c>
      <c r="AP513" t="s">
        <v>9266</v>
      </c>
      <c r="AQ513" t="s">
        <v>74</v>
      </c>
      <c r="AR513" t="s">
        <v>9267</v>
      </c>
      <c r="AS513" t="s">
        <v>9268</v>
      </c>
      <c r="AT513" t="s">
        <v>9822</v>
      </c>
      <c r="AU513">
        <v>2020</v>
      </c>
      <c r="AV513">
        <v>38</v>
      </c>
      <c r="AW513">
        <v>5</v>
      </c>
      <c r="AX513" t="s">
        <v>74</v>
      </c>
      <c r="AY513" t="s">
        <v>74</v>
      </c>
      <c r="AZ513" t="s">
        <v>74</v>
      </c>
      <c r="BA513" t="s">
        <v>74</v>
      </c>
      <c r="BB513">
        <v>587</v>
      </c>
      <c r="BC513">
        <v>601</v>
      </c>
      <c r="BD513" t="s">
        <v>74</v>
      </c>
      <c r="BE513" t="s">
        <v>9823</v>
      </c>
      <c r="BF513" t="str">
        <f>HYPERLINK("http://dx.doi.org/10.1108/MIP-06-2019-0349","http://dx.doi.org/10.1108/MIP-06-2019-0349")</f>
        <v>http://dx.doi.org/10.1108/MIP-06-2019-0349</v>
      </c>
      <c r="BG513" t="s">
        <v>74</v>
      </c>
      <c r="BH513" t="s">
        <v>5003</v>
      </c>
      <c r="BI513">
        <v>15</v>
      </c>
      <c r="BJ513" t="s">
        <v>153</v>
      </c>
      <c r="BK513" t="s">
        <v>101</v>
      </c>
      <c r="BL513" t="s">
        <v>154</v>
      </c>
      <c r="BM513" t="s">
        <v>9824</v>
      </c>
      <c r="BN513" t="s">
        <v>74</v>
      </c>
      <c r="BO513" t="s">
        <v>4965</v>
      </c>
      <c r="BP513" t="s">
        <v>74</v>
      </c>
      <c r="BQ513" t="s">
        <v>74</v>
      </c>
      <c r="BR513" t="s">
        <v>6098</v>
      </c>
      <c r="BS513" t="s">
        <v>9825</v>
      </c>
      <c r="BT513" t="str">
        <f>HYPERLINK("https%3A%2F%2Fwww.webofscience.com%2Fwos%2Fwoscc%2Ffull-record%2FWOS:000523033300001","View Full Record in Web of Science")</f>
        <v>View Full Record in Web of Science</v>
      </c>
      <c r="BU513" t="s">
        <v>6100</v>
      </c>
      <c r="BV513" s="1" t="s">
        <v>6080</v>
      </c>
      <c r="BW513" s="1" t="s">
        <v>6080</v>
      </c>
    </row>
    <row r="514" spans="1:75" x14ac:dyDescent="0.35">
      <c r="A514" t="s">
        <v>72</v>
      </c>
      <c r="B514" t="s">
        <v>9938</v>
      </c>
      <c r="C514" t="s">
        <v>74</v>
      </c>
      <c r="D514" t="s">
        <v>74</v>
      </c>
      <c r="E514" t="s">
        <v>74</v>
      </c>
      <c r="F514" t="s">
        <v>9939</v>
      </c>
      <c r="G514" t="s">
        <v>74</v>
      </c>
      <c r="H514" t="s">
        <v>74</v>
      </c>
      <c r="I514" t="s">
        <v>9940</v>
      </c>
      <c r="J514" t="s">
        <v>9941</v>
      </c>
      <c r="K514" t="s">
        <v>74</v>
      </c>
      <c r="L514" t="s">
        <v>74</v>
      </c>
      <c r="M514" t="s">
        <v>78</v>
      </c>
      <c r="N514" t="s">
        <v>79</v>
      </c>
      <c r="O514" t="s">
        <v>74</v>
      </c>
      <c r="P514" t="s">
        <v>74</v>
      </c>
      <c r="Q514" t="s">
        <v>74</v>
      </c>
      <c r="R514" t="s">
        <v>74</v>
      </c>
      <c r="S514" t="s">
        <v>74</v>
      </c>
      <c r="T514" t="s">
        <v>9942</v>
      </c>
      <c r="U514" t="s">
        <v>9943</v>
      </c>
      <c r="V514" t="s">
        <v>9944</v>
      </c>
      <c r="W514" t="s">
        <v>9945</v>
      </c>
      <c r="X514" t="s">
        <v>9946</v>
      </c>
      <c r="Y514" t="s">
        <v>9947</v>
      </c>
      <c r="Z514" t="s">
        <v>9948</v>
      </c>
      <c r="AA514" t="s">
        <v>74</v>
      </c>
      <c r="AB514" t="s">
        <v>74</v>
      </c>
      <c r="AC514" t="s">
        <v>74</v>
      </c>
      <c r="AD514" t="s">
        <v>74</v>
      </c>
      <c r="AE514" t="s">
        <v>74</v>
      </c>
      <c r="AF514" t="s">
        <v>74</v>
      </c>
      <c r="AG514">
        <v>24</v>
      </c>
      <c r="AH514">
        <v>38</v>
      </c>
      <c r="AI514">
        <v>38</v>
      </c>
      <c r="AJ514">
        <v>6</v>
      </c>
      <c r="AK514">
        <v>16</v>
      </c>
      <c r="AL514" t="s">
        <v>409</v>
      </c>
      <c r="AM514" t="s">
        <v>410</v>
      </c>
      <c r="AN514" t="s">
        <v>411</v>
      </c>
      <c r="AO514" t="s">
        <v>9949</v>
      </c>
      <c r="AP514" t="s">
        <v>9950</v>
      </c>
      <c r="AQ514" t="s">
        <v>74</v>
      </c>
      <c r="AR514" t="s">
        <v>9951</v>
      </c>
      <c r="AS514" t="s">
        <v>9952</v>
      </c>
      <c r="AT514" t="s">
        <v>151</v>
      </c>
      <c r="AU514">
        <v>2020</v>
      </c>
      <c r="AV514">
        <v>43</v>
      </c>
      <c r="AW514" t="s">
        <v>74</v>
      </c>
      <c r="AX514" t="s">
        <v>74</v>
      </c>
      <c r="AY514" t="s">
        <v>74</v>
      </c>
      <c r="AZ514" t="s">
        <v>74</v>
      </c>
      <c r="BA514" t="s">
        <v>74</v>
      </c>
      <c r="BB514">
        <v>269</v>
      </c>
      <c r="BC514">
        <v>272</v>
      </c>
      <c r="BD514" t="s">
        <v>74</v>
      </c>
      <c r="BE514" t="s">
        <v>9953</v>
      </c>
      <c r="BF514" t="str">
        <f>HYPERLINK("http://dx.doi.org/10.1016/j.jhtm.2019.07.001","http://dx.doi.org/10.1016/j.jhtm.2019.07.001")</f>
        <v>http://dx.doi.org/10.1016/j.jhtm.2019.07.001</v>
      </c>
      <c r="BG514" t="s">
        <v>74</v>
      </c>
      <c r="BH514" t="s">
        <v>74</v>
      </c>
      <c r="BI514">
        <v>4</v>
      </c>
      <c r="BJ514" t="s">
        <v>6387</v>
      </c>
      <c r="BK514" t="s">
        <v>101</v>
      </c>
      <c r="BL514" t="s">
        <v>6388</v>
      </c>
      <c r="BM514" t="s">
        <v>9954</v>
      </c>
      <c r="BN514" t="s">
        <v>74</v>
      </c>
      <c r="BO514" t="s">
        <v>828</v>
      </c>
      <c r="BP514" t="s">
        <v>74</v>
      </c>
      <c r="BQ514" t="s">
        <v>74</v>
      </c>
      <c r="BR514" t="s">
        <v>6098</v>
      </c>
      <c r="BS514" t="s">
        <v>9955</v>
      </c>
      <c r="BT514" t="str">
        <f>HYPERLINK("https%3A%2F%2Fwww.webofscience.com%2Fwos%2Fwoscc%2Ffull-record%2FWOS:000536583000028","View Full Record in Web of Science")</f>
        <v>View Full Record in Web of Science</v>
      </c>
      <c r="BU514" t="s">
        <v>6100</v>
      </c>
      <c r="BV514" s="1" t="s">
        <v>10653</v>
      </c>
    </row>
    <row r="515" spans="1:75" x14ac:dyDescent="0.35">
      <c r="A515" t="s">
        <v>72</v>
      </c>
      <c r="B515" t="s">
        <v>10121</v>
      </c>
      <c r="C515" t="s">
        <v>74</v>
      </c>
      <c r="D515" t="s">
        <v>74</v>
      </c>
      <c r="E515" t="s">
        <v>74</v>
      </c>
      <c r="F515" t="s">
        <v>10122</v>
      </c>
      <c r="G515" t="s">
        <v>74</v>
      </c>
      <c r="H515" t="s">
        <v>74</v>
      </c>
      <c r="I515" t="s">
        <v>10123</v>
      </c>
      <c r="J515" t="s">
        <v>5066</v>
      </c>
      <c r="K515" t="s">
        <v>74</v>
      </c>
      <c r="L515" t="s">
        <v>74</v>
      </c>
      <c r="M515" t="s">
        <v>78</v>
      </c>
      <c r="N515" t="s">
        <v>79</v>
      </c>
      <c r="O515" t="s">
        <v>74</v>
      </c>
      <c r="P515" t="s">
        <v>74</v>
      </c>
      <c r="Q515" t="s">
        <v>74</v>
      </c>
      <c r="R515" t="s">
        <v>74</v>
      </c>
      <c r="S515" t="s">
        <v>74</v>
      </c>
      <c r="T515" t="s">
        <v>10124</v>
      </c>
      <c r="U515" t="s">
        <v>10125</v>
      </c>
      <c r="V515" t="s">
        <v>10126</v>
      </c>
      <c r="W515" t="s">
        <v>10127</v>
      </c>
      <c r="X515" t="s">
        <v>10128</v>
      </c>
      <c r="Y515" t="s">
        <v>10129</v>
      </c>
      <c r="Z515" t="s">
        <v>10130</v>
      </c>
      <c r="AA515" t="s">
        <v>74</v>
      </c>
      <c r="AB515" t="s">
        <v>10131</v>
      </c>
      <c r="AC515" t="s">
        <v>74</v>
      </c>
      <c r="AD515" t="s">
        <v>74</v>
      </c>
      <c r="AE515" t="s">
        <v>74</v>
      </c>
      <c r="AF515" t="s">
        <v>74</v>
      </c>
      <c r="AG515">
        <v>51</v>
      </c>
      <c r="AH515">
        <v>6</v>
      </c>
      <c r="AI515">
        <v>6</v>
      </c>
      <c r="AJ515">
        <v>1</v>
      </c>
      <c r="AK515">
        <v>28</v>
      </c>
      <c r="AL515" t="s">
        <v>1982</v>
      </c>
      <c r="AM515" t="s">
        <v>1983</v>
      </c>
      <c r="AN515" t="s">
        <v>2573</v>
      </c>
      <c r="AO515" t="s">
        <v>5076</v>
      </c>
      <c r="AP515" t="s">
        <v>5077</v>
      </c>
      <c r="AQ515" t="s">
        <v>74</v>
      </c>
      <c r="AR515" t="s">
        <v>5078</v>
      </c>
      <c r="AS515" t="s">
        <v>5079</v>
      </c>
      <c r="AT515" t="s">
        <v>10132</v>
      </c>
      <c r="AU515">
        <v>2020</v>
      </c>
      <c r="AV515">
        <v>54</v>
      </c>
      <c r="AW515">
        <v>3</v>
      </c>
      <c r="AX515" t="s">
        <v>74</v>
      </c>
      <c r="AY515" t="s">
        <v>74</v>
      </c>
      <c r="AZ515" t="s">
        <v>259</v>
      </c>
      <c r="BA515" t="s">
        <v>74</v>
      </c>
      <c r="BB515">
        <v>594</v>
      </c>
      <c r="BC515">
        <v>614</v>
      </c>
      <c r="BD515" t="s">
        <v>74</v>
      </c>
      <c r="BE515" t="s">
        <v>10133</v>
      </c>
      <c r="BF515" t="str">
        <f>HYPERLINK("http://dx.doi.org/10.1108/EJM-01-2019-0096","http://dx.doi.org/10.1108/EJM-01-2019-0096")</f>
        <v>http://dx.doi.org/10.1108/EJM-01-2019-0096</v>
      </c>
      <c r="BG515" t="s">
        <v>74</v>
      </c>
      <c r="BH515" t="s">
        <v>4182</v>
      </c>
      <c r="BI515">
        <v>21</v>
      </c>
      <c r="BJ515" t="s">
        <v>153</v>
      </c>
      <c r="BK515" t="s">
        <v>101</v>
      </c>
      <c r="BL515" t="s">
        <v>154</v>
      </c>
      <c r="BM515" t="s">
        <v>10134</v>
      </c>
      <c r="BN515" t="s">
        <v>74</v>
      </c>
      <c r="BO515" t="s">
        <v>74</v>
      </c>
      <c r="BP515" t="s">
        <v>74</v>
      </c>
      <c r="BQ515" t="s">
        <v>74</v>
      </c>
      <c r="BR515" t="s">
        <v>6098</v>
      </c>
      <c r="BS515" t="s">
        <v>10135</v>
      </c>
      <c r="BT515" t="str">
        <f>HYPERLINK("https%3A%2F%2Fwww.webofscience.com%2Fwos%2Fwoscc%2Ffull-record%2FWOS:000514706000001","View Full Record in Web of Science")</f>
        <v>View Full Record in Web of Science</v>
      </c>
      <c r="BU515" t="s">
        <v>6100</v>
      </c>
      <c r="BV515" s="1" t="s">
        <v>6080</v>
      </c>
      <c r="BW515" s="1" t="s">
        <v>6080</v>
      </c>
    </row>
    <row r="516" spans="1:75" x14ac:dyDescent="0.35">
      <c r="A516" t="s">
        <v>72</v>
      </c>
      <c r="B516" t="s">
        <v>10344</v>
      </c>
      <c r="C516" t="s">
        <v>74</v>
      </c>
      <c r="D516" t="s">
        <v>74</v>
      </c>
      <c r="E516" t="s">
        <v>74</v>
      </c>
      <c r="F516" t="s">
        <v>10345</v>
      </c>
      <c r="G516" t="s">
        <v>74</v>
      </c>
      <c r="H516" t="s">
        <v>74</v>
      </c>
      <c r="I516" t="s">
        <v>10346</v>
      </c>
      <c r="J516" t="s">
        <v>8245</v>
      </c>
      <c r="K516" t="s">
        <v>74</v>
      </c>
      <c r="L516" t="s">
        <v>74</v>
      </c>
      <c r="M516" t="s">
        <v>78</v>
      </c>
      <c r="N516" t="s">
        <v>79</v>
      </c>
      <c r="O516" t="s">
        <v>74</v>
      </c>
      <c r="P516" t="s">
        <v>74</v>
      </c>
      <c r="Q516" t="s">
        <v>74</v>
      </c>
      <c r="R516" t="s">
        <v>74</v>
      </c>
      <c r="S516" t="s">
        <v>74</v>
      </c>
      <c r="T516" t="s">
        <v>10347</v>
      </c>
      <c r="U516" t="s">
        <v>10348</v>
      </c>
      <c r="V516" t="s">
        <v>10349</v>
      </c>
      <c r="W516" t="s">
        <v>10350</v>
      </c>
      <c r="X516" t="s">
        <v>10351</v>
      </c>
      <c r="Y516" t="s">
        <v>10352</v>
      </c>
      <c r="Z516" t="s">
        <v>10353</v>
      </c>
      <c r="AA516" t="s">
        <v>10199</v>
      </c>
      <c r="AB516" t="s">
        <v>10354</v>
      </c>
      <c r="AC516" t="s">
        <v>10355</v>
      </c>
      <c r="AD516" t="s">
        <v>10356</v>
      </c>
      <c r="AE516" t="s">
        <v>10357</v>
      </c>
      <c r="AF516" t="s">
        <v>74</v>
      </c>
      <c r="AG516">
        <v>54</v>
      </c>
      <c r="AH516">
        <v>30</v>
      </c>
      <c r="AI516">
        <v>31</v>
      </c>
      <c r="AJ516">
        <v>8</v>
      </c>
      <c r="AK516">
        <v>89</v>
      </c>
      <c r="AL516" t="s">
        <v>1982</v>
      </c>
      <c r="AM516" t="s">
        <v>1983</v>
      </c>
      <c r="AN516" t="s">
        <v>2573</v>
      </c>
      <c r="AO516" t="s">
        <v>8255</v>
      </c>
      <c r="AP516" t="s">
        <v>8256</v>
      </c>
      <c r="AQ516" t="s">
        <v>74</v>
      </c>
      <c r="AR516" t="s">
        <v>8257</v>
      </c>
      <c r="AS516" t="s">
        <v>8258</v>
      </c>
      <c r="AT516" t="s">
        <v>10358</v>
      </c>
      <c r="AU516">
        <v>2020</v>
      </c>
      <c r="AV516">
        <v>32</v>
      </c>
      <c r="AW516">
        <v>3</v>
      </c>
      <c r="AX516" t="s">
        <v>74</v>
      </c>
      <c r="AY516" t="s">
        <v>74</v>
      </c>
      <c r="AZ516" t="s">
        <v>74</v>
      </c>
      <c r="BA516" t="s">
        <v>74</v>
      </c>
      <c r="BB516">
        <v>1067</v>
      </c>
      <c r="BC516">
        <v>1087</v>
      </c>
      <c r="BD516" t="s">
        <v>74</v>
      </c>
      <c r="BE516" t="s">
        <v>10359</v>
      </c>
      <c r="BF516" t="str">
        <f>HYPERLINK("http://dx.doi.org/10.1108/IJCHM-03-2019-0263","http://dx.doi.org/10.1108/IJCHM-03-2019-0263")</f>
        <v>http://dx.doi.org/10.1108/IJCHM-03-2019-0263</v>
      </c>
      <c r="BG516" t="s">
        <v>74</v>
      </c>
      <c r="BH516" t="s">
        <v>5003</v>
      </c>
      <c r="BI516">
        <v>21</v>
      </c>
      <c r="BJ516" t="s">
        <v>6387</v>
      </c>
      <c r="BK516" t="s">
        <v>101</v>
      </c>
      <c r="BL516" t="s">
        <v>6388</v>
      </c>
      <c r="BM516" t="s">
        <v>10360</v>
      </c>
      <c r="BN516" t="s">
        <v>74</v>
      </c>
      <c r="BO516" t="s">
        <v>74</v>
      </c>
      <c r="BP516" t="s">
        <v>74</v>
      </c>
      <c r="BQ516" t="s">
        <v>74</v>
      </c>
      <c r="BR516" t="s">
        <v>6098</v>
      </c>
      <c r="BS516" t="s">
        <v>10361</v>
      </c>
      <c r="BT516" t="str">
        <f>HYPERLINK("https%3A%2F%2Fwww.webofscience.com%2Fwos%2Fwoscc%2Ffull-record%2FWOS:000522463000001","View Full Record in Web of Science")</f>
        <v>View Full Record in Web of Science</v>
      </c>
      <c r="BU516" t="s">
        <v>6100</v>
      </c>
      <c r="BV516" s="1" t="s">
        <v>10653</v>
      </c>
    </row>
    <row r="517" spans="1:75" x14ac:dyDescent="0.35">
      <c r="A517" t="s">
        <v>72</v>
      </c>
      <c r="B517" t="s">
        <v>10440</v>
      </c>
      <c r="C517" t="s">
        <v>74</v>
      </c>
      <c r="D517" t="s">
        <v>74</v>
      </c>
      <c r="E517" t="s">
        <v>74</v>
      </c>
      <c r="F517" t="s">
        <v>10441</v>
      </c>
      <c r="G517" t="s">
        <v>74</v>
      </c>
      <c r="H517" t="s">
        <v>74</v>
      </c>
      <c r="I517" t="s">
        <v>10442</v>
      </c>
      <c r="J517" t="s">
        <v>10443</v>
      </c>
      <c r="K517" t="s">
        <v>74</v>
      </c>
      <c r="L517" t="s">
        <v>74</v>
      </c>
      <c r="M517" t="s">
        <v>78</v>
      </c>
      <c r="N517" t="s">
        <v>79</v>
      </c>
      <c r="O517" t="s">
        <v>74</v>
      </c>
      <c r="P517" t="s">
        <v>74</v>
      </c>
      <c r="Q517" t="s">
        <v>74</v>
      </c>
      <c r="R517" t="s">
        <v>74</v>
      </c>
      <c r="S517" t="s">
        <v>74</v>
      </c>
      <c r="T517" t="s">
        <v>10444</v>
      </c>
      <c r="U517" t="s">
        <v>10445</v>
      </c>
      <c r="V517" t="s">
        <v>10446</v>
      </c>
      <c r="W517" t="s">
        <v>10447</v>
      </c>
      <c r="X517" t="s">
        <v>10448</v>
      </c>
      <c r="Y517" t="s">
        <v>10449</v>
      </c>
      <c r="Z517" t="s">
        <v>10450</v>
      </c>
      <c r="AA517" t="s">
        <v>10451</v>
      </c>
      <c r="AB517" t="s">
        <v>10452</v>
      </c>
      <c r="AC517" t="s">
        <v>74</v>
      </c>
      <c r="AD517" t="s">
        <v>74</v>
      </c>
      <c r="AE517" t="s">
        <v>74</v>
      </c>
      <c r="AF517" t="s">
        <v>74</v>
      </c>
      <c r="AG517">
        <v>66</v>
      </c>
      <c r="AH517">
        <v>2</v>
      </c>
      <c r="AI517">
        <v>2</v>
      </c>
      <c r="AJ517">
        <v>4</v>
      </c>
      <c r="AK517">
        <v>12</v>
      </c>
      <c r="AL517" t="s">
        <v>10453</v>
      </c>
      <c r="AM517" t="s">
        <v>10454</v>
      </c>
      <c r="AN517" t="s">
        <v>10455</v>
      </c>
      <c r="AO517" t="s">
        <v>10456</v>
      </c>
      <c r="AP517" t="s">
        <v>10457</v>
      </c>
      <c r="AQ517" t="s">
        <v>74</v>
      </c>
      <c r="AR517" t="s">
        <v>10458</v>
      </c>
      <c r="AS517" t="s">
        <v>10459</v>
      </c>
      <c r="AT517" t="s">
        <v>7923</v>
      </c>
      <c r="AU517">
        <v>2020</v>
      </c>
      <c r="AV517">
        <v>51</v>
      </c>
      <c r="AW517">
        <v>3</v>
      </c>
      <c r="AX517" t="s">
        <v>74</v>
      </c>
      <c r="AY517" t="s">
        <v>74</v>
      </c>
      <c r="AZ517" t="s">
        <v>74</v>
      </c>
      <c r="BA517" t="s">
        <v>74</v>
      </c>
      <c r="BB517">
        <v>527</v>
      </c>
      <c r="BC517">
        <v>544</v>
      </c>
      <c r="BD517" t="s">
        <v>74</v>
      </c>
      <c r="BE517" t="s">
        <v>10460</v>
      </c>
      <c r="BF517" t="str">
        <f>HYPERLINK("http://dx.doi.org/10.7200/esicm.167.0513.2","http://dx.doi.org/10.7200/esicm.167.0513.2")</f>
        <v>http://dx.doi.org/10.7200/esicm.167.0513.2</v>
      </c>
      <c r="BG517" t="s">
        <v>74</v>
      </c>
      <c r="BH517" t="s">
        <v>74</v>
      </c>
      <c r="BI517">
        <v>18</v>
      </c>
      <c r="BJ517" t="s">
        <v>153</v>
      </c>
      <c r="BK517" t="s">
        <v>3880</v>
      </c>
      <c r="BL517" t="s">
        <v>154</v>
      </c>
      <c r="BM517" t="s">
        <v>10461</v>
      </c>
      <c r="BN517" t="s">
        <v>74</v>
      </c>
      <c r="BO517" t="s">
        <v>4746</v>
      </c>
      <c r="BP517" t="s">
        <v>74</v>
      </c>
      <c r="BQ517" t="s">
        <v>74</v>
      </c>
      <c r="BR517" t="s">
        <v>6098</v>
      </c>
      <c r="BS517" t="s">
        <v>10462</v>
      </c>
      <c r="BT517" t="str">
        <f>HYPERLINK("https%3A%2F%2Fwww.webofscience.com%2Fwos%2Fwoscc%2Ffull-record%2FWOS:000583177900002","View Full Record in Web of Science")</f>
        <v>View Full Record in Web of Science</v>
      </c>
      <c r="BU517" t="s">
        <v>6100</v>
      </c>
      <c r="BV517" s="1" t="s">
        <v>10653</v>
      </c>
    </row>
    <row r="518" spans="1:75" ht="159.5" x14ac:dyDescent="0.35">
      <c r="A518" s="1" t="s">
        <v>72</v>
      </c>
      <c r="B518" s="1" t="s">
        <v>4555</v>
      </c>
      <c r="C518" s="1" t="s">
        <v>74</v>
      </c>
      <c r="D518" s="1" t="s">
        <v>74</v>
      </c>
      <c r="E518" s="1" t="s">
        <v>74</v>
      </c>
      <c r="F518" s="1" t="s">
        <v>4556</v>
      </c>
      <c r="G518" s="1" t="s">
        <v>74</v>
      </c>
      <c r="H518" s="1" t="s">
        <v>74</v>
      </c>
      <c r="I518" s="1" t="s">
        <v>4557</v>
      </c>
      <c r="J518" s="1" t="s">
        <v>136</v>
      </c>
      <c r="K518" s="1" t="s">
        <v>74</v>
      </c>
      <c r="L518" s="1" t="s">
        <v>74</v>
      </c>
      <c r="M518" s="1" t="s">
        <v>78</v>
      </c>
      <c r="N518" s="1" t="s">
        <v>1352</v>
      </c>
      <c r="O518" s="1" t="s">
        <v>74</v>
      </c>
      <c r="P518" s="1" t="s">
        <v>74</v>
      </c>
      <c r="Q518" s="1" t="s">
        <v>74</v>
      </c>
      <c r="R518" s="1" t="s">
        <v>74</v>
      </c>
      <c r="S518" s="1" t="s">
        <v>74</v>
      </c>
      <c r="T518" s="1" t="s">
        <v>74</v>
      </c>
      <c r="U518" s="1" t="s">
        <v>4558</v>
      </c>
      <c r="V518" s="1" t="s">
        <v>74</v>
      </c>
      <c r="W518" s="1" t="s">
        <v>4559</v>
      </c>
      <c r="X518" s="1" t="s">
        <v>4560</v>
      </c>
      <c r="Y518" s="1" t="s">
        <v>4561</v>
      </c>
      <c r="Z518" s="1" t="s">
        <v>4562</v>
      </c>
      <c r="AA518" s="1" t="s">
        <v>74</v>
      </c>
      <c r="AB518" s="1" t="s">
        <v>74</v>
      </c>
      <c r="AC518" s="1" t="s">
        <v>74</v>
      </c>
      <c r="AD518" s="1" t="s">
        <v>74</v>
      </c>
      <c r="AE518" s="1" t="s">
        <v>74</v>
      </c>
      <c r="AF518" s="1" t="s">
        <v>74</v>
      </c>
      <c r="AG518" s="1">
        <v>64</v>
      </c>
      <c r="AH518" s="1">
        <v>4</v>
      </c>
      <c r="AI518" s="1">
        <v>4</v>
      </c>
      <c r="AJ518" s="1">
        <v>35</v>
      </c>
      <c r="AK518" s="1">
        <v>103</v>
      </c>
      <c r="AL518" s="1" t="s">
        <v>144</v>
      </c>
      <c r="AM518" s="1" t="s">
        <v>145</v>
      </c>
      <c r="AN518" s="1" t="s">
        <v>146</v>
      </c>
      <c r="AO518" s="1" t="s">
        <v>147</v>
      </c>
      <c r="AP518" s="1" t="s">
        <v>148</v>
      </c>
      <c r="AQ518" s="1" t="s">
        <v>74</v>
      </c>
      <c r="AR518" s="1" t="s">
        <v>149</v>
      </c>
      <c r="AS518" s="1" t="s">
        <v>150</v>
      </c>
      <c r="AT518" s="1" t="s">
        <v>348</v>
      </c>
      <c r="AU518" s="1">
        <v>2021</v>
      </c>
      <c r="AV518" s="1">
        <v>58</v>
      </c>
      <c r="AW518" s="1">
        <v>6</v>
      </c>
      <c r="AX518" s="1" t="s">
        <v>74</v>
      </c>
      <c r="AY518" s="1" t="s">
        <v>74</v>
      </c>
      <c r="AZ518" s="1" t="s">
        <v>259</v>
      </c>
      <c r="BA518" s="1" t="s">
        <v>74</v>
      </c>
      <c r="BB518" s="1">
        <v>1025</v>
      </c>
      <c r="BC518" s="1">
        <v>1033</v>
      </c>
      <c r="BD518" s="1" t="s">
        <v>74</v>
      </c>
      <c r="BE518" s="1" t="s">
        <v>4563</v>
      </c>
      <c r="BF518" s="1" t="str">
        <f>HYPERLINK("http://dx.doi.org/10.1177/00222437211054601","http://dx.doi.org/10.1177/00222437211054601")</f>
        <v>http://dx.doi.org/10.1177/00222437211054601</v>
      </c>
      <c r="BG518" s="1" t="s">
        <v>74</v>
      </c>
      <c r="BH518" s="1" t="s">
        <v>74</v>
      </c>
      <c r="BI518" s="1">
        <v>9</v>
      </c>
      <c r="BJ518" s="1" t="s">
        <v>153</v>
      </c>
      <c r="BK518" s="1" t="s">
        <v>101</v>
      </c>
      <c r="BL518" s="1" t="s">
        <v>154</v>
      </c>
      <c r="BM518" s="1" t="s">
        <v>4564</v>
      </c>
      <c r="BN518" s="1" t="s">
        <v>74</v>
      </c>
      <c r="BO518" s="1" t="s">
        <v>74</v>
      </c>
      <c r="BP518" s="1" t="s">
        <v>74</v>
      </c>
      <c r="BQ518" s="1" t="s">
        <v>74</v>
      </c>
      <c r="BR518" s="1" t="s">
        <v>4296</v>
      </c>
      <c r="BS518" s="1" t="s">
        <v>4565</v>
      </c>
      <c r="BT518" s="1" t="str">
        <f>HYPERLINK("https%3A%2F%2Fwww.webofscience.com%2Fwos%2Fwoscc%2Ffull-record%2FWOS:000718909600001","View Full Record in Web of Science")</f>
        <v>View Full Record in Web of Science</v>
      </c>
      <c r="BU518" s="1" t="s">
        <v>5876</v>
      </c>
      <c r="BV518" s="1" t="s">
        <v>6080</v>
      </c>
      <c r="BW518" s="1" t="s">
        <v>6080</v>
      </c>
    </row>
    <row r="519" spans="1:75" ht="409.5" x14ac:dyDescent="0.35">
      <c r="A519" s="1" t="s">
        <v>72</v>
      </c>
      <c r="B519" s="1" t="s">
        <v>4566</v>
      </c>
      <c r="C519" s="1" t="s">
        <v>74</v>
      </c>
      <c r="D519" s="1" t="s">
        <v>74</v>
      </c>
      <c r="E519" s="1" t="s">
        <v>74</v>
      </c>
      <c r="F519" s="1" t="s">
        <v>4567</v>
      </c>
      <c r="G519" s="1" t="s">
        <v>74</v>
      </c>
      <c r="H519" s="1" t="s">
        <v>74</v>
      </c>
      <c r="I519" s="1" t="s">
        <v>4568</v>
      </c>
      <c r="J519" s="1" t="s">
        <v>136</v>
      </c>
      <c r="K519" s="1" t="s">
        <v>74</v>
      </c>
      <c r="L519" s="1" t="s">
        <v>74</v>
      </c>
      <c r="M519" s="1" t="s">
        <v>78</v>
      </c>
      <c r="N519" s="1" t="s">
        <v>79</v>
      </c>
      <c r="O519" s="1" t="s">
        <v>74</v>
      </c>
      <c r="P519" s="1" t="s">
        <v>74</v>
      </c>
      <c r="Q519" s="1" t="s">
        <v>74</v>
      </c>
      <c r="R519" s="1" t="s">
        <v>74</v>
      </c>
      <c r="S519" s="1" t="s">
        <v>74</v>
      </c>
      <c r="T519" s="1" t="s">
        <v>4569</v>
      </c>
      <c r="U519" s="1" t="s">
        <v>4570</v>
      </c>
      <c r="V519" s="1" t="s">
        <v>4571</v>
      </c>
      <c r="W519" s="1" t="s">
        <v>4572</v>
      </c>
      <c r="X519" s="1" t="s">
        <v>4573</v>
      </c>
      <c r="Y519" s="1" t="s">
        <v>4574</v>
      </c>
      <c r="Z519" s="1" t="s">
        <v>795</v>
      </c>
      <c r="AA519" s="1" t="s">
        <v>74</v>
      </c>
      <c r="AB519" s="1" t="s">
        <v>796</v>
      </c>
      <c r="AC519" s="1" t="s">
        <v>4575</v>
      </c>
      <c r="AD519" s="1" t="s">
        <v>4576</v>
      </c>
      <c r="AE519" s="1" t="s">
        <v>4577</v>
      </c>
      <c r="AF519" s="1" t="s">
        <v>74</v>
      </c>
      <c r="AG519" s="1">
        <v>66</v>
      </c>
      <c r="AH519" s="1">
        <v>12</v>
      </c>
      <c r="AI519" s="1">
        <v>12</v>
      </c>
      <c r="AJ519" s="1">
        <v>57</v>
      </c>
      <c r="AK519" s="1">
        <v>170</v>
      </c>
      <c r="AL519" s="1" t="s">
        <v>144</v>
      </c>
      <c r="AM519" s="1" t="s">
        <v>145</v>
      </c>
      <c r="AN519" s="1" t="s">
        <v>146</v>
      </c>
      <c r="AO519" s="1" t="s">
        <v>147</v>
      </c>
      <c r="AP519" s="1" t="s">
        <v>148</v>
      </c>
      <c r="AQ519" s="1" t="s">
        <v>74</v>
      </c>
      <c r="AR519" s="1" t="s">
        <v>149</v>
      </c>
      <c r="AS519" s="1" t="s">
        <v>150</v>
      </c>
      <c r="AT519" s="1" t="s">
        <v>348</v>
      </c>
      <c r="AU519" s="1">
        <v>2021</v>
      </c>
      <c r="AV519" s="1">
        <v>58</v>
      </c>
      <c r="AW519" s="1">
        <v>6</v>
      </c>
      <c r="AX519" s="1" t="s">
        <v>74</v>
      </c>
      <c r="AY519" s="1" t="s">
        <v>74</v>
      </c>
      <c r="AZ519" s="1" t="s">
        <v>259</v>
      </c>
      <c r="BA519" s="1" t="s">
        <v>74</v>
      </c>
      <c r="BB519" s="1">
        <v>1159</v>
      </c>
      <c r="BC519" s="1">
        <v>1177</v>
      </c>
      <c r="BD519" s="1">
        <v>222437211037258</v>
      </c>
      <c r="BE519" s="1" t="s">
        <v>4578</v>
      </c>
      <c r="BF519" s="1" t="str">
        <f>HYPERLINK("http://dx.doi.org/10.1177/00222437211037258","http://dx.doi.org/10.1177/00222437211037258")</f>
        <v>http://dx.doi.org/10.1177/00222437211037258</v>
      </c>
      <c r="BG519" s="1" t="s">
        <v>74</v>
      </c>
      <c r="BH519" s="1" t="s">
        <v>4579</v>
      </c>
      <c r="BI519" s="1">
        <v>19</v>
      </c>
      <c r="BJ519" s="1" t="s">
        <v>153</v>
      </c>
      <c r="BK519" s="1" t="s">
        <v>101</v>
      </c>
      <c r="BL519" s="1" t="s">
        <v>154</v>
      </c>
      <c r="BM519" s="1" t="s">
        <v>4564</v>
      </c>
      <c r="BN519" s="1" t="s">
        <v>74</v>
      </c>
      <c r="BO519" s="1" t="s">
        <v>4580</v>
      </c>
      <c r="BP519" s="1" t="s">
        <v>74</v>
      </c>
      <c r="BQ519" s="1" t="s">
        <v>74</v>
      </c>
      <c r="BR519" s="1" t="s">
        <v>4296</v>
      </c>
      <c r="BS519" s="1" t="s">
        <v>4581</v>
      </c>
      <c r="BT519" s="1" t="str">
        <f>HYPERLINK("https%3A%2F%2Fwww.webofscience.com%2Fwos%2Fwoscc%2Ffull-record%2FWOS:000709525700001","View Full Record in Web of Science")</f>
        <v>View Full Record in Web of Science</v>
      </c>
      <c r="BU519" s="1" t="s">
        <v>5876</v>
      </c>
      <c r="BV519" s="1" t="s">
        <v>6080</v>
      </c>
      <c r="BW519" s="1" t="s">
        <v>6080</v>
      </c>
    </row>
    <row r="520" spans="1:75" ht="409.5" x14ac:dyDescent="0.35">
      <c r="A520" s="1" t="s">
        <v>72</v>
      </c>
      <c r="B520" s="1" t="s">
        <v>4582</v>
      </c>
      <c r="C520" s="1" t="s">
        <v>74</v>
      </c>
      <c r="D520" s="1" t="s">
        <v>74</v>
      </c>
      <c r="E520" s="1" t="s">
        <v>74</v>
      </c>
      <c r="F520" s="1" t="s">
        <v>4583</v>
      </c>
      <c r="G520" s="1" t="s">
        <v>74</v>
      </c>
      <c r="H520" s="1" t="s">
        <v>74</v>
      </c>
      <c r="I520" s="1" t="s">
        <v>4584</v>
      </c>
      <c r="J520" s="1" t="s">
        <v>136</v>
      </c>
      <c r="K520" s="1" t="s">
        <v>74</v>
      </c>
      <c r="L520" s="1" t="s">
        <v>74</v>
      </c>
      <c r="M520" s="1" t="s">
        <v>78</v>
      </c>
      <c r="N520" s="1" t="s">
        <v>79</v>
      </c>
      <c r="O520" s="1" t="s">
        <v>74</v>
      </c>
      <c r="P520" s="1" t="s">
        <v>74</v>
      </c>
      <c r="Q520" s="1" t="s">
        <v>74</v>
      </c>
      <c r="R520" s="1" t="s">
        <v>74</v>
      </c>
      <c r="S520" s="1" t="s">
        <v>74</v>
      </c>
      <c r="T520" s="1" t="s">
        <v>4585</v>
      </c>
      <c r="U520" s="1" t="s">
        <v>4586</v>
      </c>
      <c r="V520" s="1" t="s">
        <v>4587</v>
      </c>
      <c r="W520" s="1" t="s">
        <v>4588</v>
      </c>
      <c r="X520" s="1" t="s">
        <v>4589</v>
      </c>
      <c r="Y520" s="1" t="s">
        <v>4590</v>
      </c>
      <c r="Z520" s="1" t="s">
        <v>4591</v>
      </c>
      <c r="AA520" s="1" t="s">
        <v>74</v>
      </c>
      <c r="AB520" s="1" t="s">
        <v>74</v>
      </c>
      <c r="AC520" s="1" t="s">
        <v>4592</v>
      </c>
      <c r="AD520" s="1" t="s">
        <v>4592</v>
      </c>
      <c r="AE520" s="1" t="s">
        <v>4593</v>
      </c>
      <c r="AF520" s="1" t="s">
        <v>74</v>
      </c>
      <c r="AG520" s="1">
        <v>67</v>
      </c>
      <c r="AH520" s="1">
        <v>4</v>
      </c>
      <c r="AI520" s="1">
        <v>4</v>
      </c>
      <c r="AJ520" s="1">
        <v>12</v>
      </c>
      <c r="AK520" s="1">
        <v>35</v>
      </c>
      <c r="AL520" s="1" t="s">
        <v>144</v>
      </c>
      <c r="AM520" s="1" t="s">
        <v>145</v>
      </c>
      <c r="AN520" s="1" t="s">
        <v>146</v>
      </c>
      <c r="AO520" s="1" t="s">
        <v>147</v>
      </c>
      <c r="AP520" s="1" t="s">
        <v>148</v>
      </c>
      <c r="AQ520" s="1" t="s">
        <v>74</v>
      </c>
      <c r="AR520" s="1" t="s">
        <v>149</v>
      </c>
      <c r="AS520" s="1" t="s">
        <v>150</v>
      </c>
      <c r="AT520" s="1" t="s">
        <v>348</v>
      </c>
      <c r="AU520" s="1">
        <v>2021</v>
      </c>
      <c r="AV520" s="1">
        <v>58</v>
      </c>
      <c r="AW520" s="1">
        <v>6</v>
      </c>
      <c r="AX520" s="1" t="s">
        <v>74</v>
      </c>
      <c r="AY520" s="1" t="s">
        <v>74</v>
      </c>
      <c r="AZ520" s="1" t="s">
        <v>259</v>
      </c>
      <c r="BA520" s="1" t="s">
        <v>74</v>
      </c>
      <c r="BB520" s="1">
        <v>1034</v>
      </c>
      <c r="BC520" s="1">
        <v>1057</v>
      </c>
      <c r="BD520" s="1">
        <v>222437211016495</v>
      </c>
      <c r="BE520" s="1" t="s">
        <v>4594</v>
      </c>
      <c r="BF520" s="1" t="str">
        <f>HYPERLINK("http://dx.doi.org/10.1177/00222437211016495","http://dx.doi.org/10.1177/00222437211016495")</f>
        <v>http://dx.doi.org/10.1177/00222437211016495</v>
      </c>
      <c r="BG520" s="1" t="s">
        <v>74</v>
      </c>
      <c r="BH520" s="1" t="s">
        <v>4579</v>
      </c>
      <c r="BI520" s="1">
        <v>24</v>
      </c>
      <c r="BJ520" s="1" t="s">
        <v>153</v>
      </c>
      <c r="BK520" s="1" t="s">
        <v>101</v>
      </c>
      <c r="BL520" s="1" t="s">
        <v>154</v>
      </c>
      <c r="BM520" s="1" t="s">
        <v>4564</v>
      </c>
      <c r="BN520" s="1" t="s">
        <v>74</v>
      </c>
      <c r="BO520" s="1" t="s">
        <v>74</v>
      </c>
      <c r="BP520" s="1" t="s">
        <v>74</v>
      </c>
      <c r="BQ520" s="1" t="s">
        <v>74</v>
      </c>
      <c r="BR520" s="1" t="s">
        <v>4296</v>
      </c>
      <c r="BS520" s="1" t="s">
        <v>4595</v>
      </c>
      <c r="BT520" s="1" t="str">
        <f>HYPERLINK("https%3A%2F%2Fwww.webofscience.com%2Fwos%2Fwoscc%2Ffull-record%2FWOS:000706116200001","View Full Record in Web of Science")</f>
        <v>View Full Record in Web of Science</v>
      </c>
      <c r="BU520" s="1" t="s">
        <v>5876</v>
      </c>
      <c r="BV520" s="1" t="s">
        <v>6080</v>
      </c>
      <c r="BW520" s="1" t="s">
        <v>6080</v>
      </c>
    </row>
    <row r="521" spans="1:75" ht="391.5" x14ac:dyDescent="0.35">
      <c r="A521" s="1" t="s">
        <v>72</v>
      </c>
      <c r="B521" s="1" t="s">
        <v>4596</v>
      </c>
      <c r="C521" s="1" t="s">
        <v>74</v>
      </c>
      <c r="D521" s="1" t="s">
        <v>74</v>
      </c>
      <c r="E521" s="1" t="s">
        <v>74</v>
      </c>
      <c r="F521" s="1" t="s">
        <v>4597</v>
      </c>
      <c r="G521" s="1" t="s">
        <v>74</v>
      </c>
      <c r="H521" s="1" t="s">
        <v>74</v>
      </c>
      <c r="I521" s="1" t="s">
        <v>4598</v>
      </c>
      <c r="J521" s="1" t="s">
        <v>504</v>
      </c>
      <c r="K521" s="1" t="s">
        <v>74</v>
      </c>
      <c r="L521" s="1" t="s">
        <v>74</v>
      </c>
      <c r="M521" s="1" t="s">
        <v>78</v>
      </c>
      <c r="N521" s="1" t="s">
        <v>79</v>
      </c>
      <c r="O521" s="1" t="s">
        <v>74</v>
      </c>
      <c r="P521" s="1" t="s">
        <v>74</v>
      </c>
      <c r="Q521" s="1" t="s">
        <v>74</v>
      </c>
      <c r="R521" s="1" t="s">
        <v>74</v>
      </c>
      <c r="S521" s="1" t="s">
        <v>74</v>
      </c>
      <c r="T521" s="1" t="s">
        <v>4599</v>
      </c>
      <c r="U521" s="1" t="s">
        <v>74</v>
      </c>
      <c r="V521" s="1" t="s">
        <v>4600</v>
      </c>
      <c r="W521" s="1" t="s">
        <v>4601</v>
      </c>
      <c r="X521" s="1" t="s">
        <v>4602</v>
      </c>
      <c r="Y521" s="1" t="s">
        <v>4603</v>
      </c>
      <c r="Z521" s="1" t="s">
        <v>4604</v>
      </c>
      <c r="AA521" s="1" t="s">
        <v>4605</v>
      </c>
      <c r="AB521" s="1" t="s">
        <v>74</v>
      </c>
      <c r="AC521" s="1" t="s">
        <v>74</v>
      </c>
      <c r="AD521" s="1" t="s">
        <v>74</v>
      </c>
      <c r="AE521" s="1" t="s">
        <v>74</v>
      </c>
      <c r="AF521" s="1" t="s">
        <v>74</v>
      </c>
      <c r="AG521" s="1">
        <v>37</v>
      </c>
      <c r="AH521" s="1">
        <v>1</v>
      </c>
      <c r="AI521" s="1">
        <v>1</v>
      </c>
      <c r="AJ521" s="1">
        <v>6</v>
      </c>
      <c r="AK521" s="1">
        <v>35</v>
      </c>
      <c r="AL521" s="1" t="s">
        <v>446</v>
      </c>
      <c r="AM521" s="1" t="s">
        <v>447</v>
      </c>
      <c r="AN521" s="1" t="s">
        <v>448</v>
      </c>
      <c r="AO521" s="1" t="s">
        <v>514</v>
      </c>
      <c r="AP521" s="1" t="s">
        <v>574</v>
      </c>
      <c r="AQ521" s="1" t="s">
        <v>74</v>
      </c>
      <c r="AR521" s="1" t="s">
        <v>515</v>
      </c>
      <c r="AS521" s="1" t="s">
        <v>516</v>
      </c>
      <c r="AT521" s="1" t="s">
        <v>281</v>
      </c>
      <c r="AU521" s="1">
        <v>2021</v>
      </c>
      <c r="AV521" s="1">
        <v>67</v>
      </c>
      <c r="AW521" s="1">
        <v>10</v>
      </c>
      <c r="AX521" s="1" t="s">
        <v>74</v>
      </c>
      <c r="AY521" s="1" t="s">
        <v>74</v>
      </c>
      <c r="AZ521" s="1" t="s">
        <v>74</v>
      </c>
      <c r="BA521" s="1" t="s">
        <v>74</v>
      </c>
      <c r="BB521" s="1">
        <v>6378</v>
      </c>
      <c r="BC521" s="1">
        <v>6398</v>
      </c>
      <c r="BD521" s="1" t="s">
        <v>74</v>
      </c>
      <c r="BE521" s="1" t="s">
        <v>4606</v>
      </c>
      <c r="BF521" s="1" t="str">
        <f>HYPERLINK("http://dx.doi.org/10.1287/mnsc.2020.3827","http://dx.doi.org/10.1287/mnsc.2020.3827")</f>
        <v>http://dx.doi.org/10.1287/mnsc.2020.3827</v>
      </c>
      <c r="BG521" s="1" t="s">
        <v>74</v>
      </c>
      <c r="BH521" s="1" t="s">
        <v>74</v>
      </c>
      <c r="BI521" s="1">
        <v>21</v>
      </c>
      <c r="BJ521" s="1" t="s">
        <v>519</v>
      </c>
      <c r="BK521" s="1" t="s">
        <v>520</v>
      </c>
      <c r="BL521" s="1" t="s">
        <v>521</v>
      </c>
      <c r="BM521" s="1" t="s">
        <v>4607</v>
      </c>
      <c r="BN521" s="1" t="s">
        <v>74</v>
      </c>
      <c r="BO521" s="1" t="s">
        <v>74</v>
      </c>
      <c r="BP521" s="1" t="s">
        <v>74</v>
      </c>
      <c r="BQ521" s="1" t="s">
        <v>74</v>
      </c>
      <c r="BR521" s="1" t="s">
        <v>4296</v>
      </c>
      <c r="BS521" s="1" t="s">
        <v>4608</v>
      </c>
      <c r="BT521" s="1" t="str">
        <f>HYPERLINK("https%3A%2F%2Fwww.webofscience.com%2Fwos%2Fwoscc%2Ffull-record%2FWOS:000714555500002","View Full Record in Web of Science")</f>
        <v>View Full Record in Web of Science</v>
      </c>
      <c r="BU521" s="1" t="s">
        <v>5876</v>
      </c>
      <c r="BV521" s="1" t="s">
        <v>10653</v>
      </c>
    </row>
    <row r="522" spans="1:75" ht="409.5" x14ac:dyDescent="0.35">
      <c r="A522" s="1" t="s">
        <v>72</v>
      </c>
      <c r="B522" s="1" t="s">
        <v>4609</v>
      </c>
      <c r="C522" s="1" t="s">
        <v>74</v>
      </c>
      <c r="D522" s="1" t="s">
        <v>74</v>
      </c>
      <c r="E522" s="1" t="s">
        <v>74</v>
      </c>
      <c r="F522" s="1" t="s">
        <v>4610</v>
      </c>
      <c r="G522" s="1" t="s">
        <v>74</v>
      </c>
      <c r="H522" s="1" t="s">
        <v>74</v>
      </c>
      <c r="I522" s="1" t="s">
        <v>4611</v>
      </c>
      <c r="J522" s="1" t="s">
        <v>240</v>
      </c>
      <c r="K522" s="1" t="s">
        <v>74</v>
      </c>
      <c r="L522" s="1" t="s">
        <v>74</v>
      </c>
      <c r="M522" s="1" t="s">
        <v>78</v>
      </c>
      <c r="N522" s="1" t="s">
        <v>79</v>
      </c>
      <c r="O522" s="1" t="s">
        <v>74</v>
      </c>
      <c r="P522" s="1" t="s">
        <v>74</v>
      </c>
      <c r="Q522" s="1" t="s">
        <v>74</v>
      </c>
      <c r="R522" s="1" t="s">
        <v>74</v>
      </c>
      <c r="S522" s="1" t="s">
        <v>74</v>
      </c>
      <c r="T522" s="1" t="s">
        <v>4612</v>
      </c>
      <c r="U522" s="1" t="s">
        <v>4613</v>
      </c>
      <c r="V522" s="1" t="s">
        <v>4614</v>
      </c>
      <c r="W522" s="1" t="s">
        <v>4615</v>
      </c>
      <c r="X522" s="1" t="s">
        <v>4616</v>
      </c>
      <c r="Y522" s="1" t="s">
        <v>4617</v>
      </c>
      <c r="Z522" s="1" t="s">
        <v>4618</v>
      </c>
      <c r="AA522" s="1" t="s">
        <v>74</v>
      </c>
      <c r="AB522" s="1" t="s">
        <v>4619</v>
      </c>
      <c r="AC522" s="1" t="s">
        <v>74</v>
      </c>
      <c r="AD522" s="1" t="s">
        <v>74</v>
      </c>
      <c r="AE522" s="1" t="s">
        <v>74</v>
      </c>
      <c r="AF522" s="1" t="s">
        <v>74</v>
      </c>
      <c r="AG522" s="1">
        <v>51</v>
      </c>
      <c r="AH522" s="1">
        <v>3</v>
      </c>
      <c r="AI522" s="1">
        <v>4</v>
      </c>
      <c r="AJ522" s="1">
        <v>7</v>
      </c>
      <c r="AK522" s="1">
        <v>43</v>
      </c>
      <c r="AL522" s="1" t="s">
        <v>144</v>
      </c>
      <c r="AM522" s="1" t="s">
        <v>145</v>
      </c>
      <c r="AN522" s="1" t="s">
        <v>146</v>
      </c>
      <c r="AO522" s="1" t="s">
        <v>254</v>
      </c>
      <c r="AP522" s="1" t="s">
        <v>255</v>
      </c>
      <c r="AQ522" s="1" t="s">
        <v>74</v>
      </c>
      <c r="AR522" s="1" t="s">
        <v>256</v>
      </c>
      <c r="AS522" s="1" t="s">
        <v>257</v>
      </c>
      <c r="AT522" s="1" t="s">
        <v>517</v>
      </c>
      <c r="AU522" s="1">
        <v>2021</v>
      </c>
      <c r="AV522" s="1">
        <v>85</v>
      </c>
      <c r="AW522" s="1">
        <v>5</v>
      </c>
      <c r="AX522" s="1" t="s">
        <v>74</v>
      </c>
      <c r="AY522" s="1" t="s">
        <v>74</v>
      </c>
      <c r="AZ522" s="1" t="s">
        <v>74</v>
      </c>
      <c r="BA522" s="1" t="s">
        <v>74</v>
      </c>
      <c r="BB522" s="1">
        <v>22</v>
      </c>
      <c r="BC522" s="1">
        <v>41</v>
      </c>
      <c r="BD522" s="1" t="s">
        <v>74</v>
      </c>
      <c r="BE522" s="1" t="s">
        <v>4620</v>
      </c>
      <c r="BF522" s="1" t="str">
        <f>HYPERLINK("http://dx.doi.org/10.1177/00222429211028145","http://dx.doi.org/10.1177/00222429211028145")</f>
        <v>http://dx.doi.org/10.1177/00222429211028145</v>
      </c>
      <c r="BG522" s="1" t="s">
        <v>74</v>
      </c>
      <c r="BH522" s="1" t="s">
        <v>74</v>
      </c>
      <c r="BI522" s="1">
        <v>20</v>
      </c>
      <c r="BJ522" s="1" t="s">
        <v>153</v>
      </c>
      <c r="BK522" s="1" t="s">
        <v>101</v>
      </c>
      <c r="BL522" s="1" t="s">
        <v>154</v>
      </c>
      <c r="BM522" s="1" t="s">
        <v>4621</v>
      </c>
      <c r="BN522" s="1" t="s">
        <v>74</v>
      </c>
      <c r="BO522" s="1" t="s">
        <v>74</v>
      </c>
      <c r="BP522" s="1" t="s">
        <v>74</v>
      </c>
      <c r="BQ522" s="1" t="s">
        <v>74</v>
      </c>
      <c r="BR522" s="1" t="s">
        <v>4296</v>
      </c>
      <c r="BS522" s="1" t="s">
        <v>4622</v>
      </c>
      <c r="BT522" s="1" t="str">
        <f>HYPERLINK("https%3A%2F%2Fwww.webofscience.com%2Fwos%2Fwoscc%2Ffull-record%2FWOS:000687648900002","View Full Record in Web of Science")</f>
        <v>View Full Record in Web of Science</v>
      </c>
      <c r="BU522" s="1" t="s">
        <v>5876</v>
      </c>
      <c r="BV522" s="1" t="s">
        <v>6080</v>
      </c>
      <c r="BW522" s="1" t="s">
        <v>6080</v>
      </c>
    </row>
    <row r="523" spans="1:75" ht="409.5" x14ac:dyDescent="0.35">
      <c r="A523" s="1" t="s">
        <v>72</v>
      </c>
      <c r="B523" s="1" t="s">
        <v>4623</v>
      </c>
      <c r="C523" s="1" t="s">
        <v>74</v>
      </c>
      <c r="D523" s="1" t="s">
        <v>74</v>
      </c>
      <c r="E523" s="1" t="s">
        <v>74</v>
      </c>
      <c r="F523" s="1" t="s">
        <v>4624</v>
      </c>
      <c r="G523" s="1" t="s">
        <v>74</v>
      </c>
      <c r="H523" s="1" t="s">
        <v>74</v>
      </c>
      <c r="I523" s="1" t="s">
        <v>4625</v>
      </c>
      <c r="J523" s="1" t="s">
        <v>436</v>
      </c>
      <c r="K523" s="1" t="s">
        <v>74</v>
      </c>
      <c r="L523" s="1" t="s">
        <v>74</v>
      </c>
      <c r="M523" s="1" t="s">
        <v>78</v>
      </c>
      <c r="N523" s="1" t="s">
        <v>110</v>
      </c>
      <c r="O523" s="1" t="s">
        <v>74</v>
      </c>
      <c r="P523" s="1" t="s">
        <v>74</v>
      </c>
      <c r="Q523" s="1" t="s">
        <v>74</v>
      </c>
      <c r="R523" s="1" t="s">
        <v>74</v>
      </c>
      <c r="S523" s="1" t="s">
        <v>74</v>
      </c>
      <c r="T523" s="1" t="s">
        <v>4626</v>
      </c>
      <c r="U523" s="1" t="s">
        <v>4627</v>
      </c>
      <c r="V523" s="1" t="s">
        <v>4628</v>
      </c>
      <c r="W523" s="1" t="s">
        <v>4629</v>
      </c>
      <c r="X523" s="1" t="s">
        <v>4630</v>
      </c>
      <c r="Y523" s="1" t="s">
        <v>1563</v>
      </c>
      <c r="Z523" s="1" t="s">
        <v>4631</v>
      </c>
      <c r="AA523" s="1" t="s">
        <v>74</v>
      </c>
      <c r="AB523" s="1" t="s">
        <v>74</v>
      </c>
      <c r="AC523" s="1" t="s">
        <v>4632</v>
      </c>
      <c r="AD523" s="1" t="s">
        <v>4633</v>
      </c>
      <c r="AE523" s="1" t="s">
        <v>4634</v>
      </c>
      <c r="AF523" s="1" t="s">
        <v>74</v>
      </c>
      <c r="AG523" s="1">
        <v>61</v>
      </c>
      <c r="AH523" s="1">
        <v>1</v>
      </c>
      <c r="AI523" s="1">
        <v>1</v>
      </c>
      <c r="AJ523" s="1">
        <v>18</v>
      </c>
      <c r="AK523" s="1">
        <v>41</v>
      </c>
      <c r="AL523" s="1" t="s">
        <v>446</v>
      </c>
      <c r="AM523" s="1" t="s">
        <v>447</v>
      </c>
      <c r="AN523" s="1" t="s">
        <v>448</v>
      </c>
      <c r="AO523" s="1" t="s">
        <v>449</v>
      </c>
      <c r="AP523" s="1" t="s">
        <v>450</v>
      </c>
      <c r="AQ523" s="1" t="s">
        <v>74</v>
      </c>
      <c r="AR523" s="1" t="s">
        <v>451</v>
      </c>
      <c r="AS523" s="1" t="s">
        <v>452</v>
      </c>
      <c r="AT523" s="1" t="s">
        <v>1203</v>
      </c>
      <c r="AU523" s="1">
        <v>2021</v>
      </c>
      <c r="AV523" s="1">
        <v>40</v>
      </c>
      <c r="AW523" s="1">
        <v>5</v>
      </c>
      <c r="AX523" s="1" t="s">
        <v>74</v>
      </c>
      <c r="AY523" s="1" t="s">
        <v>74</v>
      </c>
      <c r="AZ523" s="1" t="s">
        <v>74</v>
      </c>
      <c r="BA523" s="1" t="s">
        <v>74</v>
      </c>
      <c r="BB523" s="1">
        <v>985</v>
      </c>
      <c r="BC523" s="1">
        <v>1004</v>
      </c>
      <c r="BD523" s="1" t="s">
        <v>74</v>
      </c>
      <c r="BE523" s="1" t="s">
        <v>4635</v>
      </c>
      <c r="BF523" s="1" t="str">
        <f>HYPERLINK("http://dx.doi.org/10.1287/mksc.2021.1294","http://dx.doi.org/10.1287/mksc.2021.1294")</f>
        <v>http://dx.doi.org/10.1287/mksc.2021.1294</v>
      </c>
      <c r="BG523" s="1" t="s">
        <v>74</v>
      </c>
      <c r="BH523" s="1" t="s">
        <v>74</v>
      </c>
      <c r="BI523" s="1">
        <v>21</v>
      </c>
      <c r="BJ523" s="1" t="s">
        <v>153</v>
      </c>
      <c r="BK523" s="1" t="s">
        <v>101</v>
      </c>
      <c r="BL523" s="1" t="s">
        <v>154</v>
      </c>
      <c r="BM523" s="1" t="s">
        <v>4636</v>
      </c>
      <c r="BN523" s="1" t="s">
        <v>74</v>
      </c>
      <c r="BO523" s="1" t="s">
        <v>74</v>
      </c>
      <c r="BP523" s="1" t="s">
        <v>74</v>
      </c>
      <c r="BQ523" s="1" t="s">
        <v>74</v>
      </c>
      <c r="BR523" s="1" t="s">
        <v>4296</v>
      </c>
      <c r="BS523" s="1" t="s">
        <v>4637</v>
      </c>
      <c r="BT523" s="1" t="str">
        <f>HYPERLINK("https%3A%2F%2Fwww.webofscience.com%2Fwos%2Fwoscc%2Ffull-record%2FWOS:000747841200009","View Full Record in Web of Science")</f>
        <v>View Full Record in Web of Science</v>
      </c>
      <c r="BU523" s="1" t="s">
        <v>5876</v>
      </c>
      <c r="BV523" s="1" t="s">
        <v>6080</v>
      </c>
      <c r="BW523" s="1" t="s">
        <v>6080</v>
      </c>
    </row>
    <row r="524" spans="1:75" ht="377" x14ac:dyDescent="0.35">
      <c r="A524" s="1" t="s">
        <v>72</v>
      </c>
      <c r="B524" s="1" t="s">
        <v>4655</v>
      </c>
      <c r="C524" s="1" t="s">
        <v>74</v>
      </c>
      <c r="D524" s="1" t="s">
        <v>74</v>
      </c>
      <c r="E524" s="1" t="s">
        <v>74</v>
      </c>
      <c r="F524" s="1" t="s">
        <v>4656</v>
      </c>
      <c r="G524" s="1" t="s">
        <v>74</v>
      </c>
      <c r="H524" s="1" t="s">
        <v>74</v>
      </c>
      <c r="I524" s="1" t="s">
        <v>4657</v>
      </c>
      <c r="J524" s="1" t="s">
        <v>436</v>
      </c>
      <c r="K524" s="1" t="s">
        <v>74</v>
      </c>
      <c r="L524" s="1" t="s">
        <v>74</v>
      </c>
      <c r="M524" s="1" t="s">
        <v>78</v>
      </c>
      <c r="N524" s="1" t="s">
        <v>79</v>
      </c>
      <c r="O524" s="1" t="s">
        <v>74</v>
      </c>
      <c r="P524" s="1" t="s">
        <v>74</v>
      </c>
      <c r="Q524" s="1" t="s">
        <v>74</v>
      </c>
      <c r="R524" s="1" t="s">
        <v>74</v>
      </c>
      <c r="S524" s="1" t="s">
        <v>74</v>
      </c>
      <c r="T524" s="1" t="s">
        <v>4658</v>
      </c>
      <c r="U524" s="1" t="s">
        <v>4659</v>
      </c>
      <c r="V524" s="1" t="s">
        <v>4660</v>
      </c>
      <c r="W524" s="1" t="s">
        <v>4661</v>
      </c>
      <c r="X524" s="1" t="s">
        <v>4662</v>
      </c>
      <c r="Y524" s="1" t="s">
        <v>4663</v>
      </c>
      <c r="Z524" s="1" t="s">
        <v>4664</v>
      </c>
      <c r="AA524" s="1" t="s">
        <v>4665</v>
      </c>
      <c r="AB524" s="1" t="s">
        <v>4666</v>
      </c>
      <c r="AC524" s="1" t="s">
        <v>74</v>
      </c>
      <c r="AD524" s="1" t="s">
        <v>74</v>
      </c>
      <c r="AE524" s="1" t="s">
        <v>74</v>
      </c>
      <c r="AF524" s="1" t="s">
        <v>74</v>
      </c>
      <c r="AG524" s="1">
        <v>39</v>
      </c>
      <c r="AH524" s="1">
        <v>5</v>
      </c>
      <c r="AI524" s="1">
        <v>5</v>
      </c>
      <c r="AJ524" s="1">
        <v>22</v>
      </c>
      <c r="AK524" s="1">
        <v>83</v>
      </c>
      <c r="AL524" s="1" t="s">
        <v>446</v>
      </c>
      <c r="AM524" s="1" t="s">
        <v>447</v>
      </c>
      <c r="AN524" s="1" t="s">
        <v>448</v>
      </c>
      <c r="AO524" s="1" t="s">
        <v>449</v>
      </c>
      <c r="AP524" s="1" t="s">
        <v>450</v>
      </c>
      <c r="AQ524" s="1" t="s">
        <v>74</v>
      </c>
      <c r="AR524" s="1" t="s">
        <v>451</v>
      </c>
      <c r="AS524" s="1" t="s">
        <v>452</v>
      </c>
      <c r="AT524" s="1" t="s">
        <v>3397</v>
      </c>
      <c r="AU524" s="1">
        <v>2021</v>
      </c>
      <c r="AV524" s="1">
        <v>40</v>
      </c>
      <c r="AW524" s="1">
        <v>4</v>
      </c>
      <c r="AX524" s="1" t="s">
        <v>74</v>
      </c>
      <c r="AY524" s="1" t="s">
        <v>74</v>
      </c>
      <c r="AZ524" s="1" t="s">
        <v>74</v>
      </c>
      <c r="BA524" s="1" t="s">
        <v>74</v>
      </c>
      <c r="BB524" s="1">
        <v>685</v>
      </c>
      <c r="BC524" s="1">
        <v>707</v>
      </c>
      <c r="BD524" s="1" t="s">
        <v>74</v>
      </c>
      <c r="BE524" s="1" t="s">
        <v>4667</v>
      </c>
      <c r="BF524" s="1" t="str">
        <f>HYPERLINK("http://dx.doi.org/10.1287/mksc.2020.1275","http://dx.doi.org/10.1287/mksc.2020.1275")</f>
        <v>http://dx.doi.org/10.1287/mksc.2020.1275</v>
      </c>
      <c r="BG524" s="1" t="s">
        <v>74</v>
      </c>
      <c r="BH524" s="1" t="s">
        <v>74</v>
      </c>
      <c r="BI524" s="1">
        <v>23</v>
      </c>
      <c r="BJ524" s="1" t="s">
        <v>153</v>
      </c>
      <c r="BK524" s="1" t="s">
        <v>101</v>
      </c>
      <c r="BL524" s="1" t="s">
        <v>154</v>
      </c>
      <c r="BM524" s="1" t="s">
        <v>4668</v>
      </c>
      <c r="BN524" s="1" t="s">
        <v>74</v>
      </c>
      <c r="BO524" s="1" t="s">
        <v>828</v>
      </c>
      <c r="BP524" s="1" t="s">
        <v>74</v>
      </c>
      <c r="BQ524" s="1" t="s">
        <v>74</v>
      </c>
      <c r="BR524" s="1" t="s">
        <v>4296</v>
      </c>
      <c r="BS524" s="1" t="s">
        <v>4669</v>
      </c>
      <c r="BT524" s="1" t="str">
        <f>HYPERLINK("https%3A%2F%2Fwww.webofscience.com%2Fwos%2Fwoscc%2Ffull-record%2FWOS:000684376800005","View Full Record in Web of Science")</f>
        <v>View Full Record in Web of Science</v>
      </c>
      <c r="BU524" s="1" t="s">
        <v>5876</v>
      </c>
      <c r="BV524" s="1" t="s">
        <v>6080</v>
      </c>
      <c r="BW524" s="1" t="s">
        <v>6080</v>
      </c>
    </row>
    <row r="525" spans="1:75" ht="319" x14ac:dyDescent="0.35">
      <c r="A525" s="1" t="s">
        <v>72</v>
      </c>
      <c r="B525" s="1" t="s">
        <v>4670</v>
      </c>
      <c r="C525" s="1" t="s">
        <v>74</v>
      </c>
      <c r="D525" s="1" t="s">
        <v>74</v>
      </c>
      <c r="E525" s="1" t="s">
        <v>74</v>
      </c>
      <c r="F525" s="1" t="s">
        <v>4671</v>
      </c>
      <c r="G525" s="1" t="s">
        <v>74</v>
      </c>
      <c r="H525" s="1" t="s">
        <v>74</v>
      </c>
      <c r="I525" s="1" t="s">
        <v>4672</v>
      </c>
      <c r="J525" s="1" t="s">
        <v>4673</v>
      </c>
      <c r="K525" s="1" t="s">
        <v>74</v>
      </c>
      <c r="L525" s="1" t="s">
        <v>74</v>
      </c>
      <c r="M525" s="1" t="s">
        <v>78</v>
      </c>
      <c r="N525" s="1" t="s">
        <v>79</v>
      </c>
      <c r="O525" s="1" t="s">
        <v>74</v>
      </c>
      <c r="P525" s="1" t="s">
        <v>74</v>
      </c>
      <c r="Q525" s="1" t="s">
        <v>74</v>
      </c>
      <c r="R525" s="1" t="s">
        <v>74</v>
      </c>
      <c r="S525" s="1" t="s">
        <v>74</v>
      </c>
      <c r="T525" s="1" t="s">
        <v>74</v>
      </c>
      <c r="U525" s="1" t="s">
        <v>4674</v>
      </c>
      <c r="V525" s="1" t="s">
        <v>4675</v>
      </c>
      <c r="W525" s="1" t="s">
        <v>4676</v>
      </c>
      <c r="X525" s="1" t="s">
        <v>4677</v>
      </c>
      <c r="Y525" s="1" t="s">
        <v>4678</v>
      </c>
      <c r="Z525" s="1" t="s">
        <v>4679</v>
      </c>
      <c r="AA525" s="1" t="s">
        <v>74</v>
      </c>
      <c r="AB525" s="1" t="s">
        <v>74</v>
      </c>
      <c r="AC525" s="1" t="s">
        <v>4680</v>
      </c>
      <c r="AD525" s="1" t="s">
        <v>4681</v>
      </c>
      <c r="AE525" s="1" t="s">
        <v>4682</v>
      </c>
      <c r="AF525" s="1" t="s">
        <v>74</v>
      </c>
      <c r="AG525" s="1">
        <v>62</v>
      </c>
      <c r="AH525" s="1">
        <v>0</v>
      </c>
      <c r="AI525" s="1">
        <v>0</v>
      </c>
      <c r="AJ525" s="1">
        <v>3</v>
      </c>
      <c r="AK525" s="1">
        <v>3</v>
      </c>
      <c r="AL525" s="1" t="s">
        <v>357</v>
      </c>
      <c r="AM525" s="1" t="s">
        <v>233</v>
      </c>
      <c r="AN525" s="1" t="s">
        <v>358</v>
      </c>
      <c r="AO525" s="1" t="s">
        <v>4683</v>
      </c>
      <c r="AP525" s="1" t="s">
        <v>4684</v>
      </c>
      <c r="AQ525" s="1" t="s">
        <v>74</v>
      </c>
      <c r="AR525" s="1" t="s">
        <v>4685</v>
      </c>
      <c r="AS525" s="1" t="s">
        <v>4686</v>
      </c>
      <c r="AT525" s="1" t="s">
        <v>98</v>
      </c>
      <c r="AU525" s="1">
        <v>2021</v>
      </c>
      <c r="AV525" s="1">
        <v>6</v>
      </c>
      <c r="AW525" s="1">
        <v>3</v>
      </c>
      <c r="AX525" s="1" t="s">
        <v>74</v>
      </c>
      <c r="AY525" s="1" t="s">
        <v>74</v>
      </c>
      <c r="AZ525" s="1" t="s">
        <v>74</v>
      </c>
      <c r="BA525" s="1" t="s">
        <v>74</v>
      </c>
      <c r="BB525" s="1">
        <v>315</v>
      </c>
      <c r="BC525" s="1">
        <v>323</v>
      </c>
      <c r="BD525" s="1" t="s">
        <v>74</v>
      </c>
      <c r="BE525" s="1" t="s">
        <v>4687</v>
      </c>
      <c r="BF525" s="1" t="str">
        <f>HYPERLINK("http://dx.doi.org/10.1086/714517","http://dx.doi.org/10.1086/714517")</f>
        <v>http://dx.doi.org/10.1086/714517</v>
      </c>
      <c r="BG525" s="1" t="s">
        <v>74</v>
      </c>
      <c r="BH525" s="1" t="s">
        <v>74</v>
      </c>
      <c r="BI525" s="1">
        <v>9</v>
      </c>
      <c r="BJ525" s="1" t="s">
        <v>215</v>
      </c>
      <c r="BK525" s="1" t="s">
        <v>3880</v>
      </c>
      <c r="BL525" s="1" t="s">
        <v>216</v>
      </c>
      <c r="BM525" s="1" t="s">
        <v>4688</v>
      </c>
      <c r="BN525" s="1">
        <v>36275173</v>
      </c>
      <c r="BO525" s="1" t="s">
        <v>828</v>
      </c>
      <c r="BP525" s="1" t="s">
        <v>74</v>
      </c>
      <c r="BQ525" s="1" t="s">
        <v>74</v>
      </c>
      <c r="BR525" s="1" t="s">
        <v>4296</v>
      </c>
      <c r="BS525" s="1" t="s">
        <v>4689</v>
      </c>
      <c r="BT525" s="1" t="str">
        <f>HYPERLINK("https%3A%2F%2Fwww.webofscience.com%2Fwos%2Fwoscc%2Ffull-record%2FWOS:000843037200004","View Full Record in Web of Science")</f>
        <v>View Full Record in Web of Science</v>
      </c>
      <c r="BU525" s="1" t="s">
        <v>5876</v>
      </c>
      <c r="BV525" s="1" t="s">
        <v>6080</v>
      </c>
      <c r="BW525" s="1" t="s">
        <v>6080</v>
      </c>
    </row>
    <row r="526" spans="1:75" ht="333.5" x14ac:dyDescent="0.35">
      <c r="A526" s="1" t="s">
        <v>72</v>
      </c>
      <c r="B526" s="1" t="s">
        <v>4690</v>
      </c>
      <c r="C526" s="1" t="s">
        <v>74</v>
      </c>
      <c r="D526" s="1" t="s">
        <v>74</v>
      </c>
      <c r="E526" s="1" t="s">
        <v>74</v>
      </c>
      <c r="F526" s="1" t="s">
        <v>4691</v>
      </c>
      <c r="G526" s="1" t="s">
        <v>74</v>
      </c>
      <c r="H526" s="1" t="s">
        <v>74</v>
      </c>
      <c r="I526" s="1" t="s">
        <v>4692</v>
      </c>
      <c r="J526" s="1" t="s">
        <v>667</v>
      </c>
      <c r="K526" s="1" t="s">
        <v>74</v>
      </c>
      <c r="L526" s="1" t="s">
        <v>74</v>
      </c>
      <c r="M526" s="1" t="s">
        <v>78</v>
      </c>
      <c r="N526" s="1" t="s">
        <v>79</v>
      </c>
      <c r="O526" s="1" t="s">
        <v>74</v>
      </c>
      <c r="P526" s="1" t="s">
        <v>74</v>
      </c>
      <c r="Q526" s="1" t="s">
        <v>74</v>
      </c>
      <c r="R526" s="1" t="s">
        <v>74</v>
      </c>
      <c r="S526" s="1" t="s">
        <v>74</v>
      </c>
      <c r="T526" s="1" t="s">
        <v>4693</v>
      </c>
      <c r="U526" s="1" t="s">
        <v>4694</v>
      </c>
      <c r="V526" s="1" t="s">
        <v>4695</v>
      </c>
      <c r="W526" s="1" t="s">
        <v>4696</v>
      </c>
      <c r="X526" s="1" t="s">
        <v>4697</v>
      </c>
      <c r="Y526" s="1" t="s">
        <v>4698</v>
      </c>
      <c r="Z526" s="1" t="s">
        <v>4699</v>
      </c>
      <c r="AA526" s="1" t="s">
        <v>74</v>
      </c>
      <c r="AB526" s="1" t="s">
        <v>74</v>
      </c>
      <c r="AC526" s="1" t="s">
        <v>74</v>
      </c>
      <c r="AD526" s="1" t="s">
        <v>74</v>
      </c>
      <c r="AE526" s="1" t="s">
        <v>74</v>
      </c>
      <c r="AF526" s="1" t="s">
        <v>74</v>
      </c>
      <c r="AG526" s="1">
        <v>53</v>
      </c>
      <c r="AH526" s="1">
        <v>15</v>
      </c>
      <c r="AI526" s="1">
        <v>15</v>
      </c>
      <c r="AJ526" s="1">
        <v>4</v>
      </c>
      <c r="AK526" s="1">
        <v>27</v>
      </c>
      <c r="AL526" s="1" t="s">
        <v>679</v>
      </c>
      <c r="AM526" s="1" t="s">
        <v>92</v>
      </c>
      <c r="AN526" s="1" t="s">
        <v>680</v>
      </c>
      <c r="AO526" s="1" t="s">
        <v>681</v>
      </c>
      <c r="AP526" s="1" t="s">
        <v>74</v>
      </c>
      <c r="AQ526" s="1" t="s">
        <v>74</v>
      </c>
      <c r="AR526" s="1" t="s">
        <v>683</v>
      </c>
      <c r="AS526" s="1" t="s">
        <v>684</v>
      </c>
      <c r="AT526" s="1" t="s">
        <v>4700</v>
      </c>
      <c r="AU526" s="1">
        <v>2021</v>
      </c>
      <c r="AV526" s="1">
        <v>118</v>
      </c>
      <c r="AW526" s="1">
        <v>26</v>
      </c>
      <c r="AX526" s="1" t="s">
        <v>74</v>
      </c>
      <c r="AY526" s="1" t="s">
        <v>74</v>
      </c>
      <c r="AZ526" s="1" t="s">
        <v>74</v>
      </c>
      <c r="BA526" s="1" t="s">
        <v>74</v>
      </c>
      <c r="BB526" s="1" t="s">
        <v>74</v>
      </c>
      <c r="BC526" s="1" t="s">
        <v>74</v>
      </c>
      <c r="BD526" s="1" t="s">
        <v>4701</v>
      </c>
      <c r="BE526" s="1" t="s">
        <v>4702</v>
      </c>
      <c r="BF526" s="1" t="str">
        <f>HYPERLINK("http://dx.doi.org/10.1073/pnas.2011695118","http://dx.doi.org/10.1073/pnas.2011695118")</f>
        <v>http://dx.doi.org/10.1073/pnas.2011695118</v>
      </c>
      <c r="BG526" s="1" t="s">
        <v>74</v>
      </c>
      <c r="BH526" s="1" t="s">
        <v>74</v>
      </c>
      <c r="BI526" s="1">
        <v>5</v>
      </c>
      <c r="BJ526" s="1" t="s">
        <v>561</v>
      </c>
      <c r="BK526" s="1" t="s">
        <v>129</v>
      </c>
      <c r="BL526" s="1" t="s">
        <v>562</v>
      </c>
      <c r="BM526" s="1" t="s">
        <v>4703</v>
      </c>
      <c r="BN526" s="1">
        <v>34172568</v>
      </c>
      <c r="BO526" s="1" t="s">
        <v>131</v>
      </c>
      <c r="BP526" s="1" t="s">
        <v>74</v>
      </c>
      <c r="BQ526" s="1" t="s">
        <v>74</v>
      </c>
      <c r="BR526" s="1" t="s">
        <v>4296</v>
      </c>
      <c r="BS526" s="1" t="s">
        <v>4704</v>
      </c>
      <c r="BT526" s="1" t="str">
        <f>HYPERLINK("https%3A%2F%2Fwww.webofscience.com%2Fwos%2Fwoscc%2Ffull-record%2FWOS:000669493300016","View Full Record in Web of Science")</f>
        <v>View Full Record in Web of Science</v>
      </c>
      <c r="BU526" s="1" t="s">
        <v>5876</v>
      </c>
      <c r="BV526" s="1" t="s">
        <v>10653</v>
      </c>
      <c r="BW526" s="1" t="s">
        <v>10653</v>
      </c>
    </row>
    <row r="527" spans="1:75" ht="87" x14ac:dyDescent="0.35">
      <c r="A527" s="1" t="s">
        <v>72</v>
      </c>
      <c r="B527" s="1" t="s">
        <v>4705</v>
      </c>
      <c r="C527" s="1" t="s">
        <v>74</v>
      </c>
      <c r="D527" s="1" t="s">
        <v>74</v>
      </c>
      <c r="E527" s="1" t="s">
        <v>74</v>
      </c>
      <c r="F527" s="1" t="s">
        <v>4706</v>
      </c>
      <c r="G527" s="1" t="s">
        <v>74</v>
      </c>
      <c r="H527" s="1" t="s">
        <v>74</v>
      </c>
      <c r="I527" s="1" t="s">
        <v>4707</v>
      </c>
      <c r="J527" s="1" t="s">
        <v>4470</v>
      </c>
      <c r="K527" s="1" t="s">
        <v>74</v>
      </c>
      <c r="L527" s="1" t="s">
        <v>74</v>
      </c>
      <c r="M527" s="1" t="s">
        <v>78</v>
      </c>
      <c r="N527" s="1" t="s">
        <v>1352</v>
      </c>
      <c r="O527" s="1" t="s">
        <v>74</v>
      </c>
      <c r="P527" s="1" t="s">
        <v>74</v>
      </c>
      <c r="Q527" s="1" t="s">
        <v>74</v>
      </c>
      <c r="R527" s="1" t="s">
        <v>74</v>
      </c>
      <c r="S527" s="1" t="s">
        <v>74</v>
      </c>
      <c r="T527" s="1" t="s">
        <v>74</v>
      </c>
      <c r="U527" s="1" t="s">
        <v>74</v>
      </c>
      <c r="V527" s="1" t="s">
        <v>74</v>
      </c>
      <c r="W527" s="1" t="s">
        <v>4708</v>
      </c>
      <c r="X527" s="1" t="s">
        <v>4709</v>
      </c>
      <c r="Y527" s="1" t="s">
        <v>4710</v>
      </c>
      <c r="Z527" s="1" t="s">
        <v>4711</v>
      </c>
      <c r="AA527" s="1" t="s">
        <v>74</v>
      </c>
      <c r="AB527" s="1" t="s">
        <v>4712</v>
      </c>
      <c r="AC527" s="1" t="s">
        <v>4713</v>
      </c>
      <c r="AD527" s="1" t="s">
        <v>4714</v>
      </c>
      <c r="AE527" s="1" t="s">
        <v>4715</v>
      </c>
      <c r="AF527" s="1" t="s">
        <v>74</v>
      </c>
      <c r="AG527" s="1">
        <v>14</v>
      </c>
      <c r="AH527" s="1">
        <v>4</v>
      </c>
      <c r="AI527" s="1">
        <v>4</v>
      </c>
      <c r="AJ527" s="1">
        <v>3</v>
      </c>
      <c r="AK527" s="1">
        <v>3</v>
      </c>
      <c r="AL527" s="1" t="s">
        <v>4716</v>
      </c>
      <c r="AM527" s="1" t="s">
        <v>121</v>
      </c>
      <c r="AN527" s="1" t="s">
        <v>4717</v>
      </c>
      <c r="AO527" s="1" t="s">
        <v>74</v>
      </c>
      <c r="AP527" s="1" t="s">
        <v>4480</v>
      </c>
      <c r="AQ527" s="1" t="s">
        <v>74</v>
      </c>
      <c r="AR527" s="1" t="s">
        <v>4481</v>
      </c>
      <c r="AS527" s="1" t="s">
        <v>4482</v>
      </c>
      <c r="AT527" s="1" t="s">
        <v>151</v>
      </c>
      <c r="AU527" s="1">
        <v>2021</v>
      </c>
      <c r="AV527" s="1">
        <v>3</v>
      </c>
      <c r="AW527" s="1">
        <v>6</v>
      </c>
      <c r="AX527" s="1" t="s">
        <v>74</v>
      </c>
      <c r="AY527" s="1" t="s">
        <v>74</v>
      </c>
      <c r="AZ527" s="1" t="s">
        <v>74</v>
      </c>
      <c r="BA527" s="1" t="s">
        <v>74</v>
      </c>
      <c r="BB527" s="1">
        <v>461</v>
      </c>
      <c r="BC527" s="1">
        <v>463</v>
      </c>
      <c r="BD527" s="1" t="s">
        <v>74</v>
      </c>
      <c r="BE527" s="1" t="s">
        <v>4718</v>
      </c>
      <c r="BF527" s="1" t="str">
        <f>HYPERLINK("http://dx.doi.org/10.1038/s42256-021-00359-2","http://dx.doi.org/10.1038/s42256-021-00359-2")</f>
        <v>http://dx.doi.org/10.1038/s42256-021-00359-2</v>
      </c>
      <c r="BG527" s="1" t="s">
        <v>74</v>
      </c>
      <c r="BH527" s="1" t="s">
        <v>74</v>
      </c>
      <c r="BI527" s="1">
        <v>3</v>
      </c>
      <c r="BJ527" s="1" t="s">
        <v>4484</v>
      </c>
      <c r="BK527" s="1" t="s">
        <v>129</v>
      </c>
      <c r="BL527" s="1" t="s">
        <v>417</v>
      </c>
      <c r="BM527" s="1" t="s">
        <v>4719</v>
      </c>
      <c r="BN527" s="1" t="s">
        <v>74</v>
      </c>
      <c r="BO527" s="1" t="s">
        <v>74</v>
      </c>
      <c r="BP527" s="1" t="s">
        <v>74</v>
      </c>
      <c r="BQ527" s="1" t="s">
        <v>74</v>
      </c>
      <c r="BR527" s="1" t="s">
        <v>4296</v>
      </c>
      <c r="BS527" s="1" t="s">
        <v>4720</v>
      </c>
      <c r="BT527" s="1" t="str">
        <f>HYPERLINK("https%3A%2F%2Fwww.webofscience.com%2Fwos%2Fwoscc%2Ffull-record%2FWOS:000664126400003","View Full Record in Web of Science")</f>
        <v>View Full Record in Web of Science</v>
      </c>
      <c r="BU527" s="1" t="s">
        <v>5876</v>
      </c>
      <c r="BV527" s="1" t="s">
        <v>10653</v>
      </c>
    </row>
    <row r="528" spans="1:75" ht="377" x14ac:dyDescent="0.35">
      <c r="A528" s="1" t="s">
        <v>72</v>
      </c>
      <c r="B528" s="1" t="s">
        <v>4721</v>
      </c>
      <c r="C528" s="1" t="s">
        <v>74</v>
      </c>
      <c r="D528" s="1" t="s">
        <v>74</v>
      </c>
      <c r="E528" s="1" t="s">
        <v>74</v>
      </c>
      <c r="F528" s="1" t="s">
        <v>4722</v>
      </c>
      <c r="G528" s="1" t="s">
        <v>74</v>
      </c>
      <c r="H528" s="1" t="s">
        <v>74</v>
      </c>
      <c r="I528" s="1" t="s">
        <v>4723</v>
      </c>
      <c r="J528" s="1" t="s">
        <v>4724</v>
      </c>
      <c r="K528" s="1" t="s">
        <v>74</v>
      </c>
      <c r="L528" s="1" t="s">
        <v>74</v>
      </c>
      <c r="M528" s="1" t="s">
        <v>78</v>
      </c>
      <c r="N528" s="1" t="s">
        <v>79</v>
      </c>
      <c r="O528" s="1" t="s">
        <v>74</v>
      </c>
      <c r="P528" s="1" t="s">
        <v>74</v>
      </c>
      <c r="Q528" s="1" t="s">
        <v>74</v>
      </c>
      <c r="R528" s="1" t="s">
        <v>74</v>
      </c>
      <c r="S528" s="1" t="s">
        <v>74</v>
      </c>
      <c r="T528" s="1" t="s">
        <v>4725</v>
      </c>
      <c r="U528" s="1" t="s">
        <v>4726</v>
      </c>
      <c r="V528" s="1" t="s">
        <v>4727</v>
      </c>
      <c r="W528" s="1" t="s">
        <v>4728</v>
      </c>
      <c r="X528" s="1" t="s">
        <v>4729</v>
      </c>
      <c r="Y528" s="1" t="s">
        <v>4730</v>
      </c>
      <c r="Z528" s="1" t="s">
        <v>4731</v>
      </c>
      <c r="AA528" s="1" t="s">
        <v>4732</v>
      </c>
      <c r="AB528" s="1" t="s">
        <v>4733</v>
      </c>
      <c r="AC528" s="1" t="s">
        <v>4734</v>
      </c>
      <c r="AD528" s="1" t="s">
        <v>4735</v>
      </c>
      <c r="AE528" s="1" t="s">
        <v>4736</v>
      </c>
      <c r="AF528" s="1" t="s">
        <v>74</v>
      </c>
      <c r="AG528" s="1">
        <v>105</v>
      </c>
      <c r="AH528" s="1">
        <v>7</v>
      </c>
      <c r="AI528" s="1">
        <v>7</v>
      </c>
      <c r="AJ528" s="1">
        <v>3</v>
      </c>
      <c r="AK528" s="1">
        <v>11</v>
      </c>
      <c r="AL528" s="1" t="s">
        <v>4737</v>
      </c>
      <c r="AM528" s="1" t="s">
        <v>4738</v>
      </c>
      <c r="AN528" s="1" t="s">
        <v>4739</v>
      </c>
      <c r="AO528" s="1" t="s">
        <v>74</v>
      </c>
      <c r="AP528" s="1" t="s">
        <v>4740</v>
      </c>
      <c r="AQ528" s="1" t="s">
        <v>74</v>
      </c>
      <c r="AR528" s="1" t="s">
        <v>4724</v>
      </c>
      <c r="AS528" s="1" t="s">
        <v>4741</v>
      </c>
      <c r="AT528" s="1" t="s">
        <v>151</v>
      </c>
      <c r="AU528" s="1">
        <v>2021</v>
      </c>
      <c r="AV528" s="1">
        <v>11</v>
      </c>
      <c r="AW528" s="1">
        <v>6</v>
      </c>
      <c r="AX528" s="1" t="s">
        <v>74</v>
      </c>
      <c r="AY528" s="1" t="s">
        <v>74</v>
      </c>
      <c r="AZ528" s="1" t="s">
        <v>74</v>
      </c>
      <c r="BA528" s="1" t="s">
        <v>74</v>
      </c>
      <c r="BB528" s="1" t="s">
        <v>74</v>
      </c>
      <c r="BC528" s="1" t="s">
        <v>74</v>
      </c>
      <c r="BD528" s="1">
        <v>1103</v>
      </c>
      <c r="BE528" s="1" t="s">
        <v>4742</v>
      </c>
      <c r="BF528" s="1" t="str">
        <f>HYPERLINK("http://dx.doi.org/10.3390/agronomy11061103","http://dx.doi.org/10.3390/agronomy11061103")</f>
        <v>http://dx.doi.org/10.3390/agronomy11061103</v>
      </c>
      <c r="BG528" s="1" t="s">
        <v>74</v>
      </c>
      <c r="BH528" s="1" t="s">
        <v>74</v>
      </c>
      <c r="BI528" s="1">
        <v>18</v>
      </c>
      <c r="BJ528" s="1" t="s">
        <v>4743</v>
      </c>
      <c r="BK528" s="1" t="s">
        <v>129</v>
      </c>
      <c r="BL528" s="1" t="s">
        <v>4744</v>
      </c>
      <c r="BM528" s="1" t="s">
        <v>4745</v>
      </c>
      <c r="BN528" s="1" t="s">
        <v>74</v>
      </c>
      <c r="BO528" s="1" t="s">
        <v>4746</v>
      </c>
      <c r="BP528" s="1" t="s">
        <v>74</v>
      </c>
      <c r="BQ528" s="1" t="s">
        <v>74</v>
      </c>
      <c r="BR528" s="1" t="s">
        <v>4296</v>
      </c>
      <c r="BS528" s="1" t="s">
        <v>4747</v>
      </c>
      <c r="BT528" s="1" t="str">
        <f>HYPERLINK("https%3A%2F%2Fwww.webofscience.com%2Fwos%2Fwoscc%2Ffull-record%2FWOS:000665599200001","View Full Record in Web of Science")</f>
        <v>View Full Record in Web of Science</v>
      </c>
      <c r="BU528" s="1" t="s">
        <v>5876</v>
      </c>
      <c r="BV528" s="1" t="s">
        <v>10653</v>
      </c>
    </row>
    <row r="529" spans="1:75" ht="409.5" x14ac:dyDescent="0.35">
      <c r="A529" s="1" t="s">
        <v>72</v>
      </c>
      <c r="B529" s="1" t="s">
        <v>4748</v>
      </c>
      <c r="C529" s="1" t="s">
        <v>74</v>
      </c>
      <c r="D529" s="1" t="s">
        <v>74</v>
      </c>
      <c r="E529" s="1" t="s">
        <v>74</v>
      </c>
      <c r="F529" s="1" t="s">
        <v>4749</v>
      </c>
      <c r="G529" s="1" t="s">
        <v>74</v>
      </c>
      <c r="H529" s="1" t="s">
        <v>74</v>
      </c>
      <c r="I529" s="1" t="s">
        <v>4750</v>
      </c>
      <c r="J529" s="1" t="s">
        <v>136</v>
      </c>
      <c r="K529" s="1" t="s">
        <v>74</v>
      </c>
      <c r="L529" s="1" t="s">
        <v>74</v>
      </c>
      <c r="M529" s="1" t="s">
        <v>78</v>
      </c>
      <c r="N529" s="1" t="s">
        <v>110</v>
      </c>
      <c r="O529" s="1" t="s">
        <v>74</v>
      </c>
      <c r="P529" s="1" t="s">
        <v>74</v>
      </c>
      <c r="Q529" s="1" t="s">
        <v>74</v>
      </c>
      <c r="R529" s="1" t="s">
        <v>74</v>
      </c>
      <c r="S529" s="1" t="s">
        <v>74</v>
      </c>
      <c r="T529" s="1" t="s">
        <v>4751</v>
      </c>
      <c r="U529" s="1" t="s">
        <v>4752</v>
      </c>
      <c r="V529" s="1" t="s">
        <v>4753</v>
      </c>
      <c r="W529" s="1" t="s">
        <v>4754</v>
      </c>
      <c r="X529" s="1" t="s">
        <v>4755</v>
      </c>
      <c r="Y529" s="1" t="s">
        <v>4756</v>
      </c>
      <c r="Z529" s="1" t="s">
        <v>4757</v>
      </c>
      <c r="AA529" s="1" t="s">
        <v>4758</v>
      </c>
      <c r="AB529" s="1" t="s">
        <v>74</v>
      </c>
      <c r="AC529" s="1" t="s">
        <v>4759</v>
      </c>
      <c r="AD529" s="1" t="s">
        <v>4759</v>
      </c>
      <c r="AE529" s="1" t="s">
        <v>4760</v>
      </c>
      <c r="AF529" s="1" t="s">
        <v>74</v>
      </c>
      <c r="AG529" s="1">
        <v>81</v>
      </c>
      <c r="AH529" s="1">
        <v>10</v>
      </c>
      <c r="AI529" s="1">
        <v>10</v>
      </c>
      <c r="AJ529" s="1">
        <v>25</v>
      </c>
      <c r="AK529" s="1">
        <v>101</v>
      </c>
      <c r="AL529" s="1" t="s">
        <v>144</v>
      </c>
      <c r="AM529" s="1" t="s">
        <v>145</v>
      </c>
      <c r="AN529" s="1" t="s">
        <v>146</v>
      </c>
      <c r="AO529" s="1" t="s">
        <v>147</v>
      </c>
      <c r="AP529" s="1" t="s">
        <v>148</v>
      </c>
      <c r="AQ529" s="1" t="s">
        <v>74</v>
      </c>
      <c r="AR529" s="1" t="s">
        <v>149</v>
      </c>
      <c r="AS529" s="1" t="s">
        <v>150</v>
      </c>
      <c r="AT529" s="1" t="s">
        <v>151</v>
      </c>
      <c r="AU529" s="1">
        <v>2021</v>
      </c>
      <c r="AV529" s="1">
        <v>58</v>
      </c>
      <c r="AW529" s="1">
        <v>3</v>
      </c>
      <c r="AX529" s="1" t="s">
        <v>74</v>
      </c>
      <c r="AY529" s="1" t="s">
        <v>74</v>
      </c>
      <c r="AZ529" s="1" t="s">
        <v>74</v>
      </c>
      <c r="BA529" s="1" t="s">
        <v>74</v>
      </c>
      <c r="BB529" s="1">
        <v>539</v>
      </c>
      <c r="BC529" s="1">
        <v>558</v>
      </c>
      <c r="BD529" s="1" t="s">
        <v>74</v>
      </c>
      <c r="BE529" s="1" t="s">
        <v>4761</v>
      </c>
      <c r="BF529" s="1" t="str">
        <f>HYPERLINK("http://dx.doi.org/10.1177/00222437211010439","http://dx.doi.org/10.1177/00222437211010439")</f>
        <v>http://dx.doi.org/10.1177/00222437211010439</v>
      </c>
      <c r="BG529" s="1" t="s">
        <v>74</v>
      </c>
      <c r="BH529" s="1" t="s">
        <v>74</v>
      </c>
      <c r="BI529" s="1">
        <v>20</v>
      </c>
      <c r="BJ529" s="1" t="s">
        <v>153</v>
      </c>
      <c r="BK529" s="1" t="s">
        <v>101</v>
      </c>
      <c r="BL529" s="1" t="s">
        <v>154</v>
      </c>
      <c r="BM529" s="1" t="s">
        <v>4762</v>
      </c>
      <c r="BN529" s="1" t="s">
        <v>74</v>
      </c>
      <c r="BO529" s="1" t="s">
        <v>74</v>
      </c>
      <c r="BP529" s="1" t="s">
        <v>74</v>
      </c>
      <c r="BQ529" s="1" t="s">
        <v>74</v>
      </c>
      <c r="BR529" s="1" t="s">
        <v>4296</v>
      </c>
      <c r="BS529" s="1" t="s">
        <v>4763</v>
      </c>
      <c r="BT529" s="1" t="str">
        <f>HYPERLINK("https%3A%2F%2Fwww.webofscience.com%2Fwos%2Fwoscc%2Ffull-record%2FWOS:000649428100007","View Full Record in Web of Science")</f>
        <v>View Full Record in Web of Science</v>
      </c>
      <c r="BU529" s="1" t="s">
        <v>5876</v>
      </c>
      <c r="BV529" s="1" t="s">
        <v>6080</v>
      </c>
      <c r="BW529" s="1" t="s">
        <v>6080</v>
      </c>
    </row>
    <row r="530" spans="1:75" ht="362.5" x14ac:dyDescent="0.35">
      <c r="A530" s="1" t="s">
        <v>72</v>
      </c>
      <c r="B530" s="1" t="s">
        <v>1637</v>
      </c>
      <c r="C530" s="1" t="s">
        <v>74</v>
      </c>
      <c r="D530" s="1" t="s">
        <v>74</v>
      </c>
      <c r="E530" s="1" t="s">
        <v>74</v>
      </c>
      <c r="F530" s="1" t="s">
        <v>1638</v>
      </c>
      <c r="G530" s="1" t="s">
        <v>74</v>
      </c>
      <c r="H530" s="1" t="s">
        <v>74</v>
      </c>
      <c r="I530" s="1" t="s">
        <v>4764</v>
      </c>
      <c r="J530" s="1" t="s">
        <v>4765</v>
      </c>
      <c r="K530" s="1" t="s">
        <v>74</v>
      </c>
      <c r="L530" s="1" t="s">
        <v>74</v>
      </c>
      <c r="M530" s="1" t="s">
        <v>78</v>
      </c>
      <c r="N530" s="1" t="s">
        <v>79</v>
      </c>
      <c r="O530" s="1" t="s">
        <v>74</v>
      </c>
      <c r="P530" s="1" t="s">
        <v>74</v>
      </c>
      <c r="Q530" s="1" t="s">
        <v>74</v>
      </c>
      <c r="R530" s="1" t="s">
        <v>74</v>
      </c>
      <c r="S530" s="1" t="s">
        <v>74</v>
      </c>
      <c r="T530" s="1" t="s">
        <v>74</v>
      </c>
      <c r="U530" s="1" t="s">
        <v>74</v>
      </c>
      <c r="V530" s="1" t="s">
        <v>4766</v>
      </c>
      <c r="W530" s="1" t="s">
        <v>4767</v>
      </c>
      <c r="X530" s="1" t="s">
        <v>4768</v>
      </c>
      <c r="Y530" s="1" t="s">
        <v>4769</v>
      </c>
      <c r="Z530" s="1" t="s">
        <v>4770</v>
      </c>
      <c r="AA530" s="1" t="s">
        <v>74</v>
      </c>
      <c r="AB530" s="1" t="s">
        <v>4771</v>
      </c>
      <c r="AC530" s="1" t="s">
        <v>74</v>
      </c>
      <c r="AD530" s="1" t="s">
        <v>74</v>
      </c>
      <c r="AE530" s="1" t="s">
        <v>74</v>
      </c>
      <c r="AF530" s="1" t="s">
        <v>74</v>
      </c>
      <c r="AG530" s="1">
        <v>56</v>
      </c>
      <c r="AH530" s="1">
        <v>9</v>
      </c>
      <c r="AI530" s="1">
        <v>9</v>
      </c>
      <c r="AJ530" s="1">
        <v>7</v>
      </c>
      <c r="AK530" s="1">
        <v>30</v>
      </c>
      <c r="AL530" s="1" t="s">
        <v>1033</v>
      </c>
      <c r="AM530" s="1" t="s">
        <v>1034</v>
      </c>
      <c r="AN530" s="1" t="s">
        <v>1035</v>
      </c>
      <c r="AO530" s="1" t="s">
        <v>4772</v>
      </c>
      <c r="AP530" s="1" t="s">
        <v>74</v>
      </c>
      <c r="AQ530" s="1" t="s">
        <v>74</v>
      </c>
      <c r="AR530" s="1" t="s">
        <v>4773</v>
      </c>
      <c r="AS530" s="1" t="s">
        <v>4774</v>
      </c>
      <c r="AT530" s="1" t="s">
        <v>281</v>
      </c>
      <c r="AU530" s="1">
        <v>2021</v>
      </c>
      <c r="AV530" s="1">
        <v>5</v>
      </c>
      <c r="AW530" s="1">
        <v>10</v>
      </c>
      <c r="AX530" s="1" t="s">
        <v>74</v>
      </c>
      <c r="AY530" s="1" t="s">
        <v>74</v>
      </c>
      <c r="AZ530" s="1" t="s">
        <v>74</v>
      </c>
      <c r="BA530" s="1" t="s">
        <v>74</v>
      </c>
      <c r="BB530" s="1">
        <v>1323</v>
      </c>
      <c r="BC530" s="1" t="s">
        <v>4775</v>
      </c>
      <c r="BD530" s="1" t="s">
        <v>74</v>
      </c>
      <c r="BE530" s="1" t="s">
        <v>4776</v>
      </c>
      <c r="BF530" s="1" t="str">
        <f>HYPERLINK("http://dx.doi.org/10.1038/s41562-021-01098-5","http://dx.doi.org/10.1038/s41562-021-01098-5")</f>
        <v>http://dx.doi.org/10.1038/s41562-021-01098-5</v>
      </c>
      <c r="BG530" s="1" t="s">
        <v>74</v>
      </c>
      <c r="BH530" s="1" t="s">
        <v>4777</v>
      </c>
      <c r="BI530" s="1">
        <v>9</v>
      </c>
      <c r="BJ530" s="1" t="s">
        <v>4778</v>
      </c>
      <c r="BK530" s="1" t="s">
        <v>520</v>
      </c>
      <c r="BL530" s="1" t="s">
        <v>4779</v>
      </c>
      <c r="BM530" s="1" t="s">
        <v>4780</v>
      </c>
      <c r="BN530" s="1">
        <v>33833424</v>
      </c>
      <c r="BO530" s="1" t="s">
        <v>74</v>
      </c>
      <c r="BP530" s="1" t="s">
        <v>74</v>
      </c>
      <c r="BQ530" s="1" t="s">
        <v>74</v>
      </c>
      <c r="BR530" s="1" t="s">
        <v>4296</v>
      </c>
      <c r="BS530" s="1" t="s">
        <v>4781</v>
      </c>
      <c r="BT530" s="1" t="str">
        <f>HYPERLINK("https%3A%2F%2Fwww.webofscience.com%2Fwos%2Fwoscc%2Ffull-record%2FWOS:000638076100001","View Full Record in Web of Science")</f>
        <v>View Full Record in Web of Science</v>
      </c>
      <c r="BU530" s="1" t="s">
        <v>5876</v>
      </c>
      <c r="BV530" s="1" t="s">
        <v>10653</v>
      </c>
      <c r="BW530" s="1" t="s">
        <v>10653</v>
      </c>
    </row>
    <row r="531" spans="1:75" x14ac:dyDescent="0.35">
      <c r="A531" t="s">
        <v>72</v>
      </c>
      <c r="B531" t="s">
        <v>8175</v>
      </c>
      <c r="C531" t="s">
        <v>74</v>
      </c>
      <c r="D531" t="s">
        <v>74</v>
      </c>
      <c r="E531" t="s">
        <v>74</v>
      </c>
      <c r="F531" t="s">
        <v>8176</v>
      </c>
      <c r="G531" t="s">
        <v>74</v>
      </c>
      <c r="H531" t="s">
        <v>74</v>
      </c>
      <c r="I531" t="s">
        <v>8177</v>
      </c>
      <c r="J531" t="s">
        <v>6115</v>
      </c>
      <c r="K531" t="s">
        <v>74</v>
      </c>
      <c r="L531" t="s">
        <v>74</v>
      </c>
      <c r="M531" t="s">
        <v>78</v>
      </c>
      <c r="N531" t="s">
        <v>79</v>
      </c>
      <c r="O531" t="s">
        <v>74</v>
      </c>
      <c r="P531" t="s">
        <v>74</v>
      </c>
      <c r="Q531" t="s">
        <v>74</v>
      </c>
      <c r="R531" t="s">
        <v>74</v>
      </c>
      <c r="S531" t="s">
        <v>74</v>
      </c>
      <c r="T531" t="s">
        <v>8178</v>
      </c>
      <c r="U531" t="s">
        <v>8179</v>
      </c>
      <c r="V531" t="s">
        <v>8180</v>
      </c>
      <c r="W531" t="s">
        <v>8181</v>
      </c>
      <c r="X531" t="s">
        <v>8182</v>
      </c>
      <c r="Y531" t="s">
        <v>8183</v>
      </c>
      <c r="Z531" t="s">
        <v>8184</v>
      </c>
      <c r="AA531" t="s">
        <v>74</v>
      </c>
      <c r="AB531" t="s">
        <v>8185</v>
      </c>
      <c r="AC531" t="s">
        <v>8186</v>
      </c>
      <c r="AD531" t="s">
        <v>8187</v>
      </c>
      <c r="AE531" t="s">
        <v>8188</v>
      </c>
      <c r="AF531" t="s">
        <v>74</v>
      </c>
      <c r="AG531">
        <v>37</v>
      </c>
      <c r="AH531">
        <v>0</v>
      </c>
      <c r="AI531">
        <v>0</v>
      </c>
      <c r="AJ531">
        <v>14</v>
      </c>
      <c r="AK531">
        <v>14</v>
      </c>
      <c r="AL531" t="s">
        <v>1982</v>
      </c>
      <c r="AM531" t="s">
        <v>1983</v>
      </c>
      <c r="AN531" t="s">
        <v>2573</v>
      </c>
      <c r="AO531" t="s">
        <v>6125</v>
      </c>
      <c r="AP531" t="s">
        <v>6126</v>
      </c>
      <c r="AQ531" t="s">
        <v>74</v>
      </c>
      <c r="AR531" t="s">
        <v>6127</v>
      </c>
      <c r="AS531" t="s">
        <v>6128</v>
      </c>
      <c r="AT531" t="s">
        <v>8189</v>
      </c>
      <c r="AU531">
        <v>2023</v>
      </c>
      <c r="AV531">
        <v>61</v>
      </c>
      <c r="AW531">
        <v>1</v>
      </c>
      <c r="AX531" t="s">
        <v>74</v>
      </c>
      <c r="AY531" t="s">
        <v>74</v>
      </c>
      <c r="AZ531" t="s">
        <v>74</v>
      </c>
      <c r="BA531" t="s">
        <v>74</v>
      </c>
      <c r="BB531">
        <v>243</v>
      </c>
      <c r="BC531">
        <v>268</v>
      </c>
      <c r="BD531" t="s">
        <v>74</v>
      </c>
      <c r="BE531" t="s">
        <v>8190</v>
      </c>
      <c r="BF531" t="str">
        <f>HYPERLINK("http://dx.doi.org/10.1108/MD-09-2021-1183","http://dx.doi.org/10.1108/MD-09-2021-1183")</f>
        <v>http://dx.doi.org/10.1108/MD-09-2021-1183</v>
      </c>
      <c r="BG531" t="s">
        <v>74</v>
      </c>
      <c r="BH531" t="s">
        <v>4315</v>
      </c>
      <c r="BI531">
        <v>26</v>
      </c>
      <c r="BJ531" t="s">
        <v>877</v>
      </c>
      <c r="BK531" t="s">
        <v>101</v>
      </c>
      <c r="BL531" t="s">
        <v>154</v>
      </c>
      <c r="BM531" t="s">
        <v>8191</v>
      </c>
      <c r="BN531" t="s">
        <v>74</v>
      </c>
      <c r="BO531" t="s">
        <v>74</v>
      </c>
      <c r="BP531" t="s">
        <v>74</v>
      </c>
      <c r="BQ531" t="s">
        <v>74</v>
      </c>
      <c r="BR531" t="s">
        <v>6098</v>
      </c>
      <c r="BS531" t="s">
        <v>8192</v>
      </c>
      <c r="BT531" t="str">
        <f>HYPERLINK("https%3A%2F%2Fwww.webofscience.com%2Fwos%2Fwoscc%2Ffull-record%2FWOS:000885629600001","View Full Record in Web of Science")</f>
        <v>View Full Record in Web of Science</v>
      </c>
      <c r="BU531" t="s">
        <v>6100</v>
      </c>
      <c r="BV531" s="1" t="s">
        <v>6080</v>
      </c>
      <c r="BW531" s="1" t="s">
        <v>10653</v>
      </c>
    </row>
    <row r="532" spans="1:75" ht="377" x14ac:dyDescent="0.35">
      <c r="A532" s="1" t="s">
        <v>72</v>
      </c>
      <c r="B532" s="1" t="s">
        <v>4782</v>
      </c>
      <c r="C532" s="1" t="s">
        <v>74</v>
      </c>
      <c r="D532" s="1" t="s">
        <v>74</v>
      </c>
      <c r="E532" s="1" t="s">
        <v>74</v>
      </c>
      <c r="F532" s="1" t="s">
        <v>4783</v>
      </c>
      <c r="G532" s="1" t="s">
        <v>74</v>
      </c>
      <c r="H532" s="1" t="s">
        <v>74</v>
      </c>
      <c r="I532" s="1" t="s">
        <v>4784</v>
      </c>
      <c r="J532" s="1" t="s">
        <v>161</v>
      </c>
      <c r="K532" s="1" t="s">
        <v>74</v>
      </c>
      <c r="L532" s="1" t="s">
        <v>74</v>
      </c>
      <c r="M532" s="1" t="s">
        <v>78</v>
      </c>
      <c r="N532" s="1" t="s">
        <v>79</v>
      </c>
      <c r="O532" s="1" t="s">
        <v>74</v>
      </c>
      <c r="P532" s="1" t="s">
        <v>74</v>
      </c>
      <c r="Q532" s="1" t="s">
        <v>74</v>
      </c>
      <c r="R532" s="1" t="s">
        <v>74</v>
      </c>
      <c r="S532" s="1" t="s">
        <v>74</v>
      </c>
      <c r="T532" s="1" t="s">
        <v>4785</v>
      </c>
      <c r="U532" s="1" t="s">
        <v>4786</v>
      </c>
      <c r="V532" s="1" t="s">
        <v>4787</v>
      </c>
      <c r="W532" s="1" t="s">
        <v>4788</v>
      </c>
      <c r="X532" s="1" t="s">
        <v>4789</v>
      </c>
      <c r="Y532" s="1" t="s">
        <v>4790</v>
      </c>
      <c r="Z532" s="1" t="s">
        <v>4791</v>
      </c>
      <c r="AA532" s="1" t="s">
        <v>74</v>
      </c>
      <c r="AB532" s="1" t="s">
        <v>4792</v>
      </c>
      <c r="AC532" s="1" t="s">
        <v>4793</v>
      </c>
      <c r="AD532" s="1" t="s">
        <v>4793</v>
      </c>
      <c r="AE532" s="1" t="s">
        <v>4794</v>
      </c>
      <c r="AF532" s="1" t="s">
        <v>74</v>
      </c>
      <c r="AG532" s="1">
        <v>55</v>
      </c>
      <c r="AH532" s="1">
        <v>6</v>
      </c>
      <c r="AI532" s="1">
        <v>6</v>
      </c>
      <c r="AJ532" s="1">
        <v>15</v>
      </c>
      <c r="AK532" s="1">
        <v>47</v>
      </c>
      <c r="AL532" s="1" t="s">
        <v>170</v>
      </c>
      <c r="AM532" s="1" t="s">
        <v>171</v>
      </c>
      <c r="AN532" s="1" t="s">
        <v>172</v>
      </c>
      <c r="AO532" s="1" t="s">
        <v>173</v>
      </c>
      <c r="AP532" s="1" t="s">
        <v>174</v>
      </c>
      <c r="AQ532" s="1" t="s">
        <v>74</v>
      </c>
      <c r="AR532" s="1" t="s">
        <v>175</v>
      </c>
      <c r="AS532" s="1" t="s">
        <v>176</v>
      </c>
      <c r="AT532" s="1" t="s">
        <v>281</v>
      </c>
      <c r="AU532" s="1">
        <v>2021</v>
      </c>
      <c r="AV532" s="1">
        <v>48</v>
      </c>
      <c r="AW532" s="1">
        <v>3</v>
      </c>
      <c r="AX532" s="1" t="s">
        <v>74</v>
      </c>
      <c r="AY532" s="1" t="s">
        <v>74</v>
      </c>
      <c r="AZ532" s="1" t="s">
        <v>74</v>
      </c>
      <c r="BA532" s="1" t="s">
        <v>74</v>
      </c>
      <c r="BB532" s="1">
        <v>394</v>
      </c>
      <c r="BC532" s="1">
        <v>414</v>
      </c>
      <c r="BD532" s="1" t="s">
        <v>74</v>
      </c>
      <c r="BE532" s="1" t="s">
        <v>4795</v>
      </c>
      <c r="BF532" s="1" t="str">
        <f>HYPERLINK("http://dx.doi.org/10.1093/jcr/ucab018","http://dx.doi.org/10.1093/jcr/ucab018")</f>
        <v>http://dx.doi.org/10.1093/jcr/ucab018</v>
      </c>
      <c r="BG532" s="1" t="s">
        <v>74</v>
      </c>
      <c r="BH532" s="1" t="s">
        <v>4796</v>
      </c>
      <c r="BI532" s="1">
        <v>21</v>
      </c>
      <c r="BJ532" s="1" t="s">
        <v>153</v>
      </c>
      <c r="BK532" s="1" t="s">
        <v>101</v>
      </c>
      <c r="BL532" s="1" t="s">
        <v>154</v>
      </c>
      <c r="BM532" s="1" t="s">
        <v>4797</v>
      </c>
      <c r="BN532" s="1" t="s">
        <v>74</v>
      </c>
      <c r="BO532" s="1" t="s">
        <v>334</v>
      </c>
      <c r="BP532" s="1" t="s">
        <v>74</v>
      </c>
      <c r="BQ532" s="1" t="s">
        <v>74</v>
      </c>
      <c r="BR532" s="1" t="s">
        <v>4296</v>
      </c>
      <c r="BS532" s="1" t="s">
        <v>4798</v>
      </c>
      <c r="BT532" s="1" t="str">
        <f>HYPERLINK("https%3A%2F%2Fwww.webofscience.com%2Fwos%2Fwoscc%2Ffull-record%2FWOS:000715868600004","View Full Record in Web of Science")</f>
        <v>View Full Record in Web of Science</v>
      </c>
      <c r="BU532" s="1" t="s">
        <v>5876</v>
      </c>
      <c r="BV532" s="1" t="s">
        <v>6080</v>
      </c>
      <c r="BW532" s="1" t="s">
        <v>6080</v>
      </c>
    </row>
    <row r="533" spans="1:75" ht="362.5" x14ac:dyDescent="0.35">
      <c r="A533" s="1" t="s">
        <v>72</v>
      </c>
      <c r="B533" s="1" t="s">
        <v>4799</v>
      </c>
      <c r="C533" s="1" t="s">
        <v>74</v>
      </c>
      <c r="D533" s="1" t="s">
        <v>74</v>
      </c>
      <c r="E533" s="1" t="s">
        <v>74</v>
      </c>
      <c r="F533" s="1" t="s">
        <v>4800</v>
      </c>
      <c r="G533" s="1" t="s">
        <v>74</v>
      </c>
      <c r="H533" s="1" t="s">
        <v>74</v>
      </c>
      <c r="I533" s="1" t="s">
        <v>4801</v>
      </c>
      <c r="J533" s="1" t="s">
        <v>4802</v>
      </c>
      <c r="K533" s="1" t="s">
        <v>74</v>
      </c>
      <c r="L533" s="1" t="s">
        <v>74</v>
      </c>
      <c r="M533" s="1" t="s">
        <v>78</v>
      </c>
      <c r="N533" s="1" t="s">
        <v>79</v>
      </c>
      <c r="O533" s="1" t="s">
        <v>74</v>
      </c>
      <c r="P533" s="1" t="s">
        <v>74</v>
      </c>
      <c r="Q533" s="1" t="s">
        <v>74</v>
      </c>
      <c r="R533" s="1" t="s">
        <v>74</v>
      </c>
      <c r="S533" s="1" t="s">
        <v>74</v>
      </c>
      <c r="T533" s="1" t="s">
        <v>4803</v>
      </c>
      <c r="U533" s="1" t="s">
        <v>4804</v>
      </c>
      <c r="V533" s="1" t="s">
        <v>4805</v>
      </c>
      <c r="W533" s="1" t="s">
        <v>4806</v>
      </c>
      <c r="X533" s="1" t="s">
        <v>4807</v>
      </c>
      <c r="Y533" s="1" t="s">
        <v>4808</v>
      </c>
      <c r="Z533" s="1" t="s">
        <v>4809</v>
      </c>
      <c r="AA533" s="1" t="s">
        <v>4810</v>
      </c>
      <c r="AB533" s="1" t="s">
        <v>4811</v>
      </c>
      <c r="AC533" s="1" t="s">
        <v>74</v>
      </c>
      <c r="AD533" s="1" t="s">
        <v>74</v>
      </c>
      <c r="AE533" s="1" t="s">
        <v>74</v>
      </c>
      <c r="AF533" s="1" t="s">
        <v>74</v>
      </c>
      <c r="AG533" s="1">
        <v>58</v>
      </c>
      <c r="AH533" s="1">
        <v>3</v>
      </c>
      <c r="AI533" s="1">
        <v>3</v>
      </c>
      <c r="AJ533" s="1">
        <v>0</v>
      </c>
      <c r="AK533" s="1">
        <v>0</v>
      </c>
      <c r="AL533" s="1" t="s">
        <v>4812</v>
      </c>
      <c r="AM533" s="1" t="s">
        <v>4813</v>
      </c>
      <c r="AN533" s="1" t="s">
        <v>4814</v>
      </c>
      <c r="AO533" s="1" t="s">
        <v>4815</v>
      </c>
      <c r="AP533" s="1" t="s">
        <v>74</v>
      </c>
      <c r="AQ533" s="1" t="s">
        <v>74</v>
      </c>
      <c r="AR533" s="1" t="s">
        <v>4816</v>
      </c>
      <c r="AS533" s="1" t="s">
        <v>4817</v>
      </c>
      <c r="AT533" s="1" t="s">
        <v>3816</v>
      </c>
      <c r="AU533" s="1">
        <v>2021</v>
      </c>
      <c r="AV533" s="1">
        <v>47</v>
      </c>
      <c r="AW533" s="1" t="s">
        <v>74</v>
      </c>
      <c r="AX533" s="1" t="s">
        <v>74</v>
      </c>
      <c r="AY533" s="1" t="s">
        <v>74</v>
      </c>
      <c r="AZ533" s="1" t="s">
        <v>74</v>
      </c>
      <c r="BA533" s="1" t="s">
        <v>74</v>
      </c>
      <c r="BB533" s="1">
        <v>121</v>
      </c>
      <c r="BC533" s="1">
        <v>142</v>
      </c>
      <c r="BD533" s="1" t="s">
        <v>74</v>
      </c>
      <c r="BE533" s="1" t="s">
        <v>4818</v>
      </c>
      <c r="BF533" s="1" t="str">
        <f>HYPERLINK("http://dx.doi.org/10.4309/jgi.2021.47.5","http://dx.doi.org/10.4309/jgi.2021.47.5")</f>
        <v>http://dx.doi.org/10.4309/jgi.2021.47.5</v>
      </c>
      <c r="BG533" s="1" t="s">
        <v>74</v>
      </c>
      <c r="BH533" s="1" t="s">
        <v>74</v>
      </c>
      <c r="BI533" s="1">
        <v>22</v>
      </c>
      <c r="BJ533" s="1" t="s">
        <v>4819</v>
      </c>
      <c r="BK533" s="1" t="s">
        <v>3880</v>
      </c>
      <c r="BL533" s="1" t="s">
        <v>4819</v>
      </c>
      <c r="BM533" s="1" t="s">
        <v>4820</v>
      </c>
      <c r="BN533" s="1" t="s">
        <v>74</v>
      </c>
      <c r="BO533" s="1" t="s">
        <v>4746</v>
      </c>
      <c r="BP533" s="1" t="s">
        <v>74</v>
      </c>
      <c r="BQ533" s="1" t="s">
        <v>74</v>
      </c>
      <c r="BR533" s="1" t="s">
        <v>4296</v>
      </c>
      <c r="BS533" s="1" t="s">
        <v>4821</v>
      </c>
      <c r="BT533" s="1" t="str">
        <f>HYPERLINK("https%3A%2F%2Fwww.webofscience.com%2Fwos%2Fwoscc%2Ffull-record%2FWOS:000657744300005","View Full Record in Web of Science")</f>
        <v>View Full Record in Web of Science</v>
      </c>
      <c r="BU533" s="1" t="s">
        <v>5876</v>
      </c>
      <c r="BV533" s="1" t="s">
        <v>10653</v>
      </c>
    </row>
    <row r="534" spans="1:75" x14ac:dyDescent="0.35">
      <c r="A534" t="s">
        <v>72</v>
      </c>
      <c r="B534" t="s">
        <v>8217</v>
      </c>
      <c r="C534" t="s">
        <v>74</v>
      </c>
      <c r="D534" t="s">
        <v>74</v>
      </c>
      <c r="E534" t="s">
        <v>74</v>
      </c>
      <c r="F534" t="s">
        <v>8218</v>
      </c>
      <c r="G534" t="s">
        <v>74</v>
      </c>
      <c r="H534" t="s">
        <v>74</v>
      </c>
      <c r="I534" t="s">
        <v>8219</v>
      </c>
      <c r="J534" t="s">
        <v>161</v>
      </c>
      <c r="K534" t="s">
        <v>74</v>
      </c>
      <c r="L534" t="s">
        <v>74</v>
      </c>
      <c r="M534" t="s">
        <v>78</v>
      </c>
      <c r="N534" t="s">
        <v>79</v>
      </c>
      <c r="O534" t="s">
        <v>74</v>
      </c>
      <c r="P534" t="s">
        <v>74</v>
      </c>
      <c r="Q534" t="s">
        <v>74</v>
      </c>
      <c r="R534" t="s">
        <v>74</v>
      </c>
      <c r="S534" t="s">
        <v>74</v>
      </c>
      <c r="T534" t="s">
        <v>8220</v>
      </c>
      <c r="U534" t="s">
        <v>74</v>
      </c>
      <c r="V534" t="s">
        <v>8221</v>
      </c>
      <c r="W534" t="s">
        <v>8222</v>
      </c>
      <c r="X534" t="s">
        <v>8223</v>
      </c>
      <c r="Y534" t="s">
        <v>8224</v>
      </c>
      <c r="Z534" t="s">
        <v>8225</v>
      </c>
      <c r="AA534" t="s">
        <v>8226</v>
      </c>
      <c r="AB534" t="s">
        <v>8227</v>
      </c>
      <c r="AC534" t="s">
        <v>74</v>
      </c>
      <c r="AD534" t="s">
        <v>74</v>
      </c>
      <c r="AE534" t="s">
        <v>74</v>
      </c>
      <c r="AF534" t="s">
        <v>74</v>
      </c>
      <c r="AG534">
        <v>11</v>
      </c>
      <c r="AH534">
        <v>56</v>
      </c>
      <c r="AI534">
        <v>58</v>
      </c>
      <c r="AJ534">
        <v>20</v>
      </c>
      <c r="AK534">
        <v>133</v>
      </c>
      <c r="AL534" t="s">
        <v>170</v>
      </c>
      <c r="AM534" t="s">
        <v>171</v>
      </c>
      <c r="AN534" t="s">
        <v>172</v>
      </c>
      <c r="AO534" t="s">
        <v>173</v>
      </c>
      <c r="AP534" t="s">
        <v>174</v>
      </c>
      <c r="AQ534" t="s">
        <v>74</v>
      </c>
      <c r="AR534" t="s">
        <v>175</v>
      </c>
      <c r="AS534" t="s">
        <v>176</v>
      </c>
      <c r="AT534" t="s">
        <v>151</v>
      </c>
      <c r="AU534">
        <v>2015</v>
      </c>
      <c r="AV534">
        <v>42</v>
      </c>
      <c r="AW534">
        <v>1</v>
      </c>
      <c r="AX534" t="s">
        <v>74</v>
      </c>
      <c r="AY534" t="s">
        <v>74</v>
      </c>
      <c r="AZ534" t="s">
        <v>74</v>
      </c>
      <c r="BA534" t="s">
        <v>74</v>
      </c>
      <c r="BB534">
        <v>5</v>
      </c>
      <c r="BC534">
        <v>18</v>
      </c>
      <c r="BD534" t="s">
        <v>74</v>
      </c>
      <c r="BE534" t="s">
        <v>8228</v>
      </c>
      <c r="BF534" t="str">
        <f>HYPERLINK("http://dx.doi.org/10.1093/jcr/ucv009","http://dx.doi.org/10.1093/jcr/ucv009")</f>
        <v>http://dx.doi.org/10.1093/jcr/ucv009</v>
      </c>
      <c r="BG534" t="s">
        <v>74</v>
      </c>
      <c r="BH534" t="s">
        <v>74</v>
      </c>
      <c r="BI534">
        <v>14</v>
      </c>
      <c r="BJ534" t="s">
        <v>153</v>
      </c>
      <c r="BK534" t="s">
        <v>101</v>
      </c>
      <c r="BL534" t="s">
        <v>154</v>
      </c>
      <c r="BM534" t="s">
        <v>2310</v>
      </c>
      <c r="BN534" t="s">
        <v>74</v>
      </c>
      <c r="BO534" t="s">
        <v>74</v>
      </c>
      <c r="BP534" t="s">
        <v>74</v>
      </c>
      <c r="BQ534" t="s">
        <v>74</v>
      </c>
      <c r="BR534" t="s">
        <v>6098</v>
      </c>
      <c r="BS534" t="s">
        <v>8229</v>
      </c>
      <c r="BT534" t="str">
        <f>HYPERLINK("https%3A%2F%2Fwww.webofscience.com%2Fwos%2Fwoscc%2Ffull-record%2FWOS:000356596900002","View Full Record in Web of Science")</f>
        <v>View Full Record in Web of Science</v>
      </c>
      <c r="BU534" t="s">
        <v>6100</v>
      </c>
      <c r="BV534" s="1" t="s">
        <v>6080</v>
      </c>
      <c r="BW534" s="1" t="s">
        <v>10653</v>
      </c>
    </row>
    <row r="535" spans="1:75" ht="290" x14ac:dyDescent="0.35">
      <c r="A535" s="1" t="s">
        <v>72</v>
      </c>
      <c r="B535" s="1" t="s">
        <v>1442</v>
      </c>
      <c r="C535" s="1" t="s">
        <v>74</v>
      </c>
      <c r="D535" s="1" t="s">
        <v>74</v>
      </c>
      <c r="E535" s="1" t="s">
        <v>74</v>
      </c>
      <c r="F535" s="1" t="s">
        <v>1443</v>
      </c>
      <c r="G535" s="1" t="s">
        <v>74</v>
      </c>
      <c r="H535" s="1" t="s">
        <v>74</v>
      </c>
      <c r="I535" s="1" t="s">
        <v>4822</v>
      </c>
      <c r="J535" s="1" t="s">
        <v>161</v>
      </c>
      <c r="K535" s="1" t="s">
        <v>74</v>
      </c>
      <c r="L535" s="1" t="s">
        <v>74</v>
      </c>
      <c r="M535" s="1" t="s">
        <v>78</v>
      </c>
      <c r="N535" s="1" t="s">
        <v>79</v>
      </c>
      <c r="O535" s="1" t="s">
        <v>74</v>
      </c>
      <c r="P535" s="1" t="s">
        <v>74</v>
      </c>
      <c r="Q535" s="1" t="s">
        <v>74</v>
      </c>
      <c r="R535" s="1" t="s">
        <v>74</v>
      </c>
      <c r="S535" s="1" t="s">
        <v>74</v>
      </c>
      <c r="T535" s="1" t="s">
        <v>4823</v>
      </c>
      <c r="U535" s="1" t="s">
        <v>4824</v>
      </c>
      <c r="V535" s="1" t="s">
        <v>4825</v>
      </c>
      <c r="W535" s="1" t="s">
        <v>4826</v>
      </c>
      <c r="X535" s="1" t="s">
        <v>4827</v>
      </c>
      <c r="Y535" s="1" t="s">
        <v>4828</v>
      </c>
      <c r="Z535" s="1" t="s">
        <v>4829</v>
      </c>
      <c r="AA535" s="1" t="s">
        <v>74</v>
      </c>
      <c r="AB535" s="1" t="s">
        <v>74</v>
      </c>
      <c r="AC535" s="1" t="s">
        <v>4830</v>
      </c>
      <c r="AD535" s="1" t="s">
        <v>4831</v>
      </c>
      <c r="AE535" s="1" t="s">
        <v>4832</v>
      </c>
      <c r="AF535" s="1" t="s">
        <v>74</v>
      </c>
      <c r="AG535" s="1">
        <v>106</v>
      </c>
      <c r="AH535" s="1">
        <v>26</v>
      </c>
      <c r="AI535" s="1">
        <v>28</v>
      </c>
      <c r="AJ535" s="1">
        <v>52</v>
      </c>
      <c r="AK535" s="1">
        <v>163</v>
      </c>
      <c r="AL535" s="1" t="s">
        <v>170</v>
      </c>
      <c r="AM535" s="1" t="s">
        <v>171</v>
      </c>
      <c r="AN535" s="1" t="s">
        <v>172</v>
      </c>
      <c r="AO535" s="1" t="s">
        <v>173</v>
      </c>
      <c r="AP535" s="1" t="s">
        <v>174</v>
      </c>
      <c r="AQ535" s="1" t="s">
        <v>74</v>
      </c>
      <c r="AR535" s="1" t="s">
        <v>175</v>
      </c>
      <c r="AS535" s="1" t="s">
        <v>176</v>
      </c>
      <c r="AT535" s="1" t="s">
        <v>177</v>
      </c>
      <c r="AU535" s="1">
        <v>2021</v>
      </c>
      <c r="AV535" s="1">
        <v>47</v>
      </c>
      <c r="AW535" s="1">
        <v>5</v>
      </c>
      <c r="AX535" s="1" t="s">
        <v>74</v>
      </c>
      <c r="AY535" s="1" t="s">
        <v>74</v>
      </c>
      <c r="AZ535" s="1" t="s">
        <v>74</v>
      </c>
      <c r="BA535" s="1" t="s">
        <v>74</v>
      </c>
      <c r="BB535" s="1">
        <v>787</v>
      </c>
      <c r="BC535" s="1">
        <v>806</v>
      </c>
      <c r="BD535" s="1" t="s">
        <v>74</v>
      </c>
      <c r="BE535" s="1" t="s">
        <v>4833</v>
      </c>
      <c r="BF535" s="1" t="str">
        <f>HYPERLINK("http://dx.doi.org/10.1093/jcr/ucaa038","http://dx.doi.org/10.1093/jcr/ucaa038")</f>
        <v>http://dx.doi.org/10.1093/jcr/ucaa038</v>
      </c>
      <c r="BG535" s="1" t="s">
        <v>74</v>
      </c>
      <c r="BH535" s="1" t="s">
        <v>74</v>
      </c>
      <c r="BI535" s="1">
        <v>20</v>
      </c>
      <c r="BJ535" s="1" t="s">
        <v>153</v>
      </c>
      <c r="BK535" s="1" t="s">
        <v>101</v>
      </c>
      <c r="BL535" s="1" t="s">
        <v>154</v>
      </c>
      <c r="BM535" s="1" t="s">
        <v>4834</v>
      </c>
      <c r="BN535" s="1" t="s">
        <v>74</v>
      </c>
      <c r="BO535" s="1" t="s">
        <v>662</v>
      </c>
      <c r="BP535" s="1" t="s">
        <v>74</v>
      </c>
      <c r="BQ535" s="1" t="s">
        <v>74</v>
      </c>
      <c r="BR535" s="1" t="s">
        <v>4296</v>
      </c>
      <c r="BS535" s="1" t="s">
        <v>4835</v>
      </c>
      <c r="BT535" s="1" t="str">
        <f>HYPERLINK("https%3A%2F%2Fwww.webofscience.com%2Fwos%2Fwoscc%2Ffull-record%2FWOS:000637288400010","View Full Record in Web of Science")</f>
        <v>View Full Record in Web of Science</v>
      </c>
      <c r="BU535" s="1" t="s">
        <v>5876</v>
      </c>
      <c r="BV535" s="1" t="s">
        <v>6080</v>
      </c>
      <c r="BW535" s="1" t="s">
        <v>6080</v>
      </c>
    </row>
    <row r="536" spans="1:75" ht="319" x14ac:dyDescent="0.35">
      <c r="A536" s="1" t="s">
        <v>578</v>
      </c>
      <c r="B536" s="1" t="s">
        <v>4836</v>
      </c>
      <c r="C536" s="1" t="s">
        <v>74</v>
      </c>
      <c r="D536" s="1" t="s">
        <v>74</v>
      </c>
      <c r="E536" s="1" t="s">
        <v>4837</v>
      </c>
      <c r="F536" s="1" t="s">
        <v>4838</v>
      </c>
      <c r="G536" s="1" t="s">
        <v>74</v>
      </c>
      <c r="H536" s="1" t="s">
        <v>74</v>
      </c>
      <c r="I536" s="1" t="s">
        <v>4839</v>
      </c>
      <c r="J536" s="1" t="s">
        <v>4840</v>
      </c>
      <c r="K536" s="1" t="s">
        <v>74</v>
      </c>
      <c r="L536" s="1" t="s">
        <v>74</v>
      </c>
      <c r="M536" s="1" t="s">
        <v>78</v>
      </c>
      <c r="N536" s="1" t="s">
        <v>584</v>
      </c>
      <c r="O536" s="1" t="s">
        <v>4841</v>
      </c>
      <c r="P536" s="1" t="s">
        <v>4842</v>
      </c>
      <c r="Q536" s="1" t="s">
        <v>4843</v>
      </c>
      <c r="R536" s="1" t="s">
        <v>4837</v>
      </c>
      <c r="S536" s="1" t="s">
        <v>74</v>
      </c>
      <c r="T536" s="1" t="s">
        <v>74</v>
      </c>
      <c r="U536" s="1" t="s">
        <v>74</v>
      </c>
      <c r="V536" s="1" t="s">
        <v>4844</v>
      </c>
      <c r="W536" s="1" t="s">
        <v>4845</v>
      </c>
      <c r="X536" s="1" t="s">
        <v>4846</v>
      </c>
      <c r="Y536" s="1" t="s">
        <v>4847</v>
      </c>
      <c r="Z536" s="1" t="s">
        <v>74</v>
      </c>
      <c r="AA536" s="1" t="s">
        <v>74</v>
      </c>
      <c r="AB536" s="1" t="s">
        <v>4848</v>
      </c>
      <c r="AC536" s="1" t="s">
        <v>4849</v>
      </c>
      <c r="AD536" s="1" t="s">
        <v>4850</v>
      </c>
      <c r="AE536" s="1" t="s">
        <v>4851</v>
      </c>
      <c r="AF536" s="1" t="s">
        <v>74</v>
      </c>
      <c r="AG536" s="1">
        <v>73</v>
      </c>
      <c r="AH536" s="1">
        <v>35</v>
      </c>
      <c r="AI536" s="1">
        <v>36</v>
      </c>
      <c r="AJ536" s="1">
        <v>1</v>
      </c>
      <c r="AK536" s="1">
        <v>3</v>
      </c>
      <c r="AL536" s="1" t="s">
        <v>4852</v>
      </c>
      <c r="AM536" s="1" t="s">
        <v>4853</v>
      </c>
      <c r="AN536" s="1" t="s">
        <v>4854</v>
      </c>
      <c r="AO536" s="1" t="s">
        <v>74</v>
      </c>
      <c r="AP536" s="1" t="s">
        <v>74</v>
      </c>
      <c r="AQ536" s="1" t="s">
        <v>4855</v>
      </c>
      <c r="AR536" s="1" t="s">
        <v>74</v>
      </c>
      <c r="AS536" s="1" t="s">
        <v>74</v>
      </c>
      <c r="AT536" s="1" t="s">
        <v>74</v>
      </c>
      <c r="AU536" s="1">
        <v>2021</v>
      </c>
      <c r="AV536" s="1" t="s">
        <v>74</v>
      </c>
      <c r="AW536" s="1" t="s">
        <v>74</v>
      </c>
      <c r="AX536" s="1" t="s">
        <v>74</v>
      </c>
      <c r="AY536" s="1" t="s">
        <v>74</v>
      </c>
      <c r="AZ536" s="1" t="s">
        <v>74</v>
      </c>
      <c r="BA536" s="1" t="s">
        <v>74</v>
      </c>
      <c r="BB536" s="1">
        <v>2633</v>
      </c>
      <c r="BC536" s="1">
        <v>2650</v>
      </c>
      <c r="BD536" s="1" t="s">
        <v>74</v>
      </c>
      <c r="BE536" s="1" t="s">
        <v>74</v>
      </c>
      <c r="BF536" s="1" t="s">
        <v>74</v>
      </c>
      <c r="BG536" s="1" t="s">
        <v>74</v>
      </c>
      <c r="BH536" s="1" t="s">
        <v>74</v>
      </c>
      <c r="BI536" s="1">
        <v>18</v>
      </c>
      <c r="BJ536" s="1" t="s">
        <v>4856</v>
      </c>
      <c r="BK536" s="1" t="s">
        <v>604</v>
      </c>
      <c r="BL536" s="1" t="s">
        <v>417</v>
      </c>
      <c r="BM536" s="1" t="s">
        <v>4857</v>
      </c>
      <c r="BN536" s="1" t="s">
        <v>74</v>
      </c>
      <c r="BO536" s="1" t="s">
        <v>74</v>
      </c>
      <c r="BP536" s="1" t="s">
        <v>74</v>
      </c>
      <c r="BQ536" s="1" t="s">
        <v>74</v>
      </c>
      <c r="BR536" s="1" t="s">
        <v>4296</v>
      </c>
      <c r="BS536" s="1" t="s">
        <v>4858</v>
      </c>
      <c r="BT536" s="1" t="str">
        <f>HYPERLINK("https%3A%2F%2Fwww.webofscience.com%2Fwos%2Fwoscc%2Ffull-record%2FWOS:000722006802047","View Full Record in Web of Science")</f>
        <v>View Full Record in Web of Science</v>
      </c>
      <c r="BU536" s="1" t="s">
        <v>5876</v>
      </c>
      <c r="BV536" s="1" t="s">
        <v>10653</v>
      </c>
    </row>
    <row r="537" spans="1:75" ht="406" x14ac:dyDescent="0.35">
      <c r="A537" s="1" t="s">
        <v>578</v>
      </c>
      <c r="B537" s="1" t="s">
        <v>4859</v>
      </c>
      <c r="C537" s="1" t="s">
        <v>74</v>
      </c>
      <c r="D537" s="1" t="s">
        <v>4860</v>
      </c>
      <c r="E537" s="1" t="s">
        <v>74</v>
      </c>
      <c r="F537" s="1" t="s">
        <v>4861</v>
      </c>
      <c r="G537" s="1" t="s">
        <v>74</v>
      </c>
      <c r="H537" s="1" t="s">
        <v>74</v>
      </c>
      <c r="I537" s="1" t="s">
        <v>4862</v>
      </c>
      <c r="J537" s="1" t="s">
        <v>4863</v>
      </c>
      <c r="K537" s="1" t="s">
        <v>4864</v>
      </c>
      <c r="L537" s="1" t="s">
        <v>74</v>
      </c>
      <c r="M537" s="1" t="s">
        <v>78</v>
      </c>
      <c r="N537" s="1" t="s">
        <v>584</v>
      </c>
      <c r="O537" s="1" t="s">
        <v>4865</v>
      </c>
      <c r="P537" s="1" t="s">
        <v>4866</v>
      </c>
      <c r="Q537" s="1" t="s">
        <v>4843</v>
      </c>
      <c r="R537" s="1" t="s">
        <v>74</v>
      </c>
      <c r="S537" s="1" t="s">
        <v>74</v>
      </c>
      <c r="T537" s="1" t="s">
        <v>74</v>
      </c>
      <c r="U537" s="1" t="s">
        <v>74</v>
      </c>
      <c r="V537" s="1" t="s">
        <v>4867</v>
      </c>
      <c r="W537" s="1" t="s">
        <v>4868</v>
      </c>
      <c r="X537" s="1" t="s">
        <v>4869</v>
      </c>
      <c r="Y537" s="1" t="s">
        <v>4870</v>
      </c>
      <c r="Z537" s="1" t="s">
        <v>4871</v>
      </c>
      <c r="AA537" s="1" t="s">
        <v>74</v>
      </c>
      <c r="AB537" s="1" t="s">
        <v>74</v>
      </c>
      <c r="AC537" s="1" t="s">
        <v>74</v>
      </c>
      <c r="AD537" s="1" t="s">
        <v>74</v>
      </c>
      <c r="AE537" s="1" t="s">
        <v>74</v>
      </c>
      <c r="AF537" s="1" t="s">
        <v>74</v>
      </c>
      <c r="AG537" s="1">
        <v>146</v>
      </c>
      <c r="AH537" s="1">
        <v>381</v>
      </c>
      <c r="AI537" s="1">
        <v>385</v>
      </c>
      <c r="AJ537" s="1">
        <v>43</v>
      </c>
      <c r="AK537" s="1">
        <v>58</v>
      </c>
      <c r="AL537" s="1" t="s">
        <v>4872</v>
      </c>
      <c r="AM537" s="1" t="s">
        <v>1628</v>
      </c>
      <c r="AN537" s="1" t="s">
        <v>4873</v>
      </c>
      <c r="AO537" s="1" t="s">
        <v>4874</v>
      </c>
      <c r="AP537" s="1" t="s">
        <v>74</v>
      </c>
      <c r="AQ537" s="1" t="s">
        <v>74</v>
      </c>
      <c r="AR537" s="1" t="s">
        <v>4875</v>
      </c>
      <c r="AS537" s="1" t="s">
        <v>74</v>
      </c>
      <c r="AT537" s="1" t="s">
        <v>74</v>
      </c>
      <c r="AU537" s="1">
        <v>2021</v>
      </c>
      <c r="AV537" s="1">
        <v>139</v>
      </c>
      <c r="AW537" s="1" t="s">
        <v>74</v>
      </c>
      <c r="AX537" s="1" t="s">
        <v>74</v>
      </c>
      <c r="AY537" s="1" t="s">
        <v>74</v>
      </c>
      <c r="AZ537" s="1" t="s">
        <v>74</v>
      </c>
      <c r="BA537" s="1" t="s">
        <v>74</v>
      </c>
      <c r="BB537" s="1" t="s">
        <v>74</v>
      </c>
      <c r="BC537" s="1" t="s">
        <v>74</v>
      </c>
      <c r="BD537" s="1" t="s">
        <v>74</v>
      </c>
      <c r="BE537" s="1" t="s">
        <v>74</v>
      </c>
      <c r="BF537" s="1" t="s">
        <v>74</v>
      </c>
      <c r="BG537" s="1" t="s">
        <v>74</v>
      </c>
      <c r="BH537" s="1" t="s">
        <v>74</v>
      </c>
      <c r="BI537" s="1">
        <v>16</v>
      </c>
      <c r="BJ537" s="1" t="s">
        <v>1552</v>
      </c>
      <c r="BK537" s="1" t="s">
        <v>604</v>
      </c>
      <c r="BL537" s="1" t="s">
        <v>417</v>
      </c>
      <c r="BM537" s="1" t="s">
        <v>4876</v>
      </c>
      <c r="BN537" s="1" t="s">
        <v>74</v>
      </c>
      <c r="BO537" s="1" t="s">
        <v>74</v>
      </c>
      <c r="BP537" s="1" t="s">
        <v>74</v>
      </c>
      <c r="BQ537" s="1" t="s">
        <v>74</v>
      </c>
      <c r="BR537" s="1" t="s">
        <v>4296</v>
      </c>
      <c r="BS537" s="1" t="s">
        <v>4877</v>
      </c>
      <c r="BT537" s="1" t="str">
        <f>HYPERLINK("https%3A%2F%2Fwww.webofscience.com%2Fwos%2Fwoscc%2Ffull-record%2FWOS:000768182704084","View Full Record in Web of Science")</f>
        <v>View Full Record in Web of Science</v>
      </c>
      <c r="BU537" s="1" t="s">
        <v>5876</v>
      </c>
      <c r="BV537" s="1" t="s">
        <v>10653</v>
      </c>
    </row>
    <row r="538" spans="1:75" ht="348" x14ac:dyDescent="0.35">
      <c r="A538" s="1" t="s">
        <v>72</v>
      </c>
      <c r="B538" s="1" t="s">
        <v>4982</v>
      </c>
      <c r="C538" s="1" t="s">
        <v>74</v>
      </c>
      <c r="D538" s="1" t="s">
        <v>74</v>
      </c>
      <c r="E538" s="1" t="s">
        <v>74</v>
      </c>
      <c r="F538" s="1" t="s">
        <v>4983</v>
      </c>
      <c r="G538" s="1" t="s">
        <v>74</v>
      </c>
      <c r="H538" s="1" t="s">
        <v>74</v>
      </c>
      <c r="I538" s="1" t="s">
        <v>4984</v>
      </c>
      <c r="J538" s="1" t="s">
        <v>4985</v>
      </c>
      <c r="K538" s="1" t="s">
        <v>74</v>
      </c>
      <c r="L538" s="1" t="s">
        <v>74</v>
      </c>
      <c r="M538" s="1" t="s">
        <v>78</v>
      </c>
      <c r="N538" s="1" t="s">
        <v>79</v>
      </c>
      <c r="O538" s="1" t="s">
        <v>74</v>
      </c>
      <c r="P538" s="1" t="s">
        <v>74</v>
      </c>
      <c r="Q538" s="1" t="s">
        <v>74</v>
      </c>
      <c r="R538" s="1" t="s">
        <v>74</v>
      </c>
      <c r="S538" s="1" t="s">
        <v>74</v>
      </c>
      <c r="T538" s="1" t="s">
        <v>4986</v>
      </c>
      <c r="U538" s="1" t="s">
        <v>4987</v>
      </c>
      <c r="V538" s="1" t="s">
        <v>4988</v>
      </c>
      <c r="W538" s="1" t="s">
        <v>4989</v>
      </c>
      <c r="X538" s="1" t="s">
        <v>4990</v>
      </c>
      <c r="Y538" s="1" t="s">
        <v>4991</v>
      </c>
      <c r="Z538" s="1" t="s">
        <v>4992</v>
      </c>
      <c r="AA538" s="1" t="s">
        <v>4993</v>
      </c>
      <c r="AB538" s="1" t="s">
        <v>4994</v>
      </c>
      <c r="AC538" s="1" t="s">
        <v>4995</v>
      </c>
      <c r="AD538" s="1" t="s">
        <v>4996</v>
      </c>
      <c r="AE538" s="1" t="s">
        <v>4997</v>
      </c>
      <c r="AF538" s="1" t="s">
        <v>74</v>
      </c>
      <c r="AG538" s="1">
        <v>63</v>
      </c>
      <c r="AH538" s="1">
        <v>5</v>
      </c>
      <c r="AI538" s="1">
        <v>5</v>
      </c>
      <c r="AJ538" s="1">
        <v>1</v>
      </c>
      <c r="AK538" s="1">
        <v>12</v>
      </c>
      <c r="AL538" s="1" t="s">
        <v>1180</v>
      </c>
      <c r="AM538" s="1" t="s">
        <v>1181</v>
      </c>
      <c r="AN538" s="1" t="s">
        <v>1182</v>
      </c>
      <c r="AO538" s="1" t="s">
        <v>4998</v>
      </c>
      <c r="AP538" s="1" t="s">
        <v>4999</v>
      </c>
      <c r="AQ538" s="1" t="s">
        <v>74</v>
      </c>
      <c r="AR538" s="1" t="s">
        <v>4985</v>
      </c>
      <c r="AS538" s="1" t="s">
        <v>5000</v>
      </c>
      <c r="AT538" s="1" t="s">
        <v>5001</v>
      </c>
      <c r="AU538" s="1">
        <v>2021</v>
      </c>
      <c r="AV538" s="1">
        <v>35</v>
      </c>
      <c r="AW538" s="1">
        <v>7</v>
      </c>
      <c r="AX538" s="1" t="s">
        <v>74</v>
      </c>
      <c r="AY538" s="1" t="s">
        <v>74</v>
      </c>
      <c r="AZ538" s="1" t="s">
        <v>74</v>
      </c>
      <c r="BA538" s="1" t="s">
        <v>74</v>
      </c>
      <c r="BB538" s="1">
        <v>900</v>
      </c>
      <c r="BC538" s="1">
        <v>913</v>
      </c>
      <c r="BD538" s="1" t="s">
        <v>74</v>
      </c>
      <c r="BE538" s="1" t="s">
        <v>5002</v>
      </c>
      <c r="BF538" s="1" t="str">
        <f>HYPERLINK("http://dx.doi.org/10.1080/02687038.2020.1742282","http://dx.doi.org/10.1080/02687038.2020.1742282")</f>
        <v>http://dx.doi.org/10.1080/02687038.2020.1742282</v>
      </c>
      <c r="BG538" s="1" t="s">
        <v>74</v>
      </c>
      <c r="BH538" s="1" t="s">
        <v>5003</v>
      </c>
      <c r="BI538" s="1">
        <v>14</v>
      </c>
      <c r="BJ538" s="1" t="s">
        <v>5004</v>
      </c>
      <c r="BK538" s="1" t="s">
        <v>520</v>
      </c>
      <c r="BL538" s="1" t="s">
        <v>5005</v>
      </c>
      <c r="BM538" s="1" t="s">
        <v>5006</v>
      </c>
      <c r="BN538" s="1" t="s">
        <v>74</v>
      </c>
      <c r="BO538" s="1" t="s">
        <v>4416</v>
      </c>
      <c r="BP538" s="1" t="s">
        <v>74</v>
      </c>
      <c r="BQ538" s="1" t="s">
        <v>74</v>
      </c>
      <c r="BR538" s="1" t="s">
        <v>4296</v>
      </c>
      <c r="BS538" s="1" t="s">
        <v>5007</v>
      </c>
      <c r="BT538" s="1" t="str">
        <f>HYPERLINK("https%3A%2F%2Fwww.webofscience.com%2Fwos%2Fwoscc%2Ffull-record%2FWOS:000526283200001","View Full Record in Web of Science")</f>
        <v>View Full Record in Web of Science</v>
      </c>
      <c r="BU538" s="1" t="s">
        <v>5876</v>
      </c>
      <c r="BV538" s="1" t="s">
        <v>10653</v>
      </c>
    </row>
    <row r="539" spans="1:75" x14ac:dyDescent="0.35">
      <c r="A539" t="s">
        <v>72</v>
      </c>
      <c r="B539" t="s">
        <v>8281</v>
      </c>
      <c r="C539" t="s">
        <v>74</v>
      </c>
      <c r="D539" t="s">
        <v>74</v>
      </c>
      <c r="E539" t="s">
        <v>74</v>
      </c>
      <c r="F539" t="s">
        <v>8282</v>
      </c>
      <c r="G539" t="s">
        <v>74</v>
      </c>
      <c r="H539" t="s">
        <v>74</v>
      </c>
      <c r="I539" t="s">
        <v>8283</v>
      </c>
      <c r="J539" t="s">
        <v>7162</v>
      </c>
      <c r="K539" t="s">
        <v>74</v>
      </c>
      <c r="L539" t="s">
        <v>74</v>
      </c>
      <c r="M539" t="s">
        <v>78</v>
      </c>
      <c r="N539" t="s">
        <v>110</v>
      </c>
      <c r="O539" t="s">
        <v>74</v>
      </c>
      <c r="P539" t="s">
        <v>74</v>
      </c>
      <c r="Q539" t="s">
        <v>74</v>
      </c>
      <c r="R539" t="s">
        <v>74</v>
      </c>
      <c r="S539" t="s">
        <v>74</v>
      </c>
      <c r="T539" t="s">
        <v>8284</v>
      </c>
      <c r="U539" t="s">
        <v>74</v>
      </c>
      <c r="V539" t="s">
        <v>8285</v>
      </c>
      <c r="W539" t="s">
        <v>8286</v>
      </c>
      <c r="X539" t="s">
        <v>8287</v>
      </c>
      <c r="Y539" t="s">
        <v>8288</v>
      </c>
      <c r="Z539" t="s">
        <v>8289</v>
      </c>
      <c r="AA539" t="s">
        <v>8290</v>
      </c>
      <c r="AB539" t="s">
        <v>74</v>
      </c>
      <c r="AC539" t="s">
        <v>74</v>
      </c>
      <c r="AD539" t="s">
        <v>74</v>
      </c>
      <c r="AE539" t="s">
        <v>74</v>
      </c>
      <c r="AF539" t="s">
        <v>74</v>
      </c>
      <c r="AG539">
        <v>110</v>
      </c>
      <c r="AH539">
        <v>5</v>
      </c>
      <c r="AI539">
        <v>5</v>
      </c>
      <c r="AJ539">
        <v>7</v>
      </c>
      <c r="AK539">
        <v>29</v>
      </c>
      <c r="AL539" t="s">
        <v>7170</v>
      </c>
      <c r="AM539" t="s">
        <v>7171</v>
      </c>
      <c r="AN539" t="s">
        <v>7172</v>
      </c>
      <c r="AO539" t="s">
        <v>7173</v>
      </c>
      <c r="AP539" t="s">
        <v>7174</v>
      </c>
      <c r="AQ539" t="s">
        <v>74</v>
      </c>
      <c r="AR539" t="s">
        <v>7175</v>
      </c>
      <c r="AS539" t="s">
        <v>7176</v>
      </c>
      <c r="AT539" t="s">
        <v>177</v>
      </c>
      <c r="AU539">
        <v>2017</v>
      </c>
      <c r="AV539">
        <v>27</v>
      </c>
      <c r="AW539">
        <v>1</v>
      </c>
      <c r="AX539" t="s">
        <v>74</v>
      </c>
      <c r="AY539" t="s">
        <v>74</v>
      </c>
      <c r="AZ539" t="s">
        <v>74</v>
      </c>
      <c r="BA539" t="s">
        <v>74</v>
      </c>
      <c r="BB539">
        <v>33</v>
      </c>
      <c r="BC539">
        <v>47</v>
      </c>
      <c r="BD539" t="s">
        <v>74</v>
      </c>
      <c r="BE539" t="s">
        <v>8291</v>
      </c>
      <c r="BF539" t="str">
        <f>HYPERLINK("http://dx.doi.org/10.1007/s12525-016-0239-9","http://dx.doi.org/10.1007/s12525-016-0239-9")</f>
        <v>http://dx.doi.org/10.1007/s12525-016-0239-9</v>
      </c>
      <c r="BG539" t="s">
        <v>74</v>
      </c>
      <c r="BH539" t="s">
        <v>74</v>
      </c>
      <c r="BI539">
        <v>15</v>
      </c>
      <c r="BJ539" t="s">
        <v>877</v>
      </c>
      <c r="BK539" t="s">
        <v>101</v>
      </c>
      <c r="BL539" t="s">
        <v>154</v>
      </c>
      <c r="BM539" t="s">
        <v>8292</v>
      </c>
      <c r="BN539" t="s">
        <v>74</v>
      </c>
      <c r="BO539" t="s">
        <v>74</v>
      </c>
      <c r="BP539" t="s">
        <v>74</v>
      </c>
      <c r="BQ539" t="s">
        <v>74</v>
      </c>
      <c r="BR539" t="s">
        <v>6098</v>
      </c>
      <c r="BS539" t="s">
        <v>8293</v>
      </c>
      <c r="BT539" t="str">
        <f>HYPERLINK("https%3A%2F%2Fwww.webofscience.com%2Fwos%2Fwoscc%2Ffull-record%2FWOS:000397311100005","View Full Record in Web of Science")</f>
        <v>View Full Record in Web of Science</v>
      </c>
      <c r="BU539" t="s">
        <v>6100</v>
      </c>
      <c r="BV539" s="1" t="s">
        <v>6080</v>
      </c>
      <c r="BW539" s="1" t="s">
        <v>10653</v>
      </c>
    </row>
    <row r="540" spans="1:75" x14ac:dyDescent="0.35">
      <c r="A540" t="s">
        <v>72</v>
      </c>
      <c r="B540" t="s">
        <v>6309</v>
      </c>
      <c r="C540" t="s">
        <v>74</v>
      </c>
      <c r="D540" t="s">
        <v>74</v>
      </c>
      <c r="E540" t="s">
        <v>74</v>
      </c>
      <c r="F540" t="s">
        <v>6310</v>
      </c>
      <c r="G540" t="s">
        <v>74</v>
      </c>
      <c r="H540" t="s">
        <v>74</v>
      </c>
      <c r="I540" t="s">
        <v>6311</v>
      </c>
      <c r="J540" t="s">
        <v>6312</v>
      </c>
      <c r="K540" t="s">
        <v>74</v>
      </c>
      <c r="L540" t="s">
        <v>74</v>
      </c>
      <c r="M540" t="s">
        <v>78</v>
      </c>
      <c r="N540" t="s">
        <v>79</v>
      </c>
      <c r="O540" t="s">
        <v>74</v>
      </c>
      <c r="P540" t="s">
        <v>74</v>
      </c>
      <c r="Q540" t="s">
        <v>74</v>
      </c>
      <c r="R540" t="s">
        <v>74</v>
      </c>
      <c r="S540" t="s">
        <v>74</v>
      </c>
      <c r="T540" t="s">
        <v>6313</v>
      </c>
      <c r="U540" t="s">
        <v>74</v>
      </c>
      <c r="V540" t="s">
        <v>6314</v>
      </c>
      <c r="W540" t="s">
        <v>6315</v>
      </c>
      <c r="X540" t="s">
        <v>6316</v>
      </c>
      <c r="Y540" t="s">
        <v>6317</v>
      </c>
      <c r="Z540" t="s">
        <v>6318</v>
      </c>
      <c r="AA540" t="s">
        <v>6319</v>
      </c>
      <c r="AB540" t="s">
        <v>6320</v>
      </c>
      <c r="AC540" t="s">
        <v>74</v>
      </c>
      <c r="AD540" t="s">
        <v>74</v>
      </c>
      <c r="AE540" t="s">
        <v>74</v>
      </c>
      <c r="AF540" t="s">
        <v>74</v>
      </c>
      <c r="AG540">
        <v>87</v>
      </c>
      <c r="AH540">
        <v>2</v>
      </c>
      <c r="AI540">
        <v>2</v>
      </c>
      <c r="AJ540">
        <v>2</v>
      </c>
      <c r="AK540">
        <v>18</v>
      </c>
      <c r="AL540" t="s">
        <v>1982</v>
      </c>
      <c r="AM540" t="s">
        <v>1983</v>
      </c>
      <c r="AN540" t="s">
        <v>2573</v>
      </c>
      <c r="AO540" t="s">
        <v>6321</v>
      </c>
      <c r="AP540" t="s">
        <v>74</v>
      </c>
      <c r="AQ540" t="s">
        <v>74</v>
      </c>
      <c r="AR540" t="s">
        <v>6322</v>
      </c>
      <c r="AS540" t="s">
        <v>6323</v>
      </c>
      <c r="AT540" t="s">
        <v>6324</v>
      </c>
      <c r="AU540">
        <v>2021</v>
      </c>
      <c r="AV540">
        <v>31</v>
      </c>
      <c r="AW540">
        <v>3</v>
      </c>
      <c r="AX540" t="s">
        <v>74</v>
      </c>
      <c r="AY540" t="s">
        <v>74</v>
      </c>
      <c r="AZ540" t="s">
        <v>74</v>
      </c>
      <c r="BA540" t="s">
        <v>74</v>
      </c>
      <c r="BB540">
        <v>423</v>
      </c>
      <c r="BC540">
        <v>449</v>
      </c>
      <c r="BD540" t="s">
        <v>74</v>
      </c>
      <c r="BE540" t="s">
        <v>6325</v>
      </c>
      <c r="BF540" t="str">
        <f>HYPERLINK("http://dx.doi.org/10.1108/JSTP-06-2020-0139","http://dx.doi.org/10.1108/JSTP-06-2020-0139")</f>
        <v>http://dx.doi.org/10.1108/JSTP-06-2020-0139</v>
      </c>
      <c r="BG540" t="s">
        <v>74</v>
      </c>
      <c r="BH540" t="s">
        <v>6326</v>
      </c>
      <c r="BI540">
        <v>27</v>
      </c>
      <c r="BJ540" t="s">
        <v>877</v>
      </c>
      <c r="BK540" t="s">
        <v>101</v>
      </c>
      <c r="BL540" t="s">
        <v>154</v>
      </c>
      <c r="BM540" t="s">
        <v>6327</v>
      </c>
      <c r="BN540" t="s">
        <v>74</v>
      </c>
      <c r="BO540" t="s">
        <v>74</v>
      </c>
      <c r="BP540" t="s">
        <v>74</v>
      </c>
      <c r="BQ540" t="s">
        <v>74</v>
      </c>
      <c r="BR540" t="s">
        <v>6098</v>
      </c>
      <c r="BS540" t="s">
        <v>6328</v>
      </c>
      <c r="BT540" t="str">
        <f>HYPERLINK("https%3A%2F%2Fwww.webofscience.com%2Fwos%2Fwoscc%2Ffull-record%2FWOS:000621920900001","View Full Record in Web of Science")</f>
        <v>View Full Record in Web of Science</v>
      </c>
      <c r="BU540" t="s">
        <v>6100</v>
      </c>
      <c r="BV540" s="1" t="s">
        <v>10653</v>
      </c>
    </row>
    <row r="541" spans="1:75" x14ac:dyDescent="0.35">
      <c r="A541" t="s">
        <v>72</v>
      </c>
      <c r="B541" t="s">
        <v>8313</v>
      </c>
      <c r="C541" t="s">
        <v>74</v>
      </c>
      <c r="D541" t="s">
        <v>74</v>
      </c>
      <c r="E541" t="s">
        <v>74</v>
      </c>
      <c r="F541" t="s">
        <v>8314</v>
      </c>
      <c r="G541" t="s">
        <v>74</v>
      </c>
      <c r="H541" t="s">
        <v>74</v>
      </c>
      <c r="I541" t="s">
        <v>8315</v>
      </c>
      <c r="J541" t="s">
        <v>3737</v>
      </c>
      <c r="K541" t="s">
        <v>74</v>
      </c>
      <c r="L541" t="s">
        <v>74</v>
      </c>
      <c r="M541" t="s">
        <v>78</v>
      </c>
      <c r="N541" t="s">
        <v>110</v>
      </c>
      <c r="O541" t="s">
        <v>74</v>
      </c>
      <c r="P541" t="s">
        <v>74</v>
      </c>
      <c r="Q541" t="s">
        <v>74</v>
      </c>
      <c r="R541" t="s">
        <v>74</v>
      </c>
      <c r="S541" t="s">
        <v>74</v>
      </c>
      <c r="T541" t="s">
        <v>8316</v>
      </c>
      <c r="U541" t="s">
        <v>8317</v>
      </c>
      <c r="V541" t="s">
        <v>8318</v>
      </c>
      <c r="W541" t="s">
        <v>8319</v>
      </c>
      <c r="X541" t="s">
        <v>8320</v>
      </c>
      <c r="Y541" t="s">
        <v>8321</v>
      </c>
      <c r="Z541" t="s">
        <v>8322</v>
      </c>
      <c r="AA541" t="s">
        <v>8323</v>
      </c>
      <c r="AB541" t="s">
        <v>8324</v>
      </c>
      <c r="AC541" t="s">
        <v>8325</v>
      </c>
      <c r="AD541" t="s">
        <v>6716</v>
      </c>
      <c r="AE541" t="s">
        <v>8326</v>
      </c>
      <c r="AF541" t="s">
        <v>74</v>
      </c>
      <c r="AG541">
        <v>194</v>
      </c>
      <c r="AH541">
        <v>86</v>
      </c>
      <c r="AI541">
        <v>86</v>
      </c>
      <c r="AJ541">
        <v>31</v>
      </c>
      <c r="AK541">
        <v>167</v>
      </c>
      <c r="AL541" t="s">
        <v>324</v>
      </c>
      <c r="AM541" t="s">
        <v>325</v>
      </c>
      <c r="AN541" t="s">
        <v>2004</v>
      </c>
      <c r="AO541" t="s">
        <v>3743</v>
      </c>
      <c r="AP541" t="s">
        <v>3831</v>
      </c>
      <c r="AQ541" t="s">
        <v>74</v>
      </c>
      <c r="AR541" t="s">
        <v>3744</v>
      </c>
      <c r="AS541" t="s">
        <v>3745</v>
      </c>
      <c r="AT541" t="s">
        <v>98</v>
      </c>
      <c r="AU541">
        <v>2019</v>
      </c>
      <c r="AV541">
        <v>100</v>
      </c>
      <c r="AW541" t="s">
        <v>74</v>
      </c>
      <c r="AX541" t="s">
        <v>74</v>
      </c>
      <c r="AY541" t="s">
        <v>74</v>
      </c>
      <c r="AZ541" t="s">
        <v>74</v>
      </c>
      <c r="BA541" t="s">
        <v>74</v>
      </c>
      <c r="BB541">
        <v>514</v>
      </c>
      <c r="BC541">
        <v>530</v>
      </c>
      <c r="BD541" t="s">
        <v>74</v>
      </c>
      <c r="BE541" t="s">
        <v>8327</v>
      </c>
      <c r="BF541" t="str">
        <f>HYPERLINK("http://dx.doi.org/10.1016/j.jbusres.2018.10.055","http://dx.doi.org/10.1016/j.jbusres.2018.10.055")</f>
        <v>http://dx.doi.org/10.1016/j.jbusres.2018.10.055</v>
      </c>
      <c r="BG541" t="s">
        <v>74</v>
      </c>
      <c r="BH541" t="s">
        <v>74</v>
      </c>
      <c r="BI541">
        <v>17</v>
      </c>
      <c r="BJ541" t="s">
        <v>153</v>
      </c>
      <c r="BK541" t="s">
        <v>101</v>
      </c>
      <c r="BL541" t="s">
        <v>154</v>
      </c>
      <c r="BM541" t="s">
        <v>8328</v>
      </c>
      <c r="BN541" t="s">
        <v>74</v>
      </c>
      <c r="BO541" t="s">
        <v>828</v>
      </c>
      <c r="BP541" t="s">
        <v>74</v>
      </c>
      <c r="BQ541" t="s">
        <v>74</v>
      </c>
      <c r="BR541" t="s">
        <v>6098</v>
      </c>
      <c r="BS541" t="s">
        <v>8329</v>
      </c>
      <c r="BT541" t="str">
        <f>HYPERLINK("https%3A%2F%2Fwww.webofscience.com%2Fwos%2Fwoscc%2Ffull-record%2FWOS:000470942500047","View Full Record in Web of Science")</f>
        <v>View Full Record in Web of Science</v>
      </c>
      <c r="BU541" t="s">
        <v>6100</v>
      </c>
      <c r="BV541" s="1" t="s">
        <v>6080</v>
      </c>
      <c r="BW541" s="1" t="s">
        <v>10653</v>
      </c>
    </row>
    <row r="542" spans="1:75" ht="304.5" x14ac:dyDescent="0.35">
      <c r="A542" t="s">
        <v>72</v>
      </c>
      <c r="B542" t="s">
        <v>6391</v>
      </c>
      <c r="C542" t="s">
        <v>74</v>
      </c>
      <c r="D542" t="s">
        <v>74</v>
      </c>
      <c r="E542" t="s">
        <v>74</v>
      </c>
      <c r="F542" t="s">
        <v>6392</v>
      </c>
      <c r="G542" t="s">
        <v>74</v>
      </c>
      <c r="H542" t="s">
        <v>74</v>
      </c>
      <c r="I542" t="s">
        <v>6393</v>
      </c>
      <c r="J542" t="s">
        <v>6394</v>
      </c>
      <c r="K542" t="s">
        <v>74</v>
      </c>
      <c r="L542" t="s">
        <v>74</v>
      </c>
      <c r="M542" t="s">
        <v>78</v>
      </c>
      <c r="N542" t="s">
        <v>79</v>
      </c>
      <c r="O542" t="s">
        <v>74</v>
      </c>
      <c r="P542" t="s">
        <v>74</v>
      </c>
      <c r="Q542" t="s">
        <v>74</v>
      </c>
      <c r="R542" t="s">
        <v>74</v>
      </c>
      <c r="S542" t="s">
        <v>74</v>
      </c>
      <c r="T542" t="s">
        <v>74</v>
      </c>
      <c r="U542" t="s">
        <v>6395</v>
      </c>
      <c r="V542" s="1" t="s">
        <v>6396</v>
      </c>
      <c r="W542" t="s">
        <v>6397</v>
      </c>
      <c r="X542" t="s">
        <v>6398</v>
      </c>
      <c r="Y542" t="s">
        <v>6399</v>
      </c>
      <c r="Z542" t="s">
        <v>6400</v>
      </c>
      <c r="AA542" t="s">
        <v>74</v>
      </c>
      <c r="AB542" t="s">
        <v>6401</v>
      </c>
      <c r="AC542" t="s">
        <v>74</v>
      </c>
      <c r="AD542" t="s">
        <v>74</v>
      </c>
      <c r="AE542" t="s">
        <v>74</v>
      </c>
      <c r="AF542" t="s">
        <v>74</v>
      </c>
      <c r="AG542">
        <v>51</v>
      </c>
      <c r="AH542">
        <v>11</v>
      </c>
      <c r="AI542">
        <v>11</v>
      </c>
      <c r="AJ542">
        <v>2</v>
      </c>
      <c r="AK542">
        <v>41</v>
      </c>
      <c r="AL542" t="s">
        <v>1180</v>
      </c>
      <c r="AM542" t="s">
        <v>1181</v>
      </c>
      <c r="AN542" t="s">
        <v>1182</v>
      </c>
      <c r="AO542" t="s">
        <v>6402</v>
      </c>
      <c r="AP542" t="s">
        <v>6403</v>
      </c>
      <c r="AQ542" t="s">
        <v>74</v>
      </c>
      <c r="AR542" t="s">
        <v>6404</v>
      </c>
      <c r="AS542" t="s">
        <v>6405</v>
      </c>
      <c r="AT542" t="s">
        <v>6406</v>
      </c>
      <c r="AU542">
        <v>2021</v>
      </c>
      <c r="AV542">
        <v>50</v>
      </c>
      <c r="AW542">
        <v>3</v>
      </c>
      <c r="AX542" t="s">
        <v>74</v>
      </c>
      <c r="AY542" t="s">
        <v>74</v>
      </c>
      <c r="AZ542" t="s">
        <v>74</v>
      </c>
      <c r="BA542" t="s">
        <v>74</v>
      </c>
      <c r="BB542">
        <v>240</v>
      </c>
      <c r="BC542">
        <v>252</v>
      </c>
      <c r="BD542" t="s">
        <v>74</v>
      </c>
      <c r="BE542" t="s">
        <v>6407</v>
      </c>
      <c r="BF542" t="str">
        <f>HYPERLINK("http://dx.doi.org/10.1080/00913367.2021.1927912","http://dx.doi.org/10.1080/00913367.2021.1927912")</f>
        <v>http://dx.doi.org/10.1080/00913367.2021.1927912</v>
      </c>
      <c r="BG542" t="s">
        <v>74</v>
      </c>
      <c r="BH542" t="s">
        <v>6408</v>
      </c>
      <c r="BI542">
        <v>13</v>
      </c>
      <c r="BJ542" t="s">
        <v>2010</v>
      </c>
      <c r="BK542" t="s">
        <v>101</v>
      </c>
      <c r="BL542" t="s">
        <v>2011</v>
      </c>
      <c r="BM542" t="s">
        <v>6409</v>
      </c>
      <c r="BN542" t="s">
        <v>74</v>
      </c>
      <c r="BO542" t="s">
        <v>74</v>
      </c>
      <c r="BP542" t="s">
        <v>74</v>
      </c>
      <c r="BQ542" t="s">
        <v>74</v>
      </c>
      <c r="BR542" t="s">
        <v>6098</v>
      </c>
      <c r="BS542" t="s">
        <v>6410</v>
      </c>
      <c r="BT542" t="str">
        <f>HYPERLINK("https%3A%2F%2Fwww.webofscience.com%2Fwos%2Fwoscc%2Ffull-record%2FWOS:000657949500001","View Full Record in Web of Science")</f>
        <v>View Full Record in Web of Science</v>
      </c>
      <c r="BU542" t="s">
        <v>6100</v>
      </c>
      <c r="BV542" s="1" t="s">
        <v>6080</v>
      </c>
      <c r="BW542" s="1" t="s">
        <v>6080</v>
      </c>
    </row>
    <row r="543" spans="1:75" x14ac:dyDescent="0.35">
      <c r="A543" t="s">
        <v>72</v>
      </c>
      <c r="B543" t="s">
        <v>8347</v>
      </c>
      <c r="C543" t="s">
        <v>74</v>
      </c>
      <c r="D543" t="s">
        <v>74</v>
      </c>
      <c r="E543" t="s">
        <v>74</v>
      </c>
      <c r="F543" t="s">
        <v>8348</v>
      </c>
      <c r="G543" t="s">
        <v>74</v>
      </c>
      <c r="H543" t="s">
        <v>74</v>
      </c>
      <c r="I543" t="s">
        <v>8349</v>
      </c>
      <c r="J543" t="s">
        <v>3737</v>
      </c>
      <c r="K543" t="s">
        <v>74</v>
      </c>
      <c r="L543" t="s">
        <v>74</v>
      </c>
      <c r="M543" t="s">
        <v>78</v>
      </c>
      <c r="N543" t="s">
        <v>79</v>
      </c>
      <c r="O543" t="s">
        <v>74</v>
      </c>
      <c r="P543" t="s">
        <v>74</v>
      </c>
      <c r="Q543" t="s">
        <v>74</v>
      </c>
      <c r="R543" t="s">
        <v>74</v>
      </c>
      <c r="S543" t="s">
        <v>74</v>
      </c>
      <c r="T543" t="s">
        <v>8350</v>
      </c>
      <c r="U543" t="s">
        <v>8351</v>
      </c>
      <c r="V543" t="s">
        <v>8352</v>
      </c>
      <c r="W543" t="s">
        <v>8353</v>
      </c>
      <c r="X543" t="s">
        <v>8354</v>
      </c>
      <c r="Y543" t="s">
        <v>8355</v>
      </c>
      <c r="Z543" t="s">
        <v>8356</v>
      </c>
      <c r="AA543" t="s">
        <v>8357</v>
      </c>
      <c r="AB543" t="s">
        <v>8358</v>
      </c>
      <c r="AC543" t="s">
        <v>74</v>
      </c>
      <c r="AD543" t="s">
        <v>74</v>
      </c>
      <c r="AE543" t="s">
        <v>74</v>
      </c>
      <c r="AF543" t="s">
        <v>74</v>
      </c>
      <c r="AG543">
        <v>37</v>
      </c>
      <c r="AH543">
        <v>49</v>
      </c>
      <c r="AI543">
        <v>51</v>
      </c>
      <c r="AJ543">
        <v>2</v>
      </c>
      <c r="AK543">
        <v>47</v>
      </c>
      <c r="AL543" t="s">
        <v>324</v>
      </c>
      <c r="AM543" t="s">
        <v>325</v>
      </c>
      <c r="AN543" t="s">
        <v>326</v>
      </c>
      <c r="AO543" t="s">
        <v>3743</v>
      </c>
      <c r="AP543" t="s">
        <v>74</v>
      </c>
      <c r="AQ543" t="s">
        <v>74</v>
      </c>
      <c r="AR543" t="s">
        <v>3744</v>
      </c>
      <c r="AS543" t="s">
        <v>3745</v>
      </c>
      <c r="AT543" t="s">
        <v>98</v>
      </c>
      <c r="AU543">
        <v>2012</v>
      </c>
      <c r="AV543">
        <v>65</v>
      </c>
      <c r="AW543">
        <v>7</v>
      </c>
      <c r="AX543" t="s">
        <v>74</v>
      </c>
      <c r="AY543" t="s">
        <v>74</v>
      </c>
      <c r="AZ543" t="s">
        <v>74</v>
      </c>
      <c r="BA543" t="s">
        <v>74</v>
      </c>
      <c r="BB543">
        <v>1010</v>
      </c>
      <c r="BC543">
        <v>1024</v>
      </c>
      <c r="BD543" t="s">
        <v>74</v>
      </c>
      <c r="BE543" t="s">
        <v>8359</v>
      </c>
      <c r="BF543" t="str">
        <f>HYPERLINK("http://dx.doi.org/10.1016/j.jbusres.2011.04.007","http://dx.doi.org/10.1016/j.jbusres.2011.04.007")</f>
        <v>http://dx.doi.org/10.1016/j.jbusres.2011.04.007</v>
      </c>
      <c r="BG543" t="s">
        <v>74</v>
      </c>
      <c r="BH543" t="s">
        <v>74</v>
      </c>
      <c r="BI543">
        <v>15</v>
      </c>
      <c r="BJ543" t="s">
        <v>153</v>
      </c>
      <c r="BK543" t="s">
        <v>101</v>
      </c>
      <c r="BL543" t="s">
        <v>154</v>
      </c>
      <c r="BM543" t="s">
        <v>8360</v>
      </c>
      <c r="BN543" t="s">
        <v>74</v>
      </c>
      <c r="BO543" t="s">
        <v>74</v>
      </c>
      <c r="BP543" t="s">
        <v>74</v>
      </c>
      <c r="BQ543" t="s">
        <v>74</v>
      </c>
      <c r="BR543" t="s">
        <v>6098</v>
      </c>
      <c r="BS543" t="s">
        <v>8361</v>
      </c>
      <c r="BT543" t="str">
        <f>HYPERLINK("https%3A%2F%2Fwww.webofscience.com%2Fwos%2Fwoscc%2Ffull-record%2FWOS:000305847300017","View Full Record in Web of Science")</f>
        <v>View Full Record in Web of Science</v>
      </c>
      <c r="BU543" t="s">
        <v>6100</v>
      </c>
      <c r="BV543" s="1" t="s">
        <v>6080</v>
      </c>
      <c r="BW543" s="1" t="s">
        <v>10653</v>
      </c>
    </row>
    <row r="544" spans="1:75" x14ac:dyDescent="0.35">
      <c r="A544" t="s">
        <v>72</v>
      </c>
      <c r="B544" t="s">
        <v>6411</v>
      </c>
      <c r="C544" t="s">
        <v>74</v>
      </c>
      <c r="D544" t="s">
        <v>74</v>
      </c>
      <c r="E544" t="s">
        <v>74</v>
      </c>
      <c r="F544" t="s">
        <v>6412</v>
      </c>
      <c r="G544" t="s">
        <v>74</v>
      </c>
      <c r="H544" t="s">
        <v>74</v>
      </c>
      <c r="I544" t="s">
        <v>6413</v>
      </c>
      <c r="J544" t="s">
        <v>6414</v>
      </c>
      <c r="K544" t="s">
        <v>74</v>
      </c>
      <c r="L544" t="s">
        <v>74</v>
      </c>
      <c r="M544" t="s">
        <v>78</v>
      </c>
      <c r="N544" t="s">
        <v>79</v>
      </c>
      <c r="O544" t="s">
        <v>74</v>
      </c>
      <c r="P544" t="s">
        <v>74</v>
      </c>
      <c r="Q544" t="s">
        <v>74</v>
      </c>
      <c r="R544" t="s">
        <v>74</v>
      </c>
      <c r="S544" t="s">
        <v>74</v>
      </c>
      <c r="T544" t="s">
        <v>6415</v>
      </c>
      <c r="U544" t="s">
        <v>6416</v>
      </c>
      <c r="V544" t="s">
        <v>6417</v>
      </c>
      <c r="W544" t="s">
        <v>6418</v>
      </c>
      <c r="X544" t="s">
        <v>6419</v>
      </c>
      <c r="Y544" t="s">
        <v>6420</v>
      </c>
      <c r="Z544" t="s">
        <v>6421</v>
      </c>
      <c r="AA544" t="s">
        <v>6422</v>
      </c>
      <c r="AB544" t="s">
        <v>6423</v>
      </c>
      <c r="AC544" t="s">
        <v>74</v>
      </c>
      <c r="AD544" t="s">
        <v>74</v>
      </c>
      <c r="AE544" t="s">
        <v>74</v>
      </c>
      <c r="AF544" t="s">
        <v>74</v>
      </c>
      <c r="AG544">
        <v>109</v>
      </c>
      <c r="AH544">
        <v>13</v>
      </c>
      <c r="AI544">
        <v>13</v>
      </c>
      <c r="AJ544">
        <v>3</v>
      </c>
      <c r="AK544">
        <v>16</v>
      </c>
      <c r="AL544" t="s">
        <v>6358</v>
      </c>
      <c r="AM544" t="s">
        <v>6359</v>
      </c>
      <c r="AN544" t="s">
        <v>6360</v>
      </c>
      <c r="AO544" t="s">
        <v>6424</v>
      </c>
      <c r="AP544" t="s">
        <v>6425</v>
      </c>
      <c r="AQ544" t="s">
        <v>74</v>
      </c>
      <c r="AR544" t="s">
        <v>6426</v>
      </c>
      <c r="AS544" t="s">
        <v>6427</v>
      </c>
      <c r="AT544" t="s">
        <v>517</v>
      </c>
      <c r="AU544">
        <v>2021</v>
      </c>
      <c r="AV544">
        <v>28</v>
      </c>
      <c r="AW544">
        <v>5</v>
      </c>
      <c r="AX544" t="s">
        <v>74</v>
      </c>
      <c r="AY544" t="s">
        <v>74</v>
      </c>
      <c r="AZ544" t="s">
        <v>74</v>
      </c>
      <c r="BA544" t="s">
        <v>74</v>
      </c>
      <c r="BB544">
        <v>526</v>
      </c>
      <c r="BC544">
        <v>544</v>
      </c>
      <c r="BD544" t="s">
        <v>74</v>
      </c>
      <c r="BE544" t="s">
        <v>6428</v>
      </c>
      <c r="BF544" t="str">
        <f>HYPERLINK("http://dx.doi.org/10.1057/s41262-021-00244-8","http://dx.doi.org/10.1057/s41262-021-00244-8")</f>
        <v>http://dx.doi.org/10.1057/s41262-021-00244-8</v>
      </c>
      <c r="BG544" t="s">
        <v>74</v>
      </c>
      <c r="BH544" t="s">
        <v>6216</v>
      </c>
      <c r="BI544">
        <v>19</v>
      </c>
      <c r="BJ544" t="s">
        <v>877</v>
      </c>
      <c r="BK544" t="s">
        <v>101</v>
      </c>
      <c r="BL544" t="s">
        <v>154</v>
      </c>
      <c r="BM544" t="s">
        <v>6429</v>
      </c>
      <c r="BN544" t="s">
        <v>74</v>
      </c>
      <c r="BO544" t="s">
        <v>334</v>
      </c>
      <c r="BP544" t="s">
        <v>74</v>
      </c>
      <c r="BQ544" t="s">
        <v>74</v>
      </c>
      <c r="BR544" t="s">
        <v>6098</v>
      </c>
      <c r="BS544" t="s">
        <v>6430</v>
      </c>
      <c r="BT544" t="str">
        <f>HYPERLINK("https%3A%2F%2Fwww.webofscience.com%2Fwos%2Fwoscc%2Ffull-record%2FWOS:000663498200002","View Full Record in Web of Science")</f>
        <v>View Full Record in Web of Science</v>
      </c>
      <c r="BU544" t="s">
        <v>6100</v>
      </c>
      <c r="BV544" s="1" t="s">
        <v>6080</v>
      </c>
      <c r="BW544" s="1" t="s">
        <v>6080</v>
      </c>
    </row>
    <row r="545" spans="1:75" x14ac:dyDescent="0.35">
      <c r="A545" t="s">
        <v>72</v>
      </c>
      <c r="B545" t="s">
        <v>6545</v>
      </c>
      <c r="C545" t="s">
        <v>74</v>
      </c>
      <c r="D545" t="s">
        <v>74</v>
      </c>
      <c r="E545" t="s">
        <v>74</v>
      </c>
      <c r="F545" t="s">
        <v>6546</v>
      </c>
      <c r="G545" t="s">
        <v>74</v>
      </c>
      <c r="H545" t="s">
        <v>74</v>
      </c>
      <c r="I545" t="s">
        <v>6547</v>
      </c>
      <c r="J545" t="s">
        <v>6548</v>
      </c>
      <c r="K545" t="s">
        <v>74</v>
      </c>
      <c r="L545" t="s">
        <v>74</v>
      </c>
      <c r="M545" t="s">
        <v>78</v>
      </c>
      <c r="N545" t="s">
        <v>79</v>
      </c>
      <c r="O545" t="s">
        <v>74</v>
      </c>
      <c r="P545" t="s">
        <v>74</v>
      </c>
      <c r="Q545" t="s">
        <v>74</v>
      </c>
      <c r="R545" t="s">
        <v>74</v>
      </c>
      <c r="S545" t="s">
        <v>74</v>
      </c>
      <c r="T545" t="s">
        <v>6549</v>
      </c>
      <c r="U545" t="s">
        <v>6550</v>
      </c>
      <c r="V545" t="s">
        <v>6551</v>
      </c>
      <c r="W545" t="s">
        <v>6552</v>
      </c>
      <c r="X545" t="s">
        <v>74</v>
      </c>
      <c r="Y545" t="s">
        <v>6553</v>
      </c>
      <c r="Z545" t="s">
        <v>6554</v>
      </c>
      <c r="AA545" t="s">
        <v>74</v>
      </c>
      <c r="AB545" t="s">
        <v>74</v>
      </c>
      <c r="AC545" t="s">
        <v>74</v>
      </c>
      <c r="AD545" t="s">
        <v>74</v>
      </c>
      <c r="AE545" t="s">
        <v>74</v>
      </c>
      <c r="AF545" t="s">
        <v>74</v>
      </c>
      <c r="AG545">
        <v>43</v>
      </c>
      <c r="AH545">
        <v>2</v>
      </c>
      <c r="AI545">
        <v>2</v>
      </c>
      <c r="AJ545">
        <v>6</v>
      </c>
      <c r="AK545">
        <v>33</v>
      </c>
      <c r="AL545" t="s">
        <v>206</v>
      </c>
      <c r="AM545" t="s">
        <v>207</v>
      </c>
      <c r="AN545" t="s">
        <v>208</v>
      </c>
      <c r="AO545" t="s">
        <v>6555</v>
      </c>
      <c r="AP545" t="s">
        <v>6556</v>
      </c>
      <c r="AQ545" t="s">
        <v>74</v>
      </c>
      <c r="AR545" t="s">
        <v>6557</v>
      </c>
      <c r="AS545" t="s">
        <v>6558</v>
      </c>
      <c r="AT545" t="s">
        <v>151</v>
      </c>
      <c r="AU545">
        <v>2021</v>
      </c>
      <c r="AV545">
        <v>52</v>
      </c>
      <c r="AW545">
        <v>3</v>
      </c>
      <c r="AX545" t="s">
        <v>74</v>
      </c>
      <c r="AY545" t="s">
        <v>74</v>
      </c>
      <c r="AZ545" t="s">
        <v>74</v>
      </c>
      <c r="BA545" t="s">
        <v>74</v>
      </c>
      <c r="BB545">
        <v>699</v>
      </c>
      <c r="BC545">
        <v>719</v>
      </c>
      <c r="BD545" t="s">
        <v>74</v>
      </c>
      <c r="BE545" t="s">
        <v>6559</v>
      </c>
      <c r="BF545" t="str">
        <f>HYPERLINK("http://dx.doi.org/10.1111/deci.12349","http://dx.doi.org/10.1111/deci.12349")</f>
        <v>http://dx.doi.org/10.1111/deci.12349</v>
      </c>
      <c r="BG545" t="s">
        <v>74</v>
      </c>
      <c r="BH545" t="s">
        <v>74</v>
      </c>
      <c r="BI545">
        <v>21</v>
      </c>
      <c r="BJ545" t="s">
        <v>2493</v>
      </c>
      <c r="BK545" t="s">
        <v>101</v>
      </c>
      <c r="BL545" t="s">
        <v>154</v>
      </c>
      <c r="BM545" t="s">
        <v>6560</v>
      </c>
      <c r="BN545" t="s">
        <v>74</v>
      </c>
      <c r="BO545" t="s">
        <v>74</v>
      </c>
      <c r="BP545" t="s">
        <v>74</v>
      </c>
      <c r="BQ545" t="s">
        <v>74</v>
      </c>
      <c r="BR545" t="s">
        <v>6098</v>
      </c>
      <c r="BS545" t="s">
        <v>6561</v>
      </c>
      <c r="BT545" t="str">
        <f>HYPERLINK("https%3A%2F%2Fwww.webofscience.com%2Fwos%2Fwoscc%2Ffull-record%2FWOS:000660151500006","View Full Record in Web of Science")</f>
        <v>View Full Record in Web of Science</v>
      </c>
      <c r="BU545" t="s">
        <v>6100</v>
      </c>
      <c r="BV545" s="1" t="s">
        <v>10653</v>
      </c>
    </row>
    <row r="546" spans="1:75" x14ac:dyDescent="0.35">
      <c r="A546" t="s">
        <v>72</v>
      </c>
      <c r="B546" t="s">
        <v>6691</v>
      </c>
      <c r="C546" t="s">
        <v>74</v>
      </c>
      <c r="D546" t="s">
        <v>74</v>
      </c>
      <c r="E546" t="s">
        <v>74</v>
      </c>
      <c r="F546" t="s">
        <v>6692</v>
      </c>
      <c r="G546" t="s">
        <v>74</v>
      </c>
      <c r="H546" t="s">
        <v>74</v>
      </c>
      <c r="I546" t="s">
        <v>6693</v>
      </c>
      <c r="J546" t="s">
        <v>6394</v>
      </c>
      <c r="K546" t="s">
        <v>74</v>
      </c>
      <c r="L546" t="s">
        <v>74</v>
      </c>
      <c r="M546" t="s">
        <v>78</v>
      </c>
      <c r="N546" t="s">
        <v>79</v>
      </c>
      <c r="O546" t="s">
        <v>74</v>
      </c>
      <c r="P546" t="s">
        <v>74</v>
      </c>
      <c r="Q546" t="s">
        <v>74</v>
      </c>
      <c r="R546" t="s">
        <v>74</v>
      </c>
      <c r="S546" t="s">
        <v>74</v>
      </c>
      <c r="T546" t="s">
        <v>74</v>
      </c>
      <c r="U546" t="s">
        <v>74</v>
      </c>
      <c r="V546" t="s">
        <v>6694</v>
      </c>
      <c r="W546" t="s">
        <v>6695</v>
      </c>
      <c r="X546" t="s">
        <v>6696</v>
      </c>
      <c r="Y546" t="s">
        <v>6697</v>
      </c>
      <c r="Z546" t="s">
        <v>6698</v>
      </c>
      <c r="AA546" t="s">
        <v>74</v>
      </c>
      <c r="AB546" t="s">
        <v>6699</v>
      </c>
      <c r="AC546" t="s">
        <v>74</v>
      </c>
      <c r="AD546" t="s">
        <v>74</v>
      </c>
      <c r="AE546" t="s">
        <v>74</v>
      </c>
      <c r="AF546" t="s">
        <v>74</v>
      </c>
      <c r="AG546">
        <v>10</v>
      </c>
      <c r="AH546">
        <v>2</v>
      </c>
      <c r="AI546">
        <v>2</v>
      </c>
      <c r="AJ546">
        <v>7</v>
      </c>
      <c r="AK546">
        <v>32</v>
      </c>
      <c r="AL546" t="s">
        <v>1180</v>
      </c>
      <c r="AM546" t="s">
        <v>1181</v>
      </c>
      <c r="AN546" t="s">
        <v>1182</v>
      </c>
      <c r="AO546" t="s">
        <v>6402</v>
      </c>
      <c r="AP546" t="s">
        <v>6403</v>
      </c>
      <c r="AQ546" t="s">
        <v>74</v>
      </c>
      <c r="AR546" t="s">
        <v>6404</v>
      </c>
      <c r="AS546" t="s">
        <v>6405</v>
      </c>
      <c r="AT546" t="s">
        <v>6406</v>
      </c>
      <c r="AU546">
        <v>2021</v>
      </c>
      <c r="AV546">
        <v>50</v>
      </c>
      <c r="AW546">
        <v>3</v>
      </c>
      <c r="AX546" t="s">
        <v>74</v>
      </c>
      <c r="AY546" t="s">
        <v>74</v>
      </c>
      <c r="AZ546" t="s">
        <v>74</v>
      </c>
      <c r="BA546" t="s">
        <v>74</v>
      </c>
      <c r="BB546">
        <v>217</v>
      </c>
      <c r="BC546">
        <v>220</v>
      </c>
      <c r="BD546" t="s">
        <v>74</v>
      </c>
      <c r="BE546" t="s">
        <v>6700</v>
      </c>
      <c r="BF546" t="str">
        <f>HYPERLINK("http://dx.doi.org/10.1080/00913367.2021.1933657","http://dx.doi.org/10.1080/00913367.2021.1933657")</f>
        <v>http://dx.doi.org/10.1080/00913367.2021.1933657</v>
      </c>
      <c r="BG546" t="s">
        <v>74</v>
      </c>
      <c r="BH546" t="s">
        <v>74</v>
      </c>
      <c r="BI546">
        <v>4</v>
      </c>
      <c r="BJ546" t="s">
        <v>2010</v>
      </c>
      <c r="BK546" t="s">
        <v>101</v>
      </c>
      <c r="BL546" t="s">
        <v>2011</v>
      </c>
      <c r="BM546" t="s">
        <v>6409</v>
      </c>
      <c r="BN546" t="s">
        <v>74</v>
      </c>
      <c r="BO546" t="s">
        <v>74</v>
      </c>
      <c r="BP546" t="s">
        <v>74</v>
      </c>
      <c r="BQ546" t="s">
        <v>74</v>
      </c>
      <c r="BR546" t="s">
        <v>6098</v>
      </c>
      <c r="BS546" t="s">
        <v>6701</v>
      </c>
      <c r="BT546" t="str">
        <f>HYPERLINK("https%3A%2F%2Fwww.webofscience.com%2Fwos%2Fwoscc%2Ffull-record%2FWOS:000677473100001","View Full Record in Web of Science")</f>
        <v>View Full Record in Web of Science</v>
      </c>
      <c r="BU546" t="s">
        <v>6100</v>
      </c>
      <c r="BV546" s="1" t="s">
        <v>6080</v>
      </c>
      <c r="BW546" s="1" t="s">
        <v>10653</v>
      </c>
    </row>
    <row r="547" spans="1:75" x14ac:dyDescent="0.35">
      <c r="A547" t="s">
        <v>72</v>
      </c>
      <c r="B547" t="s">
        <v>8417</v>
      </c>
      <c r="C547" t="s">
        <v>74</v>
      </c>
      <c r="D547" t="s">
        <v>74</v>
      </c>
      <c r="E547" t="s">
        <v>74</v>
      </c>
      <c r="F547" t="s">
        <v>8418</v>
      </c>
      <c r="G547" t="s">
        <v>74</v>
      </c>
      <c r="H547" t="s">
        <v>74</v>
      </c>
      <c r="I547" t="s">
        <v>8419</v>
      </c>
      <c r="J547" t="s">
        <v>8420</v>
      </c>
      <c r="K547" t="s">
        <v>74</v>
      </c>
      <c r="L547" t="s">
        <v>74</v>
      </c>
      <c r="M547" t="s">
        <v>78</v>
      </c>
      <c r="N547" t="s">
        <v>79</v>
      </c>
      <c r="O547" t="s">
        <v>74</v>
      </c>
      <c r="P547" t="s">
        <v>74</v>
      </c>
      <c r="Q547" t="s">
        <v>74</v>
      </c>
      <c r="R547" t="s">
        <v>74</v>
      </c>
      <c r="S547" t="s">
        <v>74</v>
      </c>
      <c r="T547" t="s">
        <v>8421</v>
      </c>
      <c r="U547" t="s">
        <v>8422</v>
      </c>
      <c r="V547" t="s">
        <v>8423</v>
      </c>
      <c r="W547" t="s">
        <v>8424</v>
      </c>
      <c r="X547" t="s">
        <v>8425</v>
      </c>
      <c r="Y547" t="s">
        <v>8426</v>
      </c>
      <c r="Z547" t="s">
        <v>8427</v>
      </c>
      <c r="AA547" t="s">
        <v>74</v>
      </c>
      <c r="AB547" t="s">
        <v>8428</v>
      </c>
      <c r="AC547" t="s">
        <v>74</v>
      </c>
      <c r="AD547" t="s">
        <v>74</v>
      </c>
      <c r="AE547" t="s">
        <v>74</v>
      </c>
      <c r="AF547" t="s">
        <v>74</v>
      </c>
      <c r="AG547">
        <v>30</v>
      </c>
      <c r="AH547">
        <v>17</v>
      </c>
      <c r="AI547">
        <v>17</v>
      </c>
      <c r="AJ547">
        <v>1</v>
      </c>
      <c r="AK547">
        <v>31</v>
      </c>
      <c r="AL547" t="s">
        <v>1180</v>
      </c>
      <c r="AM547" t="s">
        <v>1181</v>
      </c>
      <c r="AN547" t="s">
        <v>1182</v>
      </c>
      <c r="AO547" t="s">
        <v>8429</v>
      </c>
      <c r="AP547" t="s">
        <v>8430</v>
      </c>
      <c r="AQ547" t="s">
        <v>74</v>
      </c>
      <c r="AR547" t="s">
        <v>8431</v>
      </c>
      <c r="AS547" t="s">
        <v>8432</v>
      </c>
      <c r="AT547" t="s">
        <v>8433</v>
      </c>
      <c r="AU547">
        <v>2015</v>
      </c>
      <c r="AV547">
        <v>22</v>
      </c>
      <c r="AW547" t="s">
        <v>8434</v>
      </c>
      <c r="AX547" t="s">
        <v>74</v>
      </c>
      <c r="AY547" t="s">
        <v>74</v>
      </c>
      <c r="AZ547" t="s">
        <v>74</v>
      </c>
      <c r="BA547" t="s">
        <v>74</v>
      </c>
      <c r="BB547">
        <v>111</v>
      </c>
      <c r="BC547">
        <v>123</v>
      </c>
      <c r="BD547" t="s">
        <v>74</v>
      </c>
      <c r="BE547" t="s">
        <v>8435</v>
      </c>
      <c r="BF547" t="str">
        <f>HYPERLINK("http://dx.doi.org/10.1080/1051712X.2015.1021591","http://dx.doi.org/10.1080/1051712X.2015.1021591")</f>
        <v>http://dx.doi.org/10.1080/1051712X.2015.1021591</v>
      </c>
      <c r="BG547" t="s">
        <v>74</v>
      </c>
      <c r="BH547" t="s">
        <v>74</v>
      </c>
      <c r="BI547">
        <v>13</v>
      </c>
      <c r="BJ547" t="s">
        <v>153</v>
      </c>
      <c r="BK547" t="s">
        <v>101</v>
      </c>
      <c r="BL547" t="s">
        <v>154</v>
      </c>
      <c r="BM547" t="s">
        <v>8436</v>
      </c>
      <c r="BN547" t="s">
        <v>74</v>
      </c>
      <c r="BO547" t="s">
        <v>74</v>
      </c>
      <c r="BP547" t="s">
        <v>74</v>
      </c>
      <c r="BQ547" t="s">
        <v>74</v>
      </c>
      <c r="BR547" t="s">
        <v>6098</v>
      </c>
      <c r="BS547" t="s">
        <v>8437</v>
      </c>
      <c r="BT547" t="str">
        <f>HYPERLINK("https%3A%2F%2Fwww.webofscience.com%2Fwos%2Fwoscc%2Ffull-record%2FWOS:000356251400003","View Full Record in Web of Science")</f>
        <v>View Full Record in Web of Science</v>
      </c>
      <c r="BU547" t="s">
        <v>6100</v>
      </c>
      <c r="BV547" s="1" t="s">
        <v>6080</v>
      </c>
      <c r="BW547" s="1" t="s">
        <v>10653</v>
      </c>
    </row>
    <row r="548" spans="1:75" x14ac:dyDescent="0.35">
      <c r="A548" t="s">
        <v>72</v>
      </c>
      <c r="B548" t="s">
        <v>6806</v>
      </c>
      <c r="C548" t="s">
        <v>74</v>
      </c>
      <c r="D548" t="s">
        <v>74</v>
      </c>
      <c r="E548" t="s">
        <v>74</v>
      </c>
      <c r="F548" t="s">
        <v>6807</v>
      </c>
      <c r="G548" t="s">
        <v>74</v>
      </c>
      <c r="H548" t="s">
        <v>74</v>
      </c>
      <c r="I548" t="s">
        <v>6808</v>
      </c>
      <c r="J548" t="s">
        <v>6809</v>
      </c>
      <c r="K548" t="s">
        <v>74</v>
      </c>
      <c r="L548" t="s">
        <v>74</v>
      </c>
      <c r="M548" t="s">
        <v>78</v>
      </c>
      <c r="N548" t="s">
        <v>79</v>
      </c>
      <c r="O548" t="s">
        <v>74</v>
      </c>
      <c r="P548" t="s">
        <v>74</v>
      </c>
      <c r="Q548" t="s">
        <v>74</v>
      </c>
      <c r="R548" t="s">
        <v>74</v>
      </c>
      <c r="S548" t="s">
        <v>74</v>
      </c>
      <c r="T548" t="s">
        <v>6810</v>
      </c>
      <c r="U548" t="s">
        <v>6811</v>
      </c>
      <c r="V548" t="s">
        <v>6812</v>
      </c>
      <c r="W548" t="s">
        <v>6813</v>
      </c>
      <c r="X548" t="s">
        <v>6814</v>
      </c>
      <c r="Y548" t="s">
        <v>6815</v>
      </c>
      <c r="Z548" t="s">
        <v>6816</v>
      </c>
      <c r="AA548" t="s">
        <v>6817</v>
      </c>
      <c r="AB548" t="s">
        <v>6818</v>
      </c>
      <c r="AC548" t="s">
        <v>74</v>
      </c>
      <c r="AD548" t="s">
        <v>74</v>
      </c>
      <c r="AE548" t="s">
        <v>74</v>
      </c>
      <c r="AF548" t="s">
        <v>74</v>
      </c>
      <c r="AG548">
        <v>71</v>
      </c>
      <c r="AH548">
        <v>8</v>
      </c>
      <c r="AI548">
        <v>9</v>
      </c>
      <c r="AJ548">
        <v>2</v>
      </c>
      <c r="AK548">
        <v>11</v>
      </c>
      <c r="AL548" t="s">
        <v>1982</v>
      </c>
      <c r="AM548" t="s">
        <v>1983</v>
      </c>
      <c r="AN548" t="s">
        <v>2573</v>
      </c>
      <c r="AO548" t="s">
        <v>6819</v>
      </c>
      <c r="AP548" t="s">
        <v>6820</v>
      </c>
      <c r="AQ548" t="s">
        <v>74</v>
      </c>
      <c r="AR548" t="s">
        <v>6821</v>
      </c>
      <c r="AS548" t="s">
        <v>6822</v>
      </c>
      <c r="AT548" t="s">
        <v>6823</v>
      </c>
      <c r="AU548">
        <v>2021</v>
      </c>
      <c r="AV548">
        <v>30</v>
      </c>
      <c r="AW548">
        <v>1</v>
      </c>
      <c r="AX548" t="s">
        <v>74</v>
      </c>
      <c r="AY548" t="s">
        <v>74</v>
      </c>
      <c r="AZ548" t="s">
        <v>74</v>
      </c>
      <c r="BA548" t="s">
        <v>74</v>
      </c>
      <c r="BB548">
        <v>1</v>
      </c>
      <c r="BC548">
        <v>17</v>
      </c>
      <c r="BD548" t="s">
        <v>74</v>
      </c>
      <c r="BE548" t="s">
        <v>6824</v>
      </c>
      <c r="BF548" t="str">
        <f>HYPERLINK("http://dx.doi.org/10.1108/EJMBE-10-2019-0192","http://dx.doi.org/10.1108/EJMBE-10-2019-0192")</f>
        <v>http://dx.doi.org/10.1108/EJMBE-10-2019-0192</v>
      </c>
      <c r="BG548" t="s">
        <v>74</v>
      </c>
      <c r="BH548" t="s">
        <v>74</v>
      </c>
      <c r="BI548">
        <v>17</v>
      </c>
      <c r="BJ548" t="s">
        <v>153</v>
      </c>
      <c r="BK548" t="s">
        <v>3880</v>
      </c>
      <c r="BL548" t="s">
        <v>154</v>
      </c>
      <c r="BM548" t="s">
        <v>6825</v>
      </c>
      <c r="BN548" t="s">
        <v>74</v>
      </c>
      <c r="BO548" t="s">
        <v>5118</v>
      </c>
      <c r="BP548" t="s">
        <v>74</v>
      </c>
      <c r="BQ548" t="s">
        <v>74</v>
      </c>
      <c r="BR548" t="s">
        <v>6098</v>
      </c>
      <c r="BS548" t="s">
        <v>6826</v>
      </c>
      <c r="BT548" t="str">
        <f>HYPERLINK("https%3A%2F%2Fwww.webofscience.com%2Fwos%2Fwoscc%2Ffull-record%2FWOS:000672536800001","View Full Record in Web of Science")</f>
        <v>View Full Record in Web of Science</v>
      </c>
      <c r="BU548" t="s">
        <v>6100</v>
      </c>
      <c r="BV548" s="1" t="s">
        <v>10653</v>
      </c>
    </row>
    <row r="549" spans="1:75" x14ac:dyDescent="0.35">
      <c r="A549" t="s">
        <v>72</v>
      </c>
      <c r="B549" t="s">
        <v>7491</v>
      </c>
      <c r="C549" t="s">
        <v>74</v>
      </c>
      <c r="D549" t="s">
        <v>74</v>
      </c>
      <c r="E549" t="s">
        <v>74</v>
      </c>
      <c r="F549" t="s">
        <v>7492</v>
      </c>
      <c r="G549" t="s">
        <v>74</v>
      </c>
      <c r="H549" t="s">
        <v>74</v>
      </c>
      <c r="I549" t="s">
        <v>7493</v>
      </c>
      <c r="J549" t="s">
        <v>3737</v>
      </c>
      <c r="K549" t="s">
        <v>74</v>
      </c>
      <c r="L549" t="s">
        <v>74</v>
      </c>
      <c r="M549" t="s">
        <v>78</v>
      </c>
      <c r="N549" t="s">
        <v>79</v>
      </c>
      <c r="O549" t="s">
        <v>74</v>
      </c>
      <c r="P549" t="s">
        <v>74</v>
      </c>
      <c r="Q549" t="s">
        <v>74</v>
      </c>
      <c r="R549" t="s">
        <v>74</v>
      </c>
      <c r="S549" t="s">
        <v>74</v>
      </c>
      <c r="T549" t="s">
        <v>7494</v>
      </c>
      <c r="U549" t="s">
        <v>7495</v>
      </c>
      <c r="V549" t="s">
        <v>7496</v>
      </c>
      <c r="W549" t="s">
        <v>7497</v>
      </c>
      <c r="X549" t="s">
        <v>7498</v>
      </c>
      <c r="Y549" t="s">
        <v>7499</v>
      </c>
      <c r="Z549" t="s">
        <v>7500</v>
      </c>
      <c r="AA549" t="s">
        <v>74</v>
      </c>
      <c r="AB549" t="s">
        <v>6320</v>
      </c>
      <c r="AC549" t="s">
        <v>74</v>
      </c>
      <c r="AD549" t="s">
        <v>74</v>
      </c>
      <c r="AE549" t="s">
        <v>74</v>
      </c>
      <c r="AF549" t="s">
        <v>74</v>
      </c>
      <c r="AG549">
        <v>68</v>
      </c>
      <c r="AH549">
        <v>27</v>
      </c>
      <c r="AI549">
        <v>27</v>
      </c>
      <c r="AJ549">
        <v>19</v>
      </c>
      <c r="AK549">
        <v>78</v>
      </c>
      <c r="AL549" t="s">
        <v>324</v>
      </c>
      <c r="AM549" t="s">
        <v>325</v>
      </c>
      <c r="AN549" t="s">
        <v>2004</v>
      </c>
      <c r="AO549" t="s">
        <v>3743</v>
      </c>
      <c r="AP549" t="s">
        <v>3831</v>
      </c>
      <c r="AQ549" t="s">
        <v>74</v>
      </c>
      <c r="AR549" t="s">
        <v>3744</v>
      </c>
      <c r="AS549" t="s">
        <v>3745</v>
      </c>
      <c r="AT549" t="s">
        <v>98</v>
      </c>
      <c r="AU549">
        <v>2021</v>
      </c>
      <c r="AV549">
        <v>131</v>
      </c>
      <c r="AW549" t="s">
        <v>74</v>
      </c>
      <c r="AX549" t="s">
        <v>74</v>
      </c>
      <c r="AY549" t="s">
        <v>74</v>
      </c>
      <c r="AZ549" t="s">
        <v>74</v>
      </c>
      <c r="BA549" t="s">
        <v>74</v>
      </c>
      <c r="BB549">
        <v>815</v>
      </c>
      <c r="BC549">
        <v>825</v>
      </c>
      <c r="BD549" t="s">
        <v>74</v>
      </c>
      <c r="BE549" t="s">
        <v>7501</v>
      </c>
      <c r="BF549" t="str">
        <f>HYPERLINK("http://dx.doi.org/10.1016/j.jbusres.2020.10.043","http://dx.doi.org/10.1016/j.jbusres.2020.10.043")</f>
        <v>http://dx.doi.org/10.1016/j.jbusres.2020.10.043</v>
      </c>
      <c r="BG549" t="s">
        <v>74</v>
      </c>
      <c r="BH549" t="s">
        <v>6408</v>
      </c>
      <c r="BI549">
        <v>11</v>
      </c>
      <c r="BJ549" t="s">
        <v>153</v>
      </c>
      <c r="BK549" t="s">
        <v>101</v>
      </c>
      <c r="BL549" t="s">
        <v>154</v>
      </c>
      <c r="BM549" t="s">
        <v>7502</v>
      </c>
      <c r="BN549" t="s">
        <v>74</v>
      </c>
      <c r="BO549" t="s">
        <v>74</v>
      </c>
      <c r="BP549" t="s">
        <v>74</v>
      </c>
      <c r="BQ549" t="s">
        <v>74</v>
      </c>
      <c r="BR549" t="s">
        <v>6098</v>
      </c>
      <c r="BS549" t="s">
        <v>7503</v>
      </c>
      <c r="BT549" t="str">
        <f>HYPERLINK("https%3A%2F%2Fwww.webofscience.com%2Fwos%2Fwoscc%2Ffull-record%2FWOS:000652015200015","View Full Record in Web of Science")</f>
        <v>View Full Record in Web of Science</v>
      </c>
      <c r="BU549" t="s">
        <v>6100</v>
      </c>
      <c r="BV549" s="1" t="s">
        <v>6080</v>
      </c>
      <c r="BW549" s="1" t="s">
        <v>6080</v>
      </c>
    </row>
    <row r="550" spans="1:75" x14ac:dyDescent="0.35">
      <c r="A550" t="s">
        <v>72</v>
      </c>
      <c r="B550" t="s">
        <v>7610</v>
      </c>
      <c r="C550" t="s">
        <v>74</v>
      </c>
      <c r="D550" t="s">
        <v>74</v>
      </c>
      <c r="E550" t="s">
        <v>74</v>
      </c>
      <c r="F550" t="s">
        <v>7611</v>
      </c>
      <c r="G550" t="s">
        <v>74</v>
      </c>
      <c r="H550" t="s">
        <v>74</v>
      </c>
      <c r="I550" t="s">
        <v>7612</v>
      </c>
      <c r="J550" t="s">
        <v>198</v>
      </c>
      <c r="K550" t="s">
        <v>74</v>
      </c>
      <c r="L550" t="s">
        <v>74</v>
      </c>
      <c r="M550" t="s">
        <v>78</v>
      </c>
      <c r="N550" t="s">
        <v>79</v>
      </c>
      <c r="O550" t="s">
        <v>74</v>
      </c>
      <c r="P550" t="s">
        <v>74</v>
      </c>
      <c r="Q550" t="s">
        <v>74</v>
      </c>
      <c r="R550" t="s">
        <v>74</v>
      </c>
      <c r="S550" t="s">
        <v>74</v>
      </c>
      <c r="T550" t="s">
        <v>7613</v>
      </c>
      <c r="U550" t="s">
        <v>7614</v>
      </c>
      <c r="V550" t="s">
        <v>7615</v>
      </c>
      <c r="W550" t="s">
        <v>7616</v>
      </c>
      <c r="X550" t="s">
        <v>7617</v>
      </c>
      <c r="Y550" t="s">
        <v>7618</v>
      </c>
      <c r="Z550" t="s">
        <v>7619</v>
      </c>
      <c r="AA550" t="s">
        <v>205</v>
      </c>
      <c r="AB550" t="s">
        <v>7620</v>
      </c>
      <c r="AC550" t="s">
        <v>74</v>
      </c>
      <c r="AD550" t="s">
        <v>74</v>
      </c>
      <c r="AE550" t="s">
        <v>74</v>
      </c>
      <c r="AF550" t="s">
        <v>74</v>
      </c>
      <c r="AG550">
        <v>46</v>
      </c>
      <c r="AH550">
        <v>34</v>
      </c>
      <c r="AI550">
        <v>35</v>
      </c>
      <c r="AJ550">
        <v>27</v>
      </c>
      <c r="AK550">
        <v>154</v>
      </c>
      <c r="AL550" t="s">
        <v>206</v>
      </c>
      <c r="AM550" t="s">
        <v>207</v>
      </c>
      <c r="AN550" t="s">
        <v>208</v>
      </c>
      <c r="AO550" t="s">
        <v>209</v>
      </c>
      <c r="AP550" t="s">
        <v>210</v>
      </c>
      <c r="AQ550" t="s">
        <v>74</v>
      </c>
      <c r="AR550" t="s">
        <v>211</v>
      </c>
      <c r="AS550" t="s">
        <v>212</v>
      </c>
      <c r="AT550" t="s">
        <v>213</v>
      </c>
      <c r="AU550">
        <v>2021</v>
      </c>
      <c r="AV550">
        <v>38</v>
      </c>
      <c r="AW550">
        <v>1</v>
      </c>
      <c r="AX550" t="s">
        <v>74</v>
      </c>
      <c r="AY550" t="s">
        <v>74</v>
      </c>
      <c r="AZ550" t="s">
        <v>74</v>
      </c>
      <c r="BA550" t="s">
        <v>74</v>
      </c>
      <c r="BB550">
        <v>101</v>
      </c>
      <c r="BC550">
        <v>112</v>
      </c>
      <c r="BD550" t="s">
        <v>74</v>
      </c>
      <c r="BE550" t="s">
        <v>7621</v>
      </c>
      <c r="BF550" t="str">
        <f>HYPERLINK("http://dx.doi.org/10.1002/mar.21419","http://dx.doi.org/10.1002/mar.21419")</f>
        <v>http://dx.doi.org/10.1002/mar.21419</v>
      </c>
      <c r="BG550" t="s">
        <v>74</v>
      </c>
      <c r="BH550" t="s">
        <v>7622</v>
      </c>
      <c r="BI550">
        <v>12</v>
      </c>
      <c r="BJ550" t="s">
        <v>215</v>
      </c>
      <c r="BK550" t="s">
        <v>101</v>
      </c>
      <c r="BL550" t="s">
        <v>216</v>
      </c>
      <c r="BM550" t="s">
        <v>7623</v>
      </c>
      <c r="BN550" t="s">
        <v>74</v>
      </c>
      <c r="BO550" t="s">
        <v>74</v>
      </c>
      <c r="BP550" t="s">
        <v>74</v>
      </c>
      <c r="BQ550" t="s">
        <v>74</v>
      </c>
      <c r="BR550" t="s">
        <v>6098</v>
      </c>
      <c r="BS550" t="s">
        <v>7624</v>
      </c>
      <c r="BT550" t="str">
        <f>HYPERLINK("https%3A%2F%2Fwww.webofscience.com%2Fwos%2Fwoscc%2Ffull-record%2FWOS:000578537400001","View Full Record in Web of Science")</f>
        <v>View Full Record in Web of Science</v>
      </c>
      <c r="BU550" t="s">
        <v>6100</v>
      </c>
      <c r="BV550" s="1" t="s">
        <v>6080</v>
      </c>
      <c r="BW550" s="1" t="s">
        <v>6080</v>
      </c>
    </row>
    <row r="551" spans="1:75" ht="377" x14ac:dyDescent="0.35">
      <c r="A551" t="s">
        <v>72</v>
      </c>
      <c r="B551" t="s">
        <v>7660</v>
      </c>
      <c r="C551" t="s">
        <v>74</v>
      </c>
      <c r="D551" t="s">
        <v>74</v>
      </c>
      <c r="E551" t="s">
        <v>74</v>
      </c>
      <c r="F551" t="s">
        <v>7661</v>
      </c>
      <c r="G551" t="s">
        <v>74</v>
      </c>
      <c r="H551" t="s">
        <v>74</v>
      </c>
      <c r="I551" t="s">
        <v>7662</v>
      </c>
      <c r="J551" t="s">
        <v>136</v>
      </c>
      <c r="K551" t="s">
        <v>74</v>
      </c>
      <c r="L551" t="s">
        <v>74</v>
      </c>
      <c r="M551" t="s">
        <v>78</v>
      </c>
      <c r="N551" t="s">
        <v>79</v>
      </c>
      <c r="O551" t="s">
        <v>74</v>
      </c>
      <c r="P551" t="s">
        <v>74</v>
      </c>
      <c r="Q551" t="s">
        <v>74</v>
      </c>
      <c r="R551" t="s">
        <v>74</v>
      </c>
      <c r="S551" t="s">
        <v>74</v>
      </c>
      <c r="T551" t="s">
        <v>7663</v>
      </c>
      <c r="U551" t="s">
        <v>7664</v>
      </c>
      <c r="V551" s="1" t="s">
        <v>7665</v>
      </c>
      <c r="W551" t="s">
        <v>7666</v>
      </c>
      <c r="X551" t="s">
        <v>7667</v>
      </c>
      <c r="Y551" t="s">
        <v>7668</v>
      </c>
      <c r="Z551" t="s">
        <v>7669</v>
      </c>
      <c r="AA551" t="s">
        <v>7670</v>
      </c>
      <c r="AB551" t="s">
        <v>944</v>
      </c>
      <c r="AC551" t="s">
        <v>74</v>
      </c>
      <c r="AD551" t="s">
        <v>74</v>
      </c>
      <c r="AE551" t="s">
        <v>74</v>
      </c>
      <c r="AF551" t="s">
        <v>74</v>
      </c>
      <c r="AG551">
        <v>54</v>
      </c>
      <c r="AH551">
        <v>21</v>
      </c>
      <c r="AI551">
        <v>21</v>
      </c>
      <c r="AJ551">
        <v>39</v>
      </c>
      <c r="AK551">
        <v>105</v>
      </c>
      <c r="AL551" t="s">
        <v>144</v>
      </c>
      <c r="AM551" t="s">
        <v>145</v>
      </c>
      <c r="AN551" t="s">
        <v>146</v>
      </c>
      <c r="AO551" t="s">
        <v>147</v>
      </c>
      <c r="AP551" t="s">
        <v>148</v>
      </c>
      <c r="AQ551" t="s">
        <v>74</v>
      </c>
      <c r="AR551" t="s">
        <v>149</v>
      </c>
      <c r="AS551" t="s">
        <v>150</v>
      </c>
      <c r="AT551" t="s">
        <v>348</v>
      </c>
      <c r="AU551">
        <v>2021</v>
      </c>
      <c r="AV551">
        <v>58</v>
      </c>
      <c r="AW551">
        <v>6</v>
      </c>
      <c r="AX551" t="s">
        <v>74</v>
      </c>
      <c r="AY551" t="s">
        <v>74</v>
      </c>
      <c r="AZ551" t="s">
        <v>259</v>
      </c>
      <c r="BA551" t="s">
        <v>74</v>
      </c>
      <c r="BB551">
        <v>1101</v>
      </c>
      <c r="BC551">
        <v>1119</v>
      </c>
      <c r="BD551" t="s">
        <v>74</v>
      </c>
      <c r="BE551" t="s">
        <v>7671</v>
      </c>
      <c r="BF551" t="str">
        <f>HYPERLINK("http://dx.doi.org/10.1177/0022243720940693","http://dx.doi.org/10.1177/0022243720940693")</f>
        <v>http://dx.doi.org/10.1177/0022243720940693</v>
      </c>
      <c r="BG551" t="s">
        <v>74</v>
      </c>
      <c r="BH551" t="s">
        <v>74</v>
      </c>
      <c r="BI551">
        <v>19</v>
      </c>
      <c r="BJ551" t="s">
        <v>153</v>
      </c>
      <c r="BK551" t="s">
        <v>101</v>
      </c>
      <c r="BL551" t="s">
        <v>154</v>
      </c>
      <c r="BM551" t="s">
        <v>4564</v>
      </c>
      <c r="BN551" t="s">
        <v>74</v>
      </c>
      <c r="BO551" t="s">
        <v>74</v>
      </c>
      <c r="BP551" t="s">
        <v>74</v>
      </c>
      <c r="BQ551" t="s">
        <v>74</v>
      </c>
      <c r="BR551" t="s">
        <v>6098</v>
      </c>
      <c r="BS551" t="s">
        <v>7672</v>
      </c>
      <c r="BT551" t="str">
        <f>HYPERLINK("https%3A%2F%2Fwww.webofscience.com%2Fwos%2Fwoscc%2Ffull-record%2FWOS:000718909600005","View Full Record in Web of Science")</f>
        <v>View Full Record in Web of Science</v>
      </c>
      <c r="BU551" t="s">
        <v>6100</v>
      </c>
      <c r="BV551" s="1" t="s">
        <v>6080</v>
      </c>
      <c r="BW551" s="1" t="s">
        <v>6080</v>
      </c>
    </row>
    <row r="552" spans="1:75" x14ac:dyDescent="0.35">
      <c r="A552" t="s">
        <v>72</v>
      </c>
      <c r="B552" t="s">
        <v>8019</v>
      </c>
      <c r="C552" t="s">
        <v>74</v>
      </c>
      <c r="D552" t="s">
        <v>74</v>
      </c>
      <c r="E552" t="s">
        <v>74</v>
      </c>
      <c r="F552" t="s">
        <v>8020</v>
      </c>
      <c r="G552" t="s">
        <v>74</v>
      </c>
      <c r="H552" t="s">
        <v>74</v>
      </c>
      <c r="I552" t="s">
        <v>8021</v>
      </c>
      <c r="J552" t="s">
        <v>8022</v>
      </c>
      <c r="K552" t="s">
        <v>74</v>
      </c>
      <c r="L552" t="s">
        <v>74</v>
      </c>
      <c r="M552" t="s">
        <v>78</v>
      </c>
      <c r="N552" t="s">
        <v>79</v>
      </c>
      <c r="O552" t="s">
        <v>74</v>
      </c>
      <c r="P552" t="s">
        <v>74</v>
      </c>
      <c r="Q552" t="s">
        <v>74</v>
      </c>
      <c r="R552" t="s">
        <v>74</v>
      </c>
      <c r="S552" t="s">
        <v>74</v>
      </c>
      <c r="T552" t="s">
        <v>8023</v>
      </c>
      <c r="U552" t="s">
        <v>74</v>
      </c>
      <c r="V552" t="s">
        <v>8024</v>
      </c>
      <c r="W552" t="s">
        <v>8025</v>
      </c>
      <c r="X552" t="s">
        <v>8026</v>
      </c>
      <c r="Y552" t="s">
        <v>8027</v>
      </c>
      <c r="Z552" t="s">
        <v>8028</v>
      </c>
      <c r="AA552" t="s">
        <v>8029</v>
      </c>
      <c r="AB552" t="s">
        <v>8030</v>
      </c>
      <c r="AC552" t="s">
        <v>8031</v>
      </c>
      <c r="AD552" t="s">
        <v>8032</v>
      </c>
      <c r="AE552" t="s">
        <v>8033</v>
      </c>
      <c r="AF552" t="s">
        <v>74</v>
      </c>
      <c r="AG552">
        <v>78</v>
      </c>
      <c r="AH552">
        <v>18</v>
      </c>
      <c r="AI552">
        <v>18</v>
      </c>
      <c r="AJ552">
        <v>21</v>
      </c>
      <c r="AK552">
        <v>93</v>
      </c>
      <c r="AL552" t="s">
        <v>1982</v>
      </c>
      <c r="AM552" t="s">
        <v>1983</v>
      </c>
      <c r="AN552" t="s">
        <v>2573</v>
      </c>
      <c r="AO552" t="s">
        <v>8034</v>
      </c>
      <c r="AP552" t="s">
        <v>8035</v>
      </c>
      <c r="AQ552" t="s">
        <v>74</v>
      </c>
      <c r="AR552" t="s">
        <v>8036</v>
      </c>
      <c r="AS552" t="s">
        <v>8037</v>
      </c>
      <c r="AT552" t="s">
        <v>8038</v>
      </c>
      <c r="AU552">
        <v>2021</v>
      </c>
      <c r="AV552">
        <v>33</v>
      </c>
      <c r="AW552">
        <v>2</v>
      </c>
      <c r="AX552" t="s">
        <v>74</v>
      </c>
      <c r="AY552" t="s">
        <v>74</v>
      </c>
      <c r="AZ552" t="s">
        <v>74</v>
      </c>
      <c r="BA552" t="s">
        <v>74</v>
      </c>
      <c r="BB552">
        <v>373</v>
      </c>
      <c r="BC552">
        <v>395</v>
      </c>
      <c r="BD552" t="s">
        <v>74</v>
      </c>
      <c r="BE552" t="s">
        <v>8039</v>
      </c>
      <c r="BF552" t="str">
        <f>HYPERLINK("http://dx.doi.org/10.1108/APJML-08-2019-0477","http://dx.doi.org/10.1108/APJML-08-2019-0477")</f>
        <v>http://dx.doi.org/10.1108/APJML-08-2019-0477</v>
      </c>
      <c r="BG552" t="s">
        <v>74</v>
      </c>
      <c r="BH552" t="s">
        <v>5003</v>
      </c>
      <c r="BI552">
        <v>23</v>
      </c>
      <c r="BJ552" t="s">
        <v>153</v>
      </c>
      <c r="BK552" t="s">
        <v>101</v>
      </c>
      <c r="BL552" t="s">
        <v>154</v>
      </c>
      <c r="BM552" t="s">
        <v>8040</v>
      </c>
      <c r="BN552" t="s">
        <v>74</v>
      </c>
      <c r="BO552" t="s">
        <v>74</v>
      </c>
      <c r="BP552" t="s">
        <v>74</v>
      </c>
      <c r="BQ552" t="s">
        <v>74</v>
      </c>
      <c r="BR552" t="s">
        <v>6098</v>
      </c>
      <c r="BS552" t="s">
        <v>8041</v>
      </c>
      <c r="BT552" t="str">
        <f>HYPERLINK("https%3A%2F%2Fwww.webofscience.com%2Fwos%2Fwoscc%2Ffull-record%2FWOS:000529386100001","View Full Record in Web of Science")</f>
        <v>View Full Record in Web of Science</v>
      </c>
      <c r="BU552" t="s">
        <v>6100</v>
      </c>
      <c r="BV552" s="1" t="s">
        <v>6080</v>
      </c>
      <c r="BW552" s="1" t="s">
        <v>6080</v>
      </c>
    </row>
    <row r="553" spans="1:75" x14ac:dyDescent="0.35">
      <c r="A553" t="s">
        <v>72</v>
      </c>
      <c r="B553" t="s">
        <v>8503</v>
      </c>
      <c r="C553" t="s">
        <v>74</v>
      </c>
      <c r="D553" t="s">
        <v>74</v>
      </c>
      <c r="E553" t="s">
        <v>74</v>
      </c>
      <c r="F553" t="s">
        <v>8504</v>
      </c>
      <c r="G553" t="s">
        <v>74</v>
      </c>
      <c r="H553" t="s">
        <v>74</v>
      </c>
      <c r="I553" t="s">
        <v>8505</v>
      </c>
      <c r="J553" t="s">
        <v>198</v>
      </c>
      <c r="K553" t="s">
        <v>74</v>
      </c>
      <c r="L553" t="s">
        <v>74</v>
      </c>
      <c r="M553" t="s">
        <v>78</v>
      </c>
      <c r="N553" t="s">
        <v>110</v>
      </c>
      <c r="O553" t="s">
        <v>74</v>
      </c>
      <c r="P553" t="s">
        <v>74</v>
      </c>
      <c r="Q553" t="s">
        <v>74</v>
      </c>
      <c r="R553" t="s">
        <v>74</v>
      </c>
      <c r="S553" t="s">
        <v>74</v>
      </c>
      <c r="T553" t="s">
        <v>8506</v>
      </c>
      <c r="U553" t="s">
        <v>8507</v>
      </c>
      <c r="V553" t="s">
        <v>8508</v>
      </c>
      <c r="W553" t="s">
        <v>8509</v>
      </c>
      <c r="X553" t="s">
        <v>8510</v>
      </c>
      <c r="Y553" t="s">
        <v>8511</v>
      </c>
      <c r="Z553" t="s">
        <v>8512</v>
      </c>
      <c r="AA553" t="s">
        <v>8513</v>
      </c>
      <c r="AB553" t="s">
        <v>8514</v>
      </c>
      <c r="AC553" t="s">
        <v>74</v>
      </c>
      <c r="AD553" t="s">
        <v>74</v>
      </c>
      <c r="AE553" t="s">
        <v>74</v>
      </c>
      <c r="AF553" t="s">
        <v>74</v>
      </c>
      <c r="AG553">
        <v>212</v>
      </c>
      <c r="AH553">
        <v>39</v>
      </c>
      <c r="AI553">
        <v>39</v>
      </c>
      <c r="AJ553">
        <v>96</v>
      </c>
      <c r="AK553">
        <v>236</v>
      </c>
      <c r="AL553" t="s">
        <v>206</v>
      </c>
      <c r="AM553" t="s">
        <v>207</v>
      </c>
      <c r="AN553" t="s">
        <v>208</v>
      </c>
      <c r="AO553" t="s">
        <v>209</v>
      </c>
      <c r="AP553" t="s">
        <v>210</v>
      </c>
      <c r="AQ553" t="s">
        <v>74</v>
      </c>
      <c r="AR553" t="s">
        <v>211</v>
      </c>
      <c r="AS553" t="s">
        <v>212</v>
      </c>
      <c r="AT553" t="s">
        <v>294</v>
      </c>
      <c r="AU553">
        <v>2022</v>
      </c>
      <c r="AV553">
        <v>39</v>
      </c>
      <c r="AW553">
        <v>4</v>
      </c>
      <c r="AX553" t="s">
        <v>74</v>
      </c>
      <c r="AY553" t="s">
        <v>74</v>
      </c>
      <c r="AZ553" t="s">
        <v>74</v>
      </c>
      <c r="BA553" t="s">
        <v>74</v>
      </c>
      <c r="BB553">
        <v>755</v>
      </c>
      <c r="BC553">
        <v>776</v>
      </c>
      <c r="BD553" t="s">
        <v>74</v>
      </c>
      <c r="BE553" t="s">
        <v>8515</v>
      </c>
      <c r="BF553" t="str">
        <f>HYPERLINK("http://dx.doi.org/10.1002/mar.21619","http://dx.doi.org/10.1002/mar.21619")</f>
        <v>http://dx.doi.org/10.1002/mar.21619</v>
      </c>
      <c r="BG553" t="s">
        <v>74</v>
      </c>
      <c r="BH553" t="s">
        <v>4552</v>
      </c>
      <c r="BI553">
        <v>22</v>
      </c>
      <c r="BJ553" t="s">
        <v>215</v>
      </c>
      <c r="BK553" t="s">
        <v>101</v>
      </c>
      <c r="BL553" t="s">
        <v>216</v>
      </c>
      <c r="BM553" t="s">
        <v>8516</v>
      </c>
      <c r="BN553" t="s">
        <v>74</v>
      </c>
      <c r="BO553" t="s">
        <v>828</v>
      </c>
      <c r="BP553" t="s">
        <v>74</v>
      </c>
      <c r="BQ553" t="s">
        <v>74</v>
      </c>
      <c r="BR553" t="s">
        <v>6098</v>
      </c>
      <c r="BS553" t="s">
        <v>8517</v>
      </c>
      <c r="BT553" t="str">
        <f>HYPERLINK("https%3A%2F%2Fwww.webofscience.com%2Fwos%2Fwoscc%2Ffull-record%2FWOS:000728451400001","View Full Record in Web of Science")</f>
        <v>View Full Record in Web of Science</v>
      </c>
      <c r="BU553" t="s">
        <v>6100</v>
      </c>
      <c r="BV553" s="1" t="s">
        <v>6080</v>
      </c>
      <c r="BW553" s="1" t="s">
        <v>10653</v>
      </c>
    </row>
    <row r="554" spans="1:75" x14ac:dyDescent="0.35">
      <c r="A554" t="s">
        <v>72</v>
      </c>
      <c r="B554" t="s">
        <v>8518</v>
      </c>
      <c r="C554" t="s">
        <v>74</v>
      </c>
      <c r="D554" t="s">
        <v>74</v>
      </c>
      <c r="E554" t="s">
        <v>74</v>
      </c>
      <c r="F554" t="s">
        <v>8519</v>
      </c>
      <c r="G554" t="s">
        <v>74</v>
      </c>
      <c r="H554" t="s">
        <v>74</v>
      </c>
      <c r="I554" t="s">
        <v>8520</v>
      </c>
      <c r="J554" t="s">
        <v>7427</v>
      </c>
      <c r="K554" t="s">
        <v>74</v>
      </c>
      <c r="L554" t="s">
        <v>74</v>
      </c>
      <c r="M554" t="s">
        <v>78</v>
      </c>
      <c r="N554" t="s">
        <v>79</v>
      </c>
      <c r="O554" t="s">
        <v>74</v>
      </c>
      <c r="P554" t="s">
        <v>74</v>
      </c>
      <c r="Q554" t="s">
        <v>74</v>
      </c>
      <c r="R554" t="s">
        <v>74</v>
      </c>
      <c r="S554" t="s">
        <v>74</v>
      </c>
      <c r="T554" t="s">
        <v>8521</v>
      </c>
      <c r="U554" t="s">
        <v>8522</v>
      </c>
      <c r="V554" t="s">
        <v>8523</v>
      </c>
      <c r="W554" t="s">
        <v>8524</v>
      </c>
      <c r="X554" t="s">
        <v>8525</v>
      </c>
      <c r="Y554" t="s">
        <v>8526</v>
      </c>
      <c r="Z554" t="s">
        <v>8527</v>
      </c>
      <c r="AA554" t="s">
        <v>74</v>
      </c>
      <c r="AB554" t="s">
        <v>74</v>
      </c>
      <c r="AC554" t="s">
        <v>74</v>
      </c>
      <c r="AD554" t="s">
        <v>74</v>
      </c>
      <c r="AE554" t="s">
        <v>74</v>
      </c>
      <c r="AF554" t="s">
        <v>74</v>
      </c>
      <c r="AG554">
        <v>86</v>
      </c>
      <c r="AH554">
        <v>28</v>
      </c>
      <c r="AI554">
        <v>28</v>
      </c>
      <c r="AJ554">
        <v>5</v>
      </c>
      <c r="AK554">
        <v>39</v>
      </c>
      <c r="AL554" t="s">
        <v>1982</v>
      </c>
      <c r="AM554" t="s">
        <v>1983</v>
      </c>
      <c r="AN554" t="s">
        <v>2573</v>
      </c>
      <c r="AO554" t="s">
        <v>7437</v>
      </c>
      <c r="AP554" t="s">
        <v>74</v>
      </c>
      <c r="AQ554" t="s">
        <v>74</v>
      </c>
      <c r="AR554" t="s">
        <v>7438</v>
      </c>
      <c r="AS554" t="s">
        <v>7439</v>
      </c>
      <c r="AT554" t="s">
        <v>8528</v>
      </c>
      <c r="AU554">
        <v>2019</v>
      </c>
      <c r="AV554">
        <v>33</v>
      </c>
      <c r="AW554">
        <v>6</v>
      </c>
      <c r="AX554" t="s">
        <v>74</v>
      </c>
      <c r="AY554" t="s">
        <v>74</v>
      </c>
      <c r="AZ554" t="s">
        <v>259</v>
      </c>
      <c r="BA554" t="s">
        <v>74</v>
      </c>
      <c r="BB554">
        <v>671</v>
      </c>
      <c r="BC554">
        <v>686</v>
      </c>
      <c r="BD554" t="s">
        <v>74</v>
      </c>
      <c r="BE554" t="s">
        <v>8529</v>
      </c>
      <c r="BF554" t="str">
        <f>HYPERLINK("http://dx.doi.org/10.1108/JSM-10-2018-0280","http://dx.doi.org/10.1108/JSM-10-2018-0280")</f>
        <v>http://dx.doi.org/10.1108/JSM-10-2018-0280</v>
      </c>
      <c r="BG554" t="s">
        <v>74</v>
      </c>
      <c r="BH554" t="s">
        <v>74</v>
      </c>
      <c r="BI554">
        <v>16</v>
      </c>
      <c r="BJ554" t="s">
        <v>153</v>
      </c>
      <c r="BK554" t="s">
        <v>101</v>
      </c>
      <c r="BL554" t="s">
        <v>154</v>
      </c>
      <c r="BM554" t="s">
        <v>8530</v>
      </c>
      <c r="BN554" t="s">
        <v>74</v>
      </c>
      <c r="BO554" t="s">
        <v>74</v>
      </c>
      <c r="BP554" t="s">
        <v>74</v>
      </c>
      <c r="BQ554" t="s">
        <v>74</v>
      </c>
      <c r="BR554" t="s">
        <v>6098</v>
      </c>
      <c r="BS554" t="s">
        <v>8531</v>
      </c>
      <c r="BT554" t="str">
        <f>HYPERLINK("https%3A%2F%2Fwww.webofscience.com%2Fwos%2Fwoscc%2Ffull-record%2FWOS:000497776700006","View Full Record in Web of Science")</f>
        <v>View Full Record in Web of Science</v>
      </c>
      <c r="BU554" t="s">
        <v>6100</v>
      </c>
      <c r="BV554" s="1" t="s">
        <v>6080</v>
      </c>
      <c r="BW554" s="1" t="s">
        <v>10653</v>
      </c>
    </row>
    <row r="555" spans="1:75" x14ac:dyDescent="0.35">
      <c r="A555" t="s">
        <v>72</v>
      </c>
      <c r="B555" t="s">
        <v>8057</v>
      </c>
      <c r="C555" t="s">
        <v>74</v>
      </c>
      <c r="D555" t="s">
        <v>74</v>
      </c>
      <c r="E555" t="s">
        <v>74</v>
      </c>
      <c r="F555" t="s">
        <v>8058</v>
      </c>
      <c r="G555" t="s">
        <v>74</v>
      </c>
      <c r="H555" t="s">
        <v>74</v>
      </c>
      <c r="I555" t="s">
        <v>8059</v>
      </c>
      <c r="J555" t="s">
        <v>6312</v>
      </c>
      <c r="K555" t="s">
        <v>74</v>
      </c>
      <c r="L555" t="s">
        <v>74</v>
      </c>
      <c r="M555" t="s">
        <v>78</v>
      </c>
      <c r="N555" t="s">
        <v>79</v>
      </c>
      <c r="O555" t="s">
        <v>74</v>
      </c>
      <c r="P555" t="s">
        <v>74</v>
      </c>
      <c r="Q555" t="s">
        <v>74</v>
      </c>
      <c r="R555" t="s">
        <v>74</v>
      </c>
      <c r="S555" t="s">
        <v>74</v>
      </c>
      <c r="T555" t="s">
        <v>8060</v>
      </c>
      <c r="U555" t="s">
        <v>8061</v>
      </c>
      <c r="V555" t="s">
        <v>8062</v>
      </c>
      <c r="W555" t="s">
        <v>8063</v>
      </c>
      <c r="X555" t="s">
        <v>8064</v>
      </c>
      <c r="Y555" t="s">
        <v>8065</v>
      </c>
      <c r="Z555" t="s">
        <v>8066</v>
      </c>
      <c r="AA555" t="s">
        <v>74</v>
      </c>
      <c r="AB555" t="s">
        <v>74</v>
      </c>
      <c r="AC555" t="s">
        <v>8067</v>
      </c>
      <c r="AD555" t="s">
        <v>8068</v>
      </c>
      <c r="AE555" t="s">
        <v>8069</v>
      </c>
      <c r="AF555" t="s">
        <v>74</v>
      </c>
      <c r="AG555">
        <v>81</v>
      </c>
      <c r="AH555">
        <v>0</v>
      </c>
      <c r="AI555">
        <v>0</v>
      </c>
      <c r="AJ555">
        <v>7</v>
      </c>
      <c r="AK555">
        <v>21</v>
      </c>
      <c r="AL555" t="s">
        <v>1982</v>
      </c>
      <c r="AM555" t="s">
        <v>1983</v>
      </c>
      <c r="AN555" t="s">
        <v>2573</v>
      </c>
      <c r="AO555" t="s">
        <v>6321</v>
      </c>
      <c r="AP555" t="s">
        <v>74</v>
      </c>
      <c r="AQ555" t="s">
        <v>74</v>
      </c>
      <c r="AR555" t="s">
        <v>6322</v>
      </c>
      <c r="AS555" t="s">
        <v>6323</v>
      </c>
      <c r="AT555" t="s">
        <v>8070</v>
      </c>
      <c r="AU555">
        <v>2021</v>
      </c>
      <c r="AV555">
        <v>31</v>
      </c>
      <c r="AW555">
        <v>6</v>
      </c>
      <c r="AX555" t="s">
        <v>74</v>
      </c>
      <c r="AY555" t="s">
        <v>74</v>
      </c>
      <c r="AZ555" t="s">
        <v>74</v>
      </c>
      <c r="BA555" t="s">
        <v>74</v>
      </c>
      <c r="BB555">
        <v>950</v>
      </c>
      <c r="BC555">
        <v>973</v>
      </c>
      <c r="BD555" t="s">
        <v>74</v>
      </c>
      <c r="BE555" t="s">
        <v>8071</v>
      </c>
      <c r="BF555" t="str">
        <f>HYPERLINK("http://dx.doi.org/10.1108/JSTP-12-2020-0290","http://dx.doi.org/10.1108/JSTP-12-2020-0290")</f>
        <v>http://dx.doi.org/10.1108/JSTP-12-2020-0290</v>
      </c>
      <c r="BG555" t="s">
        <v>74</v>
      </c>
      <c r="BH555" t="s">
        <v>7900</v>
      </c>
      <c r="BI555">
        <v>24</v>
      </c>
      <c r="BJ555" t="s">
        <v>877</v>
      </c>
      <c r="BK555" t="s">
        <v>101</v>
      </c>
      <c r="BL555" t="s">
        <v>154</v>
      </c>
      <c r="BM555" t="s">
        <v>8072</v>
      </c>
      <c r="BN555" t="s">
        <v>74</v>
      </c>
      <c r="BO555" t="s">
        <v>74</v>
      </c>
      <c r="BP555" t="s">
        <v>74</v>
      </c>
      <c r="BQ555" t="s">
        <v>74</v>
      </c>
      <c r="BR555" t="s">
        <v>6098</v>
      </c>
      <c r="BS555" t="s">
        <v>8073</v>
      </c>
      <c r="BT555" t="str">
        <f>HYPERLINK("https%3A%2F%2Fwww.webofscience.com%2Fwos%2Fwoscc%2Ffull-record%2FWOS:000697381300001","View Full Record in Web of Science")</f>
        <v>View Full Record in Web of Science</v>
      </c>
      <c r="BU555" t="s">
        <v>6100</v>
      </c>
      <c r="BV555" s="1" t="s">
        <v>10653</v>
      </c>
    </row>
    <row r="556" spans="1:75" x14ac:dyDescent="0.35">
      <c r="A556" t="s">
        <v>72</v>
      </c>
      <c r="B556" t="s">
        <v>8117</v>
      </c>
      <c r="C556" t="s">
        <v>74</v>
      </c>
      <c r="D556" t="s">
        <v>74</v>
      </c>
      <c r="E556" t="s">
        <v>74</v>
      </c>
      <c r="F556" t="s">
        <v>8118</v>
      </c>
      <c r="G556" t="s">
        <v>74</v>
      </c>
      <c r="H556" t="s">
        <v>74</v>
      </c>
      <c r="I556" t="s">
        <v>8119</v>
      </c>
      <c r="J556" t="s">
        <v>3737</v>
      </c>
      <c r="K556" t="s">
        <v>74</v>
      </c>
      <c r="L556" t="s">
        <v>74</v>
      </c>
      <c r="M556" t="s">
        <v>78</v>
      </c>
      <c r="N556" t="s">
        <v>110</v>
      </c>
      <c r="O556" t="s">
        <v>74</v>
      </c>
      <c r="P556" t="s">
        <v>74</v>
      </c>
      <c r="Q556" t="s">
        <v>74</v>
      </c>
      <c r="R556" t="s">
        <v>74</v>
      </c>
      <c r="S556" t="s">
        <v>74</v>
      </c>
      <c r="T556" t="s">
        <v>8120</v>
      </c>
      <c r="U556" t="s">
        <v>8121</v>
      </c>
      <c r="V556" t="s">
        <v>8122</v>
      </c>
      <c r="W556" t="s">
        <v>8123</v>
      </c>
      <c r="X556" t="s">
        <v>8124</v>
      </c>
      <c r="Y556" t="s">
        <v>8125</v>
      </c>
      <c r="Z556" t="s">
        <v>8126</v>
      </c>
      <c r="AA556" t="s">
        <v>8127</v>
      </c>
      <c r="AB556" t="s">
        <v>8128</v>
      </c>
      <c r="AC556" t="s">
        <v>8129</v>
      </c>
      <c r="AD556" t="s">
        <v>8130</v>
      </c>
      <c r="AE556" t="s">
        <v>8131</v>
      </c>
      <c r="AF556" t="s">
        <v>74</v>
      </c>
      <c r="AG556">
        <v>77</v>
      </c>
      <c r="AH556">
        <v>11</v>
      </c>
      <c r="AI556">
        <v>11</v>
      </c>
      <c r="AJ556">
        <v>20</v>
      </c>
      <c r="AK556">
        <v>54</v>
      </c>
      <c r="AL556" t="s">
        <v>324</v>
      </c>
      <c r="AM556" t="s">
        <v>325</v>
      </c>
      <c r="AN556" t="s">
        <v>2004</v>
      </c>
      <c r="AO556" t="s">
        <v>3743</v>
      </c>
      <c r="AP556" t="s">
        <v>3831</v>
      </c>
      <c r="AQ556" t="s">
        <v>74</v>
      </c>
      <c r="AR556" t="s">
        <v>3744</v>
      </c>
      <c r="AS556" t="s">
        <v>3745</v>
      </c>
      <c r="AT556" t="s">
        <v>704</v>
      </c>
      <c r="AU556">
        <v>2021</v>
      </c>
      <c r="AV556">
        <v>129</v>
      </c>
      <c r="AW556" t="s">
        <v>74</v>
      </c>
      <c r="AX556" t="s">
        <v>74</v>
      </c>
      <c r="AY556" t="s">
        <v>74</v>
      </c>
      <c r="AZ556" t="s">
        <v>74</v>
      </c>
      <c r="BA556" t="s">
        <v>74</v>
      </c>
      <c r="BB556">
        <v>860</v>
      </c>
      <c r="BC556">
        <v>877</v>
      </c>
      <c r="BD556" t="s">
        <v>74</v>
      </c>
      <c r="BE556" t="s">
        <v>8132</v>
      </c>
      <c r="BF556" t="str">
        <f>HYPERLINK("http://dx.doi.org/10.1016/j.jbusres.2020.11.007","http://dx.doi.org/10.1016/j.jbusres.2020.11.007")</f>
        <v>http://dx.doi.org/10.1016/j.jbusres.2020.11.007</v>
      </c>
      <c r="BG556" t="s">
        <v>74</v>
      </c>
      <c r="BH556" t="s">
        <v>4777</v>
      </c>
      <c r="BI556">
        <v>18</v>
      </c>
      <c r="BJ556" t="s">
        <v>153</v>
      </c>
      <c r="BK556" t="s">
        <v>101</v>
      </c>
      <c r="BL556" t="s">
        <v>154</v>
      </c>
      <c r="BM556" t="s">
        <v>8133</v>
      </c>
      <c r="BN556" t="s">
        <v>74</v>
      </c>
      <c r="BO556" t="s">
        <v>74</v>
      </c>
      <c r="BP556" t="s">
        <v>74</v>
      </c>
      <c r="BQ556" t="s">
        <v>74</v>
      </c>
      <c r="BR556" t="s">
        <v>6098</v>
      </c>
      <c r="BS556" t="s">
        <v>8134</v>
      </c>
      <c r="BT556" t="str">
        <f>HYPERLINK("https%3A%2F%2Fwww.webofscience.com%2Fwos%2Fwoscc%2Ffull-record%2FWOS:000639120000074","View Full Record in Web of Science")</f>
        <v>View Full Record in Web of Science</v>
      </c>
      <c r="BU556" t="s">
        <v>6100</v>
      </c>
      <c r="BV556" s="1" t="s">
        <v>10653</v>
      </c>
    </row>
    <row r="557" spans="1:75" x14ac:dyDescent="0.35">
      <c r="A557" t="s">
        <v>72</v>
      </c>
      <c r="B557" t="s">
        <v>8193</v>
      </c>
      <c r="C557" t="s">
        <v>74</v>
      </c>
      <c r="D557" t="s">
        <v>74</v>
      </c>
      <c r="E557" t="s">
        <v>74</v>
      </c>
      <c r="F557" t="s">
        <v>5886</v>
      </c>
      <c r="G557" t="s">
        <v>74</v>
      </c>
      <c r="H557" t="s">
        <v>74</v>
      </c>
      <c r="I557" t="s">
        <v>5913</v>
      </c>
      <c r="J557" t="s">
        <v>3737</v>
      </c>
      <c r="K557" t="s">
        <v>74</v>
      </c>
      <c r="L557" t="s">
        <v>74</v>
      </c>
      <c r="M557" t="s">
        <v>78</v>
      </c>
      <c r="N557" t="s">
        <v>110</v>
      </c>
      <c r="O557" t="s">
        <v>74</v>
      </c>
      <c r="P557" t="s">
        <v>74</v>
      </c>
      <c r="Q557" t="s">
        <v>74</v>
      </c>
      <c r="R557" t="s">
        <v>74</v>
      </c>
      <c r="S557" t="s">
        <v>74</v>
      </c>
      <c r="T557" t="s">
        <v>8194</v>
      </c>
      <c r="U557" t="s">
        <v>8195</v>
      </c>
      <c r="V557" t="s">
        <v>6009</v>
      </c>
      <c r="W557" t="s">
        <v>8196</v>
      </c>
      <c r="X557" t="s">
        <v>8197</v>
      </c>
      <c r="Y557" t="s">
        <v>8198</v>
      </c>
      <c r="Z557" t="s">
        <v>8199</v>
      </c>
      <c r="AA557" t="s">
        <v>8200</v>
      </c>
      <c r="AB557" t="s">
        <v>8201</v>
      </c>
      <c r="AC557" t="s">
        <v>74</v>
      </c>
      <c r="AD557" t="s">
        <v>74</v>
      </c>
      <c r="AE557" t="s">
        <v>74</v>
      </c>
      <c r="AF557" t="s">
        <v>74</v>
      </c>
      <c r="AG557">
        <v>56</v>
      </c>
      <c r="AH557">
        <v>6</v>
      </c>
      <c r="AI557">
        <v>6</v>
      </c>
      <c r="AJ557">
        <v>7</v>
      </c>
      <c r="AK557">
        <v>61</v>
      </c>
      <c r="AL557" t="s">
        <v>324</v>
      </c>
      <c r="AM557" t="s">
        <v>325</v>
      </c>
      <c r="AN557" t="s">
        <v>2004</v>
      </c>
      <c r="AO557" t="s">
        <v>3743</v>
      </c>
      <c r="AP557" t="s">
        <v>3831</v>
      </c>
      <c r="AQ557" t="s">
        <v>74</v>
      </c>
      <c r="AR557" t="s">
        <v>3744</v>
      </c>
      <c r="AS557" t="s">
        <v>3745</v>
      </c>
      <c r="AT557" t="s">
        <v>363</v>
      </c>
      <c r="AU557">
        <v>2021</v>
      </c>
      <c r="AV557">
        <v>126</v>
      </c>
      <c r="AW557" t="s">
        <v>74</v>
      </c>
      <c r="AX557" t="s">
        <v>74</v>
      </c>
      <c r="AY557" t="s">
        <v>74</v>
      </c>
      <c r="AZ557" t="s">
        <v>74</v>
      </c>
      <c r="BA557" t="s">
        <v>74</v>
      </c>
      <c r="BB557">
        <v>1</v>
      </c>
      <c r="BC557">
        <v>11</v>
      </c>
      <c r="BD557" t="s">
        <v>74</v>
      </c>
      <c r="BE557" t="s">
        <v>8202</v>
      </c>
      <c r="BF557" t="str">
        <f>HYPERLINK("http://dx.doi.org/10.1016/j.jbusres.2020.12.052","http://dx.doi.org/10.1016/j.jbusres.2020.12.052")</f>
        <v>http://dx.doi.org/10.1016/j.jbusres.2020.12.052</v>
      </c>
      <c r="BG557" t="s">
        <v>74</v>
      </c>
      <c r="BH557" t="s">
        <v>74</v>
      </c>
      <c r="BI557">
        <v>11</v>
      </c>
      <c r="BJ557" t="s">
        <v>153</v>
      </c>
      <c r="BK557" t="s">
        <v>101</v>
      </c>
      <c r="BL557" t="s">
        <v>154</v>
      </c>
      <c r="BM557" t="s">
        <v>8203</v>
      </c>
      <c r="BN557" t="s">
        <v>74</v>
      </c>
      <c r="BO557" t="s">
        <v>74</v>
      </c>
      <c r="BP557" t="s">
        <v>74</v>
      </c>
      <c r="BQ557" t="s">
        <v>74</v>
      </c>
      <c r="BR557" t="s">
        <v>6098</v>
      </c>
      <c r="BS557" t="s">
        <v>8204</v>
      </c>
      <c r="BT557" t="str">
        <f>HYPERLINK("https%3A%2F%2Fwww.webofscience.com%2Fwos%2Fwoscc%2Ffull-record%2FWOS:000620055100001","View Full Record in Web of Science")</f>
        <v>View Full Record in Web of Science</v>
      </c>
      <c r="BU557" t="s">
        <v>6100</v>
      </c>
      <c r="BV557" s="1" t="s">
        <v>10653</v>
      </c>
    </row>
    <row r="558" spans="1:75" x14ac:dyDescent="0.35">
      <c r="A558" t="s">
        <v>72</v>
      </c>
      <c r="B558" t="s">
        <v>8205</v>
      </c>
      <c r="C558" t="s">
        <v>74</v>
      </c>
      <c r="D558" t="s">
        <v>74</v>
      </c>
      <c r="E558" t="s">
        <v>74</v>
      </c>
      <c r="F558" t="s">
        <v>5888</v>
      </c>
      <c r="G558" t="s">
        <v>74</v>
      </c>
      <c r="H558" t="s">
        <v>74</v>
      </c>
      <c r="I558" t="s">
        <v>5920</v>
      </c>
      <c r="J558" t="s">
        <v>6350</v>
      </c>
      <c r="K558" t="s">
        <v>74</v>
      </c>
      <c r="L558" t="s">
        <v>74</v>
      </c>
      <c r="M558" t="s">
        <v>78</v>
      </c>
      <c r="N558" t="s">
        <v>79</v>
      </c>
      <c r="O558" t="s">
        <v>74</v>
      </c>
      <c r="P558" t="s">
        <v>74</v>
      </c>
      <c r="Q558" t="s">
        <v>74</v>
      </c>
      <c r="R558" t="s">
        <v>74</v>
      </c>
      <c r="S558" t="s">
        <v>74</v>
      </c>
      <c r="T558" t="s">
        <v>8206</v>
      </c>
      <c r="U558" t="s">
        <v>8207</v>
      </c>
      <c r="V558" t="s">
        <v>8208</v>
      </c>
      <c r="W558" t="s">
        <v>8209</v>
      </c>
      <c r="X558" t="s">
        <v>8210</v>
      </c>
      <c r="Y558" t="s">
        <v>8211</v>
      </c>
      <c r="Z558" t="s">
        <v>8212</v>
      </c>
      <c r="AA558" t="s">
        <v>74</v>
      </c>
      <c r="AB558" t="s">
        <v>8213</v>
      </c>
      <c r="AC558" t="s">
        <v>74</v>
      </c>
      <c r="AD558" t="s">
        <v>74</v>
      </c>
      <c r="AE558" t="s">
        <v>74</v>
      </c>
      <c r="AF558" t="s">
        <v>74</v>
      </c>
      <c r="AG558">
        <v>35</v>
      </c>
      <c r="AH558">
        <v>3</v>
      </c>
      <c r="AI558">
        <v>3</v>
      </c>
      <c r="AJ558">
        <v>13</v>
      </c>
      <c r="AK558">
        <v>29</v>
      </c>
      <c r="AL558" t="s">
        <v>6358</v>
      </c>
      <c r="AM558" t="s">
        <v>6359</v>
      </c>
      <c r="AN558" t="s">
        <v>6360</v>
      </c>
      <c r="AO558" t="s">
        <v>6361</v>
      </c>
      <c r="AP558" t="s">
        <v>6362</v>
      </c>
      <c r="AQ558" t="s">
        <v>74</v>
      </c>
      <c r="AR558" t="s">
        <v>6363</v>
      </c>
      <c r="AS558" t="s">
        <v>6364</v>
      </c>
      <c r="AT558" t="s">
        <v>363</v>
      </c>
      <c r="AU558">
        <v>2021</v>
      </c>
      <c r="AV558">
        <v>9</v>
      </c>
      <c r="AW558">
        <v>1</v>
      </c>
      <c r="AX558" t="s">
        <v>74</v>
      </c>
      <c r="AY558" t="s">
        <v>74</v>
      </c>
      <c r="AZ558" t="s">
        <v>74</v>
      </c>
      <c r="BA558" t="s">
        <v>74</v>
      </c>
      <c r="BB558">
        <v>56</v>
      </c>
      <c r="BC558">
        <v>64</v>
      </c>
      <c r="BD558" t="s">
        <v>74</v>
      </c>
      <c r="BE558" t="s">
        <v>8214</v>
      </c>
      <c r="BF558" t="str">
        <f>HYPERLINK("http://dx.doi.org/10.1057/s41270-020-00097-1","http://dx.doi.org/10.1057/s41270-020-00097-1")</f>
        <v>http://dx.doi.org/10.1057/s41270-020-00097-1</v>
      </c>
      <c r="BG558" t="s">
        <v>74</v>
      </c>
      <c r="BH558" t="s">
        <v>6842</v>
      </c>
      <c r="BI558">
        <v>9</v>
      </c>
      <c r="BJ558" t="s">
        <v>153</v>
      </c>
      <c r="BK558" t="s">
        <v>3880</v>
      </c>
      <c r="BL558" t="s">
        <v>154</v>
      </c>
      <c r="BM558" t="s">
        <v>8215</v>
      </c>
      <c r="BN558" t="s">
        <v>74</v>
      </c>
      <c r="BO558" t="s">
        <v>74</v>
      </c>
      <c r="BP558" t="s">
        <v>74</v>
      </c>
      <c r="BQ558" t="s">
        <v>74</v>
      </c>
      <c r="BR558" t="s">
        <v>6098</v>
      </c>
      <c r="BS558" t="s">
        <v>8216</v>
      </c>
      <c r="BT558" t="str">
        <f>HYPERLINK("https%3A%2F%2Fwww.webofscience.com%2Fwos%2Fwoscc%2Ffull-record%2FWOS:000606315300002","View Full Record in Web of Science")</f>
        <v>View Full Record in Web of Science</v>
      </c>
      <c r="BU558" t="s">
        <v>6100</v>
      </c>
      <c r="BV558" s="1" t="s">
        <v>6080</v>
      </c>
      <c r="BW558" s="1" t="s">
        <v>6080</v>
      </c>
    </row>
    <row r="559" spans="1:75" x14ac:dyDescent="0.35">
      <c r="A559" t="s">
        <v>72</v>
      </c>
      <c r="B559" t="s">
        <v>8646</v>
      </c>
      <c r="C559" t="s">
        <v>74</v>
      </c>
      <c r="D559" t="s">
        <v>74</v>
      </c>
      <c r="E559" t="s">
        <v>74</v>
      </c>
      <c r="F559" t="s">
        <v>8647</v>
      </c>
      <c r="G559" t="s">
        <v>74</v>
      </c>
      <c r="H559" t="s">
        <v>74</v>
      </c>
      <c r="I559" t="s">
        <v>8648</v>
      </c>
      <c r="J559" t="s">
        <v>8649</v>
      </c>
      <c r="K559" t="s">
        <v>74</v>
      </c>
      <c r="L559" t="s">
        <v>74</v>
      </c>
      <c r="M559" t="s">
        <v>78</v>
      </c>
      <c r="N559" t="s">
        <v>79</v>
      </c>
      <c r="O559" t="s">
        <v>74</v>
      </c>
      <c r="P559" t="s">
        <v>74</v>
      </c>
      <c r="Q559" t="s">
        <v>74</v>
      </c>
      <c r="R559" t="s">
        <v>74</v>
      </c>
      <c r="S559" t="s">
        <v>74</v>
      </c>
      <c r="T559" t="s">
        <v>8650</v>
      </c>
      <c r="U559" t="s">
        <v>8651</v>
      </c>
      <c r="V559" t="s">
        <v>8652</v>
      </c>
      <c r="W559" t="s">
        <v>8653</v>
      </c>
      <c r="X559" t="s">
        <v>8654</v>
      </c>
      <c r="Y559" t="s">
        <v>8655</v>
      </c>
      <c r="Z559" t="s">
        <v>8656</v>
      </c>
      <c r="AA559" t="s">
        <v>74</v>
      </c>
      <c r="AB559" t="s">
        <v>8657</v>
      </c>
      <c r="AC559" t="s">
        <v>74</v>
      </c>
      <c r="AD559" t="s">
        <v>74</v>
      </c>
      <c r="AE559" t="s">
        <v>74</v>
      </c>
      <c r="AF559" t="s">
        <v>74</v>
      </c>
      <c r="AG559">
        <v>55</v>
      </c>
      <c r="AH559">
        <v>7</v>
      </c>
      <c r="AI559">
        <v>7</v>
      </c>
      <c r="AJ559">
        <v>5</v>
      </c>
      <c r="AK559">
        <v>29</v>
      </c>
      <c r="AL559" t="s">
        <v>1982</v>
      </c>
      <c r="AM559" t="s">
        <v>1983</v>
      </c>
      <c r="AN559" t="s">
        <v>2573</v>
      </c>
      <c r="AO559" t="s">
        <v>8658</v>
      </c>
      <c r="AP559" t="s">
        <v>8659</v>
      </c>
      <c r="AQ559" t="s">
        <v>74</v>
      </c>
      <c r="AR559" t="s">
        <v>8660</v>
      </c>
      <c r="AS559" t="s">
        <v>8661</v>
      </c>
      <c r="AT559" t="s">
        <v>8662</v>
      </c>
      <c r="AU559">
        <v>2021</v>
      </c>
      <c r="AV559">
        <v>25</v>
      </c>
      <c r="AW559">
        <v>2</v>
      </c>
      <c r="AX559" t="s">
        <v>74</v>
      </c>
      <c r="AY559" t="s">
        <v>74</v>
      </c>
      <c r="AZ559" t="s">
        <v>74</v>
      </c>
      <c r="BA559" t="s">
        <v>74</v>
      </c>
      <c r="BB559">
        <v>224</v>
      </c>
      <c r="BC559">
        <v>241</v>
      </c>
      <c r="BD559" t="s">
        <v>74</v>
      </c>
      <c r="BE559" t="s">
        <v>8663</v>
      </c>
      <c r="BF559" t="str">
        <f>HYPERLINK("http://dx.doi.org/10.1108/JFMM-12-2019-0288","http://dx.doi.org/10.1108/JFMM-12-2019-0288")</f>
        <v>http://dx.doi.org/10.1108/JFMM-12-2019-0288</v>
      </c>
      <c r="BG559" t="s">
        <v>74</v>
      </c>
      <c r="BH559" t="s">
        <v>8664</v>
      </c>
      <c r="BI559">
        <v>18</v>
      </c>
      <c r="BJ559" t="s">
        <v>877</v>
      </c>
      <c r="BK559" t="s">
        <v>101</v>
      </c>
      <c r="BL559" t="s">
        <v>154</v>
      </c>
      <c r="BM559" t="s">
        <v>8665</v>
      </c>
      <c r="BN559" t="s">
        <v>74</v>
      </c>
      <c r="BO559" t="s">
        <v>74</v>
      </c>
      <c r="BP559" t="s">
        <v>74</v>
      </c>
      <c r="BQ559" t="s">
        <v>74</v>
      </c>
      <c r="BR559" t="s">
        <v>6098</v>
      </c>
      <c r="BS559" t="s">
        <v>8666</v>
      </c>
      <c r="BT559" t="str">
        <f>HYPERLINK("https%3A%2F%2Fwww.webofscience.com%2Fwos%2Fwoscc%2Ffull-record%2FWOS:000556944100001","View Full Record in Web of Science")</f>
        <v>View Full Record in Web of Science</v>
      </c>
      <c r="BU559" t="s">
        <v>6100</v>
      </c>
      <c r="BV559" s="1" t="s">
        <v>6080</v>
      </c>
      <c r="BW559" s="1" t="s">
        <v>6080</v>
      </c>
    </row>
    <row r="560" spans="1:75" x14ac:dyDescent="0.35">
      <c r="A560" t="s">
        <v>72</v>
      </c>
      <c r="B560" t="s">
        <v>8681</v>
      </c>
      <c r="C560" t="s">
        <v>74</v>
      </c>
      <c r="D560" t="s">
        <v>74</v>
      </c>
      <c r="E560" t="s">
        <v>74</v>
      </c>
      <c r="F560" t="s">
        <v>8682</v>
      </c>
      <c r="G560" t="s">
        <v>74</v>
      </c>
      <c r="H560" t="s">
        <v>74</v>
      </c>
      <c r="I560" t="s">
        <v>8683</v>
      </c>
      <c r="J560" t="s">
        <v>6281</v>
      </c>
      <c r="K560" t="s">
        <v>74</v>
      </c>
      <c r="L560" t="s">
        <v>74</v>
      </c>
      <c r="M560" t="s">
        <v>78</v>
      </c>
      <c r="N560" t="s">
        <v>241</v>
      </c>
      <c r="O560" t="s">
        <v>8684</v>
      </c>
      <c r="P560">
        <v>2020</v>
      </c>
      <c r="Q560" t="s">
        <v>4843</v>
      </c>
      <c r="R560" t="s">
        <v>74</v>
      </c>
      <c r="S560" t="s">
        <v>74</v>
      </c>
      <c r="T560" t="s">
        <v>8685</v>
      </c>
      <c r="U560" t="s">
        <v>8686</v>
      </c>
      <c r="V560" t="s">
        <v>8687</v>
      </c>
      <c r="W560" t="s">
        <v>8688</v>
      </c>
      <c r="X560" t="s">
        <v>8689</v>
      </c>
      <c r="Y560" t="s">
        <v>8690</v>
      </c>
      <c r="Z560" t="s">
        <v>8691</v>
      </c>
      <c r="AA560" t="s">
        <v>74</v>
      </c>
      <c r="AB560" t="s">
        <v>74</v>
      </c>
      <c r="AC560" t="s">
        <v>74</v>
      </c>
      <c r="AD560" t="s">
        <v>74</v>
      </c>
      <c r="AE560" t="s">
        <v>74</v>
      </c>
      <c r="AF560" t="s">
        <v>74</v>
      </c>
      <c r="AG560">
        <v>65</v>
      </c>
      <c r="AH560">
        <v>16</v>
      </c>
      <c r="AI560">
        <v>16</v>
      </c>
      <c r="AJ560">
        <v>12</v>
      </c>
      <c r="AK560">
        <v>33</v>
      </c>
      <c r="AL560" t="s">
        <v>652</v>
      </c>
      <c r="AM560" t="s">
        <v>653</v>
      </c>
      <c r="AN560" t="s">
        <v>654</v>
      </c>
      <c r="AO560" t="s">
        <v>6294</v>
      </c>
      <c r="AP560" t="s">
        <v>6295</v>
      </c>
      <c r="AQ560" t="s">
        <v>74</v>
      </c>
      <c r="AR560" t="s">
        <v>6296</v>
      </c>
      <c r="AS560" t="s">
        <v>6297</v>
      </c>
      <c r="AT560" t="s">
        <v>258</v>
      </c>
      <c r="AU560">
        <v>2021</v>
      </c>
      <c r="AV560">
        <v>63</v>
      </c>
      <c r="AW560" t="s">
        <v>74</v>
      </c>
      <c r="AX560" t="s">
        <v>74</v>
      </c>
      <c r="AY560" t="s">
        <v>74</v>
      </c>
      <c r="AZ560" t="s">
        <v>74</v>
      </c>
      <c r="BA560" t="s">
        <v>74</v>
      </c>
      <c r="BB560" t="s">
        <v>74</v>
      </c>
      <c r="BC560" t="s">
        <v>74</v>
      </c>
      <c r="BD560">
        <v>102743</v>
      </c>
      <c r="BE560" t="s">
        <v>8692</v>
      </c>
      <c r="BF560" t="str">
        <f>HYPERLINK("http://dx.doi.org/10.1016/j.jretconser.2021.102743","http://dx.doi.org/10.1016/j.jretconser.2021.102743")</f>
        <v>http://dx.doi.org/10.1016/j.jretconser.2021.102743</v>
      </c>
      <c r="BG560" t="s">
        <v>74</v>
      </c>
      <c r="BH560" t="s">
        <v>4652</v>
      </c>
      <c r="BI560">
        <v>11</v>
      </c>
      <c r="BJ560" t="s">
        <v>153</v>
      </c>
      <c r="BK560" t="s">
        <v>261</v>
      </c>
      <c r="BL560" t="s">
        <v>154</v>
      </c>
      <c r="BM560" t="s">
        <v>8693</v>
      </c>
      <c r="BN560" t="s">
        <v>74</v>
      </c>
      <c r="BO560" t="s">
        <v>74</v>
      </c>
      <c r="BP560" t="s">
        <v>74</v>
      </c>
      <c r="BQ560" t="s">
        <v>74</v>
      </c>
      <c r="BR560" t="s">
        <v>6098</v>
      </c>
      <c r="BS560" t="s">
        <v>8694</v>
      </c>
      <c r="BT560" t="str">
        <f>HYPERLINK("https%3A%2F%2Fwww.webofscience.com%2Fwos%2Fwoscc%2Ffull-record%2FWOS:000696952700009","View Full Record in Web of Science")</f>
        <v>View Full Record in Web of Science</v>
      </c>
      <c r="BU560" t="s">
        <v>6100</v>
      </c>
      <c r="BV560" s="1" t="s">
        <v>6080</v>
      </c>
      <c r="BW560" s="1" t="s">
        <v>6080</v>
      </c>
    </row>
    <row r="561" spans="1:75" x14ac:dyDescent="0.35">
      <c r="A561" t="s">
        <v>72</v>
      </c>
      <c r="B561" t="s">
        <v>8695</v>
      </c>
      <c r="C561" t="s">
        <v>74</v>
      </c>
      <c r="D561" t="s">
        <v>74</v>
      </c>
      <c r="E561" t="s">
        <v>74</v>
      </c>
      <c r="F561" t="s">
        <v>8696</v>
      </c>
      <c r="G561" t="s">
        <v>74</v>
      </c>
      <c r="H561" t="s">
        <v>74</v>
      </c>
      <c r="I561" t="s">
        <v>8697</v>
      </c>
      <c r="J561" t="s">
        <v>198</v>
      </c>
      <c r="K561" t="s">
        <v>74</v>
      </c>
      <c r="L561" t="s">
        <v>74</v>
      </c>
      <c r="M561" t="s">
        <v>78</v>
      </c>
      <c r="N561" t="s">
        <v>79</v>
      </c>
      <c r="O561" t="s">
        <v>74</v>
      </c>
      <c r="P561" t="s">
        <v>74</v>
      </c>
      <c r="Q561" t="s">
        <v>74</v>
      </c>
      <c r="R561" t="s">
        <v>74</v>
      </c>
      <c r="S561" t="s">
        <v>74</v>
      </c>
      <c r="T561" t="s">
        <v>8698</v>
      </c>
      <c r="U561" t="s">
        <v>8699</v>
      </c>
      <c r="V561" t="s">
        <v>8700</v>
      </c>
      <c r="W561" t="s">
        <v>8701</v>
      </c>
      <c r="X561" t="s">
        <v>8702</v>
      </c>
      <c r="Y561" t="s">
        <v>8703</v>
      </c>
      <c r="Z561" t="s">
        <v>8704</v>
      </c>
      <c r="AA561" t="s">
        <v>74</v>
      </c>
      <c r="AB561" t="s">
        <v>74</v>
      </c>
      <c r="AC561" t="s">
        <v>74</v>
      </c>
      <c r="AD561" t="s">
        <v>74</v>
      </c>
      <c r="AE561" t="s">
        <v>74</v>
      </c>
      <c r="AF561" t="s">
        <v>74</v>
      </c>
      <c r="AG561">
        <v>110</v>
      </c>
      <c r="AH561">
        <v>46</v>
      </c>
      <c r="AI561">
        <v>46</v>
      </c>
      <c r="AJ561">
        <v>28</v>
      </c>
      <c r="AK561">
        <v>103</v>
      </c>
      <c r="AL561" t="s">
        <v>206</v>
      </c>
      <c r="AM561" t="s">
        <v>207</v>
      </c>
      <c r="AN561" t="s">
        <v>208</v>
      </c>
      <c r="AO561" t="s">
        <v>209</v>
      </c>
      <c r="AP561" t="s">
        <v>210</v>
      </c>
      <c r="AQ561" t="s">
        <v>74</v>
      </c>
      <c r="AR561" t="s">
        <v>211</v>
      </c>
      <c r="AS561" t="s">
        <v>212</v>
      </c>
      <c r="AT561" t="s">
        <v>213</v>
      </c>
      <c r="AU561">
        <v>2021</v>
      </c>
      <c r="AV561">
        <v>38</v>
      </c>
      <c r="AW561">
        <v>1</v>
      </c>
      <c r="AX561" t="s">
        <v>74</v>
      </c>
      <c r="AY561" t="s">
        <v>74</v>
      </c>
      <c r="AZ561" t="s">
        <v>74</v>
      </c>
      <c r="BA561" t="s">
        <v>74</v>
      </c>
      <c r="BB561">
        <v>21</v>
      </c>
      <c r="BC561">
        <v>42</v>
      </c>
      <c r="BD561" t="s">
        <v>74</v>
      </c>
      <c r="BE561" t="s">
        <v>8705</v>
      </c>
      <c r="BF561" t="str">
        <f>HYPERLINK("http://dx.doi.org/10.1002/mar.21407","http://dx.doi.org/10.1002/mar.21407")</f>
        <v>http://dx.doi.org/10.1002/mar.21407</v>
      </c>
      <c r="BG561" t="s">
        <v>74</v>
      </c>
      <c r="BH561" t="s">
        <v>8706</v>
      </c>
      <c r="BI561">
        <v>22</v>
      </c>
      <c r="BJ561" t="s">
        <v>215</v>
      </c>
      <c r="BK561" t="s">
        <v>101</v>
      </c>
      <c r="BL561" t="s">
        <v>216</v>
      </c>
      <c r="BM561" t="s">
        <v>7623</v>
      </c>
      <c r="BN561" t="s">
        <v>74</v>
      </c>
      <c r="BO561" t="s">
        <v>74</v>
      </c>
      <c r="BP561" t="s">
        <v>74</v>
      </c>
      <c r="BQ561" t="s">
        <v>74</v>
      </c>
      <c r="BR561" t="s">
        <v>6098</v>
      </c>
      <c r="BS561" t="s">
        <v>8707</v>
      </c>
      <c r="BT561" t="str">
        <f>HYPERLINK("https%3A%2F%2Fwww.webofscience.com%2Fwos%2Fwoscc%2Ffull-record%2FWOS:000572552600001","View Full Record in Web of Science")</f>
        <v>View Full Record in Web of Science</v>
      </c>
      <c r="BU561" t="s">
        <v>6100</v>
      </c>
      <c r="BV561" s="1" t="s">
        <v>6080</v>
      </c>
      <c r="BW561" s="1" t="s">
        <v>10653</v>
      </c>
    </row>
    <row r="562" spans="1:75" x14ac:dyDescent="0.35">
      <c r="A562" t="s">
        <v>72</v>
      </c>
      <c r="B562" t="s">
        <v>8747</v>
      </c>
      <c r="C562" t="s">
        <v>74</v>
      </c>
      <c r="D562" t="s">
        <v>74</v>
      </c>
      <c r="E562" t="s">
        <v>74</v>
      </c>
      <c r="F562" t="s">
        <v>8748</v>
      </c>
      <c r="G562" t="s">
        <v>74</v>
      </c>
      <c r="H562" t="s">
        <v>74</v>
      </c>
      <c r="I562" t="s">
        <v>8749</v>
      </c>
      <c r="J562" t="s">
        <v>8750</v>
      </c>
      <c r="K562" t="s">
        <v>74</v>
      </c>
      <c r="L562" t="s">
        <v>74</v>
      </c>
      <c r="M562" t="s">
        <v>78</v>
      </c>
      <c r="N562" t="s">
        <v>79</v>
      </c>
      <c r="O562" t="s">
        <v>74</v>
      </c>
      <c r="P562" t="s">
        <v>74</v>
      </c>
      <c r="Q562" t="s">
        <v>74</v>
      </c>
      <c r="R562" t="s">
        <v>74</v>
      </c>
      <c r="S562" t="s">
        <v>74</v>
      </c>
      <c r="T562" t="s">
        <v>8751</v>
      </c>
      <c r="U562" t="s">
        <v>8752</v>
      </c>
      <c r="V562" t="s">
        <v>8753</v>
      </c>
      <c r="W562" t="s">
        <v>8754</v>
      </c>
      <c r="X562" t="s">
        <v>8755</v>
      </c>
      <c r="Y562" t="s">
        <v>8756</v>
      </c>
      <c r="Z562" t="s">
        <v>8757</v>
      </c>
      <c r="AA562" t="s">
        <v>8758</v>
      </c>
      <c r="AB562" t="s">
        <v>8759</v>
      </c>
      <c r="AC562" t="s">
        <v>8760</v>
      </c>
      <c r="AD562" t="s">
        <v>8761</v>
      </c>
      <c r="AE562" t="s">
        <v>8762</v>
      </c>
      <c r="AF562" t="s">
        <v>74</v>
      </c>
      <c r="AG562">
        <v>109</v>
      </c>
      <c r="AH562">
        <v>8</v>
      </c>
      <c r="AI562">
        <v>8</v>
      </c>
      <c r="AJ562">
        <v>10</v>
      </c>
      <c r="AK562">
        <v>64</v>
      </c>
      <c r="AL562" t="s">
        <v>3363</v>
      </c>
      <c r="AM562" t="s">
        <v>1181</v>
      </c>
      <c r="AN562" t="s">
        <v>6910</v>
      </c>
      <c r="AO562" t="s">
        <v>8763</v>
      </c>
      <c r="AP562" t="s">
        <v>8764</v>
      </c>
      <c r="AQ562" t="s">
        <v>74</v>
      </c>
      <c r="AR562" t="s">
        <v>8765</v>
      </c>
      <c r="AS562" t="s">
        <v>8766</v>
      </c>
      <c r="AT562" t="s">
        <v>8767</v>
      </c>
      <c r="AU562">
        <v>2021</v>
      </c>
      <c r="AV562">
        <v>72</v>
      </c>
      <c r="AW562">
        <v>5</v>
      </c>
      <c r="AX562" t="s">
        <v>74</v>
      </c>
      <c r="AY562" t="s">
        <v>74</v>
      </c>
      <c r="AZ562" t="s">
        <v>259</v>
      </c>
      <c r="BA562" t="s">
        <v>74</v>
      </c>
      <c r="BB562">
        <v>1110</v>
      </c>
      <c r="BC562">
        <v>1137</v>
      </c>
      <c r="BD562" t="s">
        <v>74</v>
      </c>
      <c r="BE562" t="s">
        <v>8768</v>
      </c>
      <c r="BF562" t="str">
        <f>HYPERLINK("http://dx.doi.org/10.1080/01605682.2019.1705194","http://dx.doi.org/10.1080/01605682.2019.1705194")</f>
        <v>http://dx.doi.org/10.1080/01605682.2019.1705194</v>
      </c>
      <c r="BG562" t="s">
        <v>74</v>
      </c>
      <c r="BH562" t="s">
        <v>4182</v>
      </c>
      <c r="BI562">
        <v>28</v>
      </c>
      <c r="BJ562" t="s">
        <v>519</v>
      </c>
      <c r="BK562" t="s">
        <v>520</v>
      </c>
      <c r="BL562" t="s">
        <v>521</v>
      </c>
      <c r="BM562" t="s">
        <v>8769</v>
      </c>
      <c r="BN562" t="s">
        <v>74</v>
      </c>
      <c r="BO562" t="s">
        <v>8770</v>
      </c>
      <c r="BP562" t="s">
        <v>74</v>
      </c>
      <c r="BQ562" t="s">
        <v>74</v>
      </c>
      <c r="BR562" t="s">
        <v>6098</v>
      </c>
      <c r="BS562" t="s">
        <v>8771</v>
      </c>
      <c r="BT562" t="str">
        <f>HYPERLINK("https%3A%2F%2Fwww.webofscience.com%2Fwos%2Fwoscc%2Ffull-record%2FWOS:000518250200001","View Full Record in Web of Science")</f>
        <v>View Full Record in Web of Science</v>
      </c>
      <c r="BU562" t="s">
        <v>6100</v>
      </c>
      <c r="BV562" s="1" t="s">
        <v>10653</v>
      </c>
      <c r="BW562" s="1" t="s">
        <v>10653</v>
      </c>
    </row>
    <row r="563" spans="1:75" x14ac:dyDescent="0.35">
      <c r="A563" t="s">
        <v>72</v>
      </c>
      <c r="B563" t="s">
        <v>4748</v>
      </c>
      <c r="C563" t="s">
        <v>74</v>
      </c>
      <c r="D563" t="s">
        <v>74</v>
      </c>
      <c r="E563" t="s">
        <v>74</v>
      </c>
      <c r="F563" t="s">
        <v>4749</v>
      </c>
      <c r="G563" t="s">
        <v>74</v>
      </c>
      <c r="H563" t="s">
        <v>74</v>
      </c>
      <c r="I563" t="s">
        <v>4750</v>
      </c>
      <c r="J563" t="s">
        <v>136</v>
      </c>
      <c r="K563" t="s">
        <v>74</v>
      </c>
      <c r="L563" t="s">
        <v>74</v>
      </c>
      <c r="M563" t="s">
        <v>78</v>
      </c>
      <c r="N563" t="s">
        <v>110</v>
      </c>
      <c r="O563" t="s">
        <v>74</v>
      </c>
      <c r="P563" t="s">
        <v>74</v>
      </c>
      <c r="Q563" t="s">
        <v>74</v>
      </c>
      <c r="R563" t="s">
        <v>74</v>
      </c>
      <c r="S563" t="s">
        <v>74</v>
      </c>
      <c r="T563" t="s">
        <v>4751</v>
      </c>
      <c r="U563" t="s">
        <v>4752</v>
      </c>
      <c r="V563" t="s">
        <v>4753</v>
      </c>
      <c r="W563" t="s">
        <v>4754</v>
      </c>
      <c r="X563" t="s">
        <v>4755</v>
      </c>
      <c r="Y563" t="s">
        <v>4756</v>
      </c>
      <c r="Z563" t="s">
        <v>4757</v>
      </c>
      <c r="AA563" t="s">
        <v>4758</v>
      </c>
      <c r="AB563" t="s">
        <v>74</v>
      </c>
      <c r="AC563" t="s">
        <v>4759</v>
      </c>
      <c r="AD563" t="s">
        <v>4759</v>
      </c>
      <c r="AE563" t="s">
        <v>4760</v>
      </c>
      <c r="AF563" t="s">
        <v>74</v>
      </c>
      <c r="AG563">
        <v>81</v>
      </c>
      <c r="AH563">
        <v>10</v>
      </c>
      <c r="AI563">
        <v>10</v>
      </c>
      <c r="AJ563">
        <v>24</v>
      </c>
      <c r="AK563">
        <v>103</v>
      </c>
      <c r="AL563" t="s">
        <v>144</v>
      </c>
      <c r="AM563" t="s">
        <v>145</v>
      </c>
      <c r="AN563" t="s">
        <v>146</v>
      </c>
      <c r="AO563" t="s">
        <v>147</v>
      </c>
      <c r="AP563" t="s">
        <v>148</v>
      </c>
      <c r="AQ563" t="s">
        <v>74</v>
      </c>
      <c r="AR563" t="s">
        <v>149</v>
      </c>
      <c r="AS563" t="s">
        <v>150</v>
      </c>
      <c r="AT563" t="s">
        <v>151</v>
      </c>
      <c r="AU563">
        <v>2021</v>
      </c>
      <c r="AV563">
        <v>58</v>
      </c>
      <c r="AW563">
        <v>3</v>
      </c>
      <c r="AX563" t="s">
        <v>74</v>
      </c>
      <c r="AY563" t="s">
        <v>74</v>
      </c>
      <c r="AZ563" t="s">
        <v>74</v>
      </c>
      <c r="BA563" t="s">
        <v>74</v>
      </c>
      <c r="BB563">
        <v>539</v>
      </c>
      <c r="BC563">
        <v>558</v>
      </c>
      <c r="BD563" t="s">
        <v>74</v>
      </c>
      <c r="BE563" t="s">
        <v>4761</v>
      </c>
      <c r="BF563" t="str">
        <f>HYPERLINK("http://dx.doi.org/10.1177/00222437211010439","http://dx.doi.org/10.1177/00222437211010439")</f>
        <v>http://dx.doi.org/10.1177/00222437211010439</v>
      </c>
      <c r="BG563" t="s">
        <v>74</v>
      </c>
      <c r="BH563" t="s">
        <v>74</v>
      </c>
      <c r="BI563">
        <v>20</v>
      </c>
      <c r="BJ563" t="s">
        <v>153</v>
      </c>
      <c r="BK563" t="s">
        <v>101</v>
      </c>
      <c r="BL563" t="s">
        <v>154</v>
      </c>
      <c r="BM563" t="s">
        <v>4762</v>
      </c>
      <c r="BN563" t="s">
        <v>74</v>
      </c>
      <c r="BO563" t="s">
        <v>74</v>
      </c>
      <c r="BP563" t="s">
        <v>74</v>
      </c>
      <c r="BQ563" t="s">
        <v>74</v>
      </c>
      <c r="BR563" t="s">
        <v>6098</v>
      </c>
      <c r="BS563" t="s">
        <v>4763</v>
      </c>
      <c r="BT563" t="str">
        <f>HYPERLINK("https%3A%2F%2Fwww.webofscience.com%2Fwos%2Fwoscc%2Ffull-record%2FWOS:000649428100007","View Full Record in Web of Science")</f>
        <v>View Full Record in Web of Science</v>
      </c>
      <c r="BU563" t="s">
        <v>6100</v>
      </c>
      <c r="BV563" s="1" t="s">
        <v>6080</v>
      </c>
      <c r="BW563" s="1" t="s">
        <v>6080</v>
      </c>
    </row>
    <row r="564" spans="1:75" x14ac:dyDescent="0.35">
      <c r="A564" t="s">
        <v>72</v>
      </c>
      <c r="B564" t="s">
        <v>8875</v>
      </c>
      <c r="C564" t="s">
        <v>74</v>
      </c>
      <c r="D564" t="s">
        <v>74</v>
      </c>
      <c r="E564" t="s">
        <v>74</v>
      </c>
      <c r="F564" t="s">
        <v>8876</v>
      </c>
      <c r="G564" t="s">
        <v>74</v>
      </c>
      <c r="H564" t="s">
        <v>74</v>
      </c>
      <c r="I564" t="s">
        <v>8877</v>
      </c>
      <c r="J564" t="s">
        <v>8878</v>
      </c>
      <c r="K564" t="s">
        <v>74</v>
      </c>
      <c r="L564" t="s">
        <v>74</v>
      </c>
      <c r="M564" t="s">
        <v>78</v>
      </c>
      <c r="N564" t="s">
        <v>79</v>
      </c>
      <c r="O564" t="s">
        <v>74</v>
      </c>
      <c r="P564" t="s">
        <v>74</v>
      </c>
      <c r="Q564" t="s">
        <v>74</v>
      </c>
      <c r="R564" t="s">
        <v>74</v>
      </c>
      <c r="S564" t="s">
        <v>74</v>
      </c>
      <c r="T564" t="s">
        <v>8879</v>
      </c>
      <c r="U564" t="s">
        <v>8880</v>
      </c>
      <c r="V564" t="s">
        <v>8881</v>
      </c>
      <c r="W564" t="s">
        <v>8882</v>
      </c>
      <c r="X564" t="s">
        <v>8883</v>
      </c>
      <c r="Y564" t="s">
        <v>8884</v>
      </c>
      <c r="Z564" t="s">
        <v>8885</v>
      </c>
      <c r="AA564" t="s">
        <v>74</v>
      </c>
      <c r="AB564" t="s">
        <v>8886</v>
      </c>
      <c r="AC564" t="s">
        <v>74</v>
      </c>
      <c r="AD564" t="s">
        <v>74</v>
      </c>
      <c r="AE564" t="s">
        <v>74</v>
      </c>
      <c r="AF564" t="s">
        <v>74</v>
      </c>
      <c r="AG564">
        <v>83</v>
      </c>
      <c r="AH564">
        <v>9</v>
      </c>
      <c r="AI564">
        <v>9</v>
      </c>
      <c r="AJ564">
        <v>11</v>
      </c>
      <c r="AK564">
        <v>39</v>
      </c>
      <c r="AL564" t="s">
        <v>409</v>
      </c>
      <c r="AM564" t="s">
        <v>410</v>
      </c>
      <c r="AN564" t="s">
        <v>411</v>
      </c>
      <c r="AO564" t="s">
        <v>8887</v>
      </c>
      <c r="AP564" t="s">
        <v>8888</v>
      </c>
      <c r="AQ564" t="s">
        <v>74</v>
      </c>
      <c r="AR564" t="s">
        <v>8878</v>
      </c>
      <c r="AS564" t="s">
        <v>8889</v>
      </c>
      <c r="AT564" t="s">
        <v>517</v>
      </c>
      <c r="AU564">
        <v>2021</v>
      </c>
      <c r="AV564">
        <v>107</v>
      </c>
      <c r="AW564" t="s">
        <v>74</v>
      </c>
      <c r="AX564" t="s">
        <v>74</v>
      </c>
      <c r="AY564" t="s">
        <v>74</v>
      </c>
      <c r="AZ564" t="s">
        <v>74</v>
      </c>
      <c r="BA564" t="s">
        <v>74</v>
      </c>
      <c r="BB564" t="s">
        <v>74</v>
      </c>
      <c r="BC564" t="s">
        <v>74</v>
      </c>
      <c r="BD564">
        <v>102322</v>
      </c>
      <c r="BE564" t="s">
        <v>8890</v>
      </c>
      <c r="BF564" t="str">
        <f>HYPERLINK("http://dx.doi.org/10.1016/j.technovation.2021.102322","http://dx.doi.org/10.1016/j.technovation.2021.102322")</f>
        <v>http://dx.doi.org/10.1016/j.technovation.2021.102322</v>
      </c>
      <c r="BG564" t="s">
        <v>74</v>
      </c>
      <c r="BH564" t="s">
        <v>6216</v>
      </c>
      <c r="BI564">
        <v>12</v>
      </c>
      <c r="BJ564" t="s">
        <v>8891</v>
      </c>
      <c r="BK564" t="s">
        <v>520</v>
      </c>
      <c r="BL564" t="s">
        <v>8892</v>
      </c>
      <c r="BM564" t="s">
        <v>8893</v>
      </c>
      <c r="BN564" t="s">
        <v>74</v>
      </c>
      <c r="BO564" t="s">
        <v>74</v>
      </c>
      <c r="BP564" t="s">
        <v>74</v>
      </c>
      <c r="BQ564" t="s">
        <v>74</v>
      </c>
      <c r="BR564" t="s">
        <v>6098</v>
      </c>
      <c r="BS564" t="s">
        <v>8894</v>
      </c>
      <c r="BT564" t="str">
        <f>HYPERLINK("https%3A%2F%2Fwww.webofscience.com%2Fwos%2Fwoscc%2Ffull-record%2FWOS:000685248700005","View Full Record in Web of Science")</f>
        <v>View Full Record in Web of Science</v>
      </c>
      <c r="BU564" t="s">
        <v>6100</v>
      </c>
      <c r="BV564" s="1" t="s">
        <v>10653</v>
      </c>
    </row>
    <row r="565" spans="1:75" x14ac:dyDescent="0.35">
      <c r="A565" t="s">
        <v>72</v>
      </c>
      <c r="B565" t="s">
        <v>8971</v>
      </c>
      <c r="C565" t="s">
        <v>74</v>
      </c>
      <c r="D565" t="s">
        <v>74</v>
      </c>
      <c r="E565" t="s">
        <v>74</v>
      </c>
      <c r="F565" t="s">
        <v>8972</v>
      </c>
      <c r="G565" t="s">
        <v>74</v>
      </c>
      <c r="H565" t="s">
        <v>74</v>
      </c>
      <c r="I565" t="s">
        <v>8973</v>
      </c>
      <c r="J565" t="s">
        <v>7930</v>
      </c>
      <c r="K565" t="s">
        <v>74</v>
      </c>
      <c r="L565" t="s">
        <v>74</v>
      </c>
      <c r="M565" t="s">
        <v>78</v>
      </c>
      <c r="N565" t="s">
        <v>79</v>
      </c>
      <c r="O565" t="s">
        <v>74</v>
      </c>
      <c r="P565" t="s">
        <v>74</v>
      </c>
      <c r="Q565" t="s">
        <v>74</v>
      </c>
      <c r="R565" t="s">
        <v>74</v>
      </c>
      <c r="S565" t="s">
        <v>74</v>
      </c>
      <c r="T565" t="s">
        <v>8974</v>
      </c>
      <c r="U565" t="s">
        <v>8975</v>
      </c>
      <c r="V565" t="s">
        <v>8976</v>
      </c>
      <c r="W565" t="s">
        <v>8977</v>
      </c>
      <c r="X565" t="s">
        <v>8978</v>
      </c>
      <c r="Y565" t="s">
        <v>8979</v>
      </c>
      <c r="Z565" t="s">
        <v>8980</v>
      </c>
      <c r="AA565" t="s">
        <v>8981</v>
      </c>
      <c r="AB565" t="s">
        <v>8982</v>
      </c>
      <c r="AC565" t="s">
        <v>8983</v>
      </c>
      <c r="AD565" t="s">
        <v>8984</v>
      </c>
      <c r="AE565" t="s">
        <v>8985</v>
      </c>
      <c r="AF565" t="s">
        <v>74</v>
      </c>
      <c r="AG565">
        <v>73</v>
      </c>
      <c r="AH565">
        <v>40</v>
      </c>
      <c r="AI565">
        <v>40</v>
      </c>
      <c r="AJ565">
        <v>18</v>
      </c>
      <c r="AK565">
        <v>177</v>
      </c>
      <c r="AL565" t="s">
        <v>652</v>
      </c>
      <c r="AM565" t="s">
        <v>653</v>
      </c>
      <c r="AN565" t="s">
        <v>654</v>
      </c>
      <c r="AO565" t="s">
        <v>7940</v>
      </c>
      <c r="AP565" t="s">
        <v>7941</v>
      </c>
      <c r="AQ565" t="s">
        <v>74</v>
      </c>
      <c r="AR565" t="s">
        <v>7942</v>
      </c>
      <c r="AS565" t="s">
        <v>7943</v>
      </c>
      <c r="AT565" t="s">
        <v>469</v>
      </c>
      <c r="AU565">
        <v>2021</v>
      </c>
      <c r="AV565">
        <v>85</v>
      </c>
      <c r="AW565" t="s">
        <v>74</v>
      </c>
      <c r="AX565" t="s">
        <v>74</v>
      </c>
      <c r="AY565" t="s">
        <v>74</v>
      </c>
      <c r="AZ565" t="s">
        <v>74</v>
      </c>
      <c r="BA565" t="s">
        <v>74</v>
      </c>
      <c r="BB565" t="s">
        <v>74</v>
      </c>
      <c r="BC565" t="s">
        <v>74</v>
      </c>
      <c r="BD565">
        <v>104320</v>
      </c>
      <c r="BE565" t="s">
        <v>8986</v>
      </c>
      <c r="BF565" t="str">
        <f>HYPERLINK("http://dx.doi.org/10.1016/j.tourman.2021.104320","http://dx.doi.org/10.1016/j.tourman.2021.104320")</f>
        <v>http://dx.doi.org/10.1016/j.tourman.2021.104320</v>
      </c>
      <c r="BG565" t="s">
        <v>74</v>
      </c>
      <c r="BH565" t="s">
        <v>4796</v>
      </c>
      <c r="BI565">
        <v>14</v>
      </c>
      <c r="BJ565" t="s">
        <v>7945</v>
      </c>
      <c r="BK565" t="s">
        <v>101</v>
      </c>
      <c r="BL565" t="s">
        <v>7946</v>
      </c>
      <c r="BM565" t="s">
        <v>8987</v>
      </c>
      <c r="BN565">
        <v>34815612</v>
      </c>
      <c r="BO565" t="s">
        <v>367</v>
      </c>
      <c r="BP565" t="s">
        <v>74</v>
      </c>
      <c r="BQ565" t="s">
        <v>74</v>
      </c>
      <c r="BR565" t="s">
        <v>6098</v>
      </c>
      <c r="BS565" t="s">
        <v>8988</v>
      </c>
      <c r="BT565" t="str">
        <f>HYPERLINK("https%3A%2F%2Fwww.webofscience.com%2Fwos%2Fwoscc%2Ffull-record%2FWOS:000642474700002","View Full Record in Web of Science")</f>
        <v>View Full Record in Web of Science</v>
      </c>
      <c r="BU565" t="s">
        <v>6100</v>
      </c>
      <c r="BV565" s="1" t="s">
        <v>10653</v>
      </c>
    </row>
    <row r="566" spans="1:75" x14ac:dyDescent="0.35">
      <c r="A566" t="s">
        <v>72</v>
      </c>
      <c r="B566" t="s">
        <v>4782</v>
      </c>
      <c r="C566" t="s">
        <v>74</v>
      </c>
      <c r="D566" t="s">
        <v>74</v>
      </c>
      <c r="E566" t="s">
        <v>74</v>
      </c>
      <c r="F566" t="s">
        <v>4783</v>
      </c>
      <c r="G566" t="s">
        <v>74</v>
      </c>
      <c r="H566" t="s">
        <v>74</v>
      </c>
      <c r="I566" t="s">
        <v>4784</v>
      </c>
      <c r="J566" t="s">
        <v>161</v>
      </c>
      <c r="K566" t="s">
        <v>74</v>
      </c>
      <c r="L566" t="s">
        <v>74</v>
      </c>
      <c r="M566" t="s">
        <v>78</v>
      </c>
      <c r="N566" t="s">
        <v>79</v>
      </c>
      <c r="O566" t="s">
        <v>74</v>
      </c>
      <c r="P566" t="s">
        <v>74</v>
      </c>
      <c r="Q566" t="s">
        <v>74</v>
      </c>
      <c r="R566" t="s">
        <v>74</v>
      </c>
      <c r="S566" t="s">
        <v>74</v>
      </c>
      <c r="T566" t="s">
        <v>4785</v>
      </c>
      <c r="U566" t="s">
        <v>4786</v>
      </c>
      <c r="V566" t="s">
        <v>4787</v>
      </c>
      <c r="W566" t="s">
        <v>4788</v>
      </c>
      <c r="X566" t="s">
        <v>4789</v>
      </c>
      <c r="Y566" t="s">
        <v>4790</v>
      </c>
      <c r="Z566" t="s">
        <v>4791</v>
      </c>
      <c r="AA566" t="s">
        <v>74</v>
      </c>
      <c r="AB566" t="s">
        <v>9004</v>
      </c>
      <c r="AC566" t="s">
        <v>4793</v>
      </c>
      <c r="AD566" t="s">
        <v>4793</v>
      </c>
      <c r="AE566" t="s">
        <v>4794</v>
      </c>
      <c r="AF566" t="s">
        <v>74</v>
      </c>
      <c r="AG566">
        <v>55</v>
      </c>
      <c r="AH566">
        <v>6</v>
      </c>
      <c r="AI566">
        <v>6</v>
      </c>
      <c r="AJ566">
        <v>15</v>
      </c>
      <c r="AK566">
        <v>50</v>
      </c>
      <c r="AL566" t="s">
        <v>170</v>
      </c>
      <c r="AM566" t="s">
        <v>171</v>
      </c>
      <c r="AN566" t="s">
        <v>172</v>
      </c>
      <c r="AO566" t="s">
        <v>173</v>
      </c>
      <c r="AP566" t="s">
        <v>174</v>
      </c>
      <c r="AQ566" t="s">
        <v>74</v>
      </c>
      <c r="AR566" t="s">
        <v>175</v>
      </c>
      <c r="AS566" t="s">
        <v>176</v>
      </c>
      <c r="AT566" t="s">
        <v>281</v>
      </c>
      <c r="AU566">
        <v>2021</v>
      </c>
      <c r="AV566">
        <v>48</v>
      </c>
      <c r="AW566">
        <v>3</v>
      </c>
      <c r="AX566" t="s">
        <v>74</v>
      </c>
      <c r="AY566" t="s">
        <v>74</v>
      </c>
      <c r="AZ566" t="s">
        <v>74</v>
      </c>
      <c r="BA566" t="s">
        <v>74</v>
      </c>
      <c r="BB566">
        <v>394</v>
      </c>
      <c r="BC566">
        <v>414</v>
      </c>
      <c r="BD566" t="s">
        <v>74</v>
      </c>
      <c r="BE566" t="s">
        <v>4795</v>
      </c>
      <c r="BF566" t="str">
        <f>HYPERLINK("http://dx.doi.org/10.1093/jcr/ucab018","http://dx.doi.org/10.1093/jcr/ucab018")</f>
        <v>http://dx.doi.org/10.1093/jcr/ucab018</v>
      </c>
      <c r="BG566" t="s">
        <v>74</v>
      </c>
      <c r="BH566" t="s">
        <v>4796</v>
      </c>
      <c r="BI566">
        <v>21</v>
      </c>
      <c r="BJ566" t="s">
        <v>153</v>
      </c>
      <c r="BK566" t="s">
        <v>101</v>
      </c>
      <c r="BL566" t="s">
        <v>154</v>
      </c>
      <c r="BM566" t="s">
        <v>4797</v>
      </c>
      <c r="BN566" t="s">
        <v>74</v>
      </c>
      <c r="BO566" t="s">
        <v>334</v>
      </c>
      <c r="BP566" t="s">
        <v>74</v>
      </c>
      <c r="BQ566" t="s">
        <v>74</v>
      </c>
      <c r="BR566" t="s">
        <v>6098</v>
      </c>
      <c r="BS566" t="s">
        <v>4798</v>
      </c>
      <c r="BT566" t="str">
        <f>HYPERLINK("https%3A%2F%2Fwww.webofscience.com%2Fwos%2Fwoscc%2Ffull-record%2FWOS:000715868600004","View Full Record in Web of Science")</f>
        <v>View Full Record in Web of Science</v>
      </c>
      <c r="BU566" t="s">
        <v>6100</v>
      </c>
      <c r="BV566" s="1" t="s">
        <v>6080</v>
      </c>
      <c r="BW566" s="1" t="s">
        <v>6080</v>
      </c>
    </row>
    <row r="567" spans="1:75" x14ac:dyDescent="0.35">
      <c r="A567" t="s">
        <v>72</v>
      </c>
      <c r="B567" t="s">
        <v>1442</v>
      </c>
      <c r="C567" t="s">
        <v>74</v>
      </c>
      <c r="D567" t="s">
        <v>74</v>
      </c>
      <c r="E567" t="s">
        <v>74</v>
      </c>
      <c r="F567" t="s">
        <v>1443</v>
      </c>
      <c r="G567" t="s">
        <v>74</v>
      </c>
      <c r="H567" t="s">
        <v>74</v>
      </c>
      <c r="I567" t="s">
        <v>4822</v>
      </c>
      <c r="J567" t="s">
        <v>161</v>
      </c>
      <c r="K567" t="s">
        <v>74</v>
      </c>
      <c r="L567" t="s">
        <v>74</v>
      </c>
      <c r="M567" t="s">
        <v>78</v>
      </c>
      <c r="N567" t="s">
        <v>79</v>
      </c>
      <c r="O567" t="s">
        <v>74</v>
      </c>
      <c r="P567" t="s">
        <v>74</v>
      </c>
      <c r="Q567" t="s">
        <v>74</v>
      </c>
      <c r="R567" t="s">
        <v>74</v>
      </c>
      <c r="S567" t="s">
        <v>74</v>
      </c>
      <c r="T567" t="s">
        <v>4823</v>
      </c>
      <c r="U567" t="s">
        <v>4824</v>
      </c>
      <c r="V567" t="s">
        <v>4825</v>
      </c>
      <c r="W567" t="s">
        <v>4826</v>
      </c>
      <c r="X567" t="s">
        <v>4827</v>
      </c>
      <c r="Y567" t="s">
        <v>4828</v>
      </c>
      <c r="Z567" t="s">
        <v>4829</v>
      </c>
      <c r="AA567" t="s">
        <v>74</v>
      </c>
      <c r="AB567" t="s">
        <v>74</v>
      </c>
      <c r="AC567" t="s">
        <v>4830</v>
      </c>
      <c r="AD567" t="s">
        <v>4831</v>
      </c>
      <c r="AE567" t="s">
        <v>4832</v>
      </c>
      <c r="AF567" t="s">
        <v>74</v>
      </c>
      <c r="AG567">
        <v>106</v>
      </c>
      <c r="AH567">
        <v>28</v>
      </c>
      <c r="AI567">
        <v>30</v>
      </c>
      <c r="AJ567">
        <v>54</v>
      </c>
      <c r="AK567">
        <v>170</v>
      </c>
      <c r="AL567" t="s">
        <v>170</v>
      </c>
      <c r="AM567" t="s">
        <v>171</v>
      </c>
      <c r="AN567" t="s">
        <v>172</v>
      </c>
      <c r="AO567" t="s">
        <v>173</v>
      </c>
      <c r="AP567" t="s">
        <v>174</v>
      </c>
      <c r="AQ567" t="s">
        <v>74</v>
      </c>
      <c r="AR567" t="s">
        <v>175</v>
      </c>
      <c r="AS567" t="s">
        <v>176</v>
      </c>
      <c r="AT567" t="s">
        <v>177</v>
      </c>
      <c r="AU567">
        <v>2021</v>
      </c>
      <c r="AV567">
        <v>47</v>
      </c>
      <c r="AW567">
        <v>5</v>
      </c>
      <c r="AX567" t="s">
        <v>74</v>
      </c>
      <c r="AY567" t="s">
        <v>74</v>
      </c>
      <c r="AZ567" t="s">
        <v>74</v>
      </c>
      <c r="BA567" t="s">
        <v>74</v>
      </c>
      <c r="BB567">
        <v>787</v>
      </c>
      <c r="BC567">
        <v>806</v>
      </c>
      <c r="BD567" t="s">
        <v>74</v>
      </c>
      <c r="BE567" t="s">
        <v>4833</v>
      </c>
      <c r="BF567" t="str">
        <f>HYPERLINK("http://dx.doi.org/10.1093/jcr/ucaa038","http://dx.doi.org/10.1093/jcr/ucaa038")</f>
        <v>http://dx.doi.org/10.1093/jcr/ucaa038</v>
      </c>
      <c r="BG567" t="s">
        <v>74</v>
      </c>
      <c r="BH567" t="s">
        <v>74</v>
      </c>
      <c r="BI567">
        <v>20</v>
      </c>
      <c r="BJ567" t="s">
        <v>153</v>
      </c>
      <c r="BK567" t="s">
        <v>101</v>
      </c>
      <c r="BL567" t="s">
        <v>154</v>
      </c>
      <c r="BM567" t="s">
        <v>4834</v>
      </c>
      <c r="BN567" t="s">
        <v>74</v>
      </c>
      <c r="BO567" t="s">
        <v>662</v>
      </c>
      <c r="BP567" t="s">
        <v>74</v>
      </c>
      <c r="BQ567" t="s">
        <v>74</v>
      </c>
      <c r="BR567" t="s">
        <v>6098</v>
      </c>
      <c r="BS567" t="s">
        <v>4835</v>
      </c>
      <c r="BT567" t="str">
        <f>HYPERLINK("https%3A%2F%2Fwww.webofscience.com%2Fwos%2Fwoscc%2Ffull-record%2FWOS:000637288400010","View Full Record in Web of Science")</f>
        <v>View Full Record in Web of Science</v>
      </c>
      <c r="BU567" t="s">
        <v>6100</v>
      </c>
      <c r="BV567" s="1" t="s">
        <v>6080</v>
      </c>
      <c r="BW567" s="1" t="s">
        <v>6080</v>
      </c>
    </row>
    <row r="568" spans="1:75" x14ac:dyDescent="0.35">
      <c r="A568" t="s">
        <v>72</v>
      </c>
      <c r="B568" t="s">
        <v>9175</v>
      </c>
      <c r="C568" t="s">
        <v>74</v>
      </c>
      <c r="D568" t="s">
        <v>74</v>
      </c>
      <c r="E568" t="s">
        <v>74</v>
      </c>
      <c r="F568" t="s">
        <v>9176</v>
      </c>
      <c r="G568" t="s">
        <v>74</v>
      </c>
      <c r="H568" t="s">
        <v>74</v>
      </c>
      <c r="I568" t="s">
        <v>9177</v>
      </c>
      <c r="J568" t="s">
        <v>8566</v>
      </c>
      <c r="K568" t="s">
        <v>74</v>
      </c>
      <c r="L568" t="s">
        <v>74</v>
      </c>
      <c r="M568" t="s">
        <v>78</v>
      </c>
      <c r="N568" t="s">
        <v>79</v>
      </c>
      <c r="O568" t="s">
        <v>74</v>
      </c>
      <c r="P568" t="s">
        <v>74</v>
      </c>
      <c r="Q568" t="s">
        <v>74</v>
      </c>
      <c r="R568" t="s">
        <v>74</v>
      </c>
      <c r="S568" t="s">
        <v>74</v>
      </c>
      <c r="T568" t="s">
        <v>9178</v>
      </c>
      <c r="U568" t="s">
        <v>9179</v>
      </c>
      <c r="V568" t="s">
        <v>9180</v>
      </c>
      <c r="W568" t="s">
        <v>9181</v>
      </c>
      <c r="X568" t="s">
        <v>9182</v>
      </c>
      <c r="Y568" t="s">
        <v>9183</v>
      </c>
      <c r="Z568" t="s">
        <v>9184</v>
      </c>
      <c r="AA568" t="s">
        <v>74</v>
      </c>
      <c r="AB568" t="s">
        <v>74</v>
      </c>
      <c r="AC568" t="s">
        <v>9185</v>
      </c>
      <c r="AD568" t="s">
        <v>9186</v>
      </c>
      <c r="AE568" t="s">
        <v>9187</v>
      </c>
      <c r="AF568" t="s">
        <v>74</v>
      </c>
      <c r="AG568">
        <v>49</v>
      </c>
      <c r="AH568">
        <v>12</v>
      </c>
      <c r="AI568">
        <v>12</v>
      </c>
      <c r="AJ568">
        <v>35</v>
      </c>
      <c r="AK568">
        <v>67</v>
      </c>
      <c r="AL568" t="s">
        <v>409</v>
      </c>
      <c r="AM568" t="s">
        <v>410</v>
      </c>
      <c r="AN568" t="s">
        <v>411</v>
      </c>
      <c r="AO568" t="s">
        <v>8574</v>
      </c>
      <c r="AP568" t="s">
        <v>8575</v>
      </c>
      <c r="AQ568" t="s">
        <v>74</v>
      </c>
      <c r="AR568" t="s">
        <v>8576</v>
      </c>
      <c r="AS568" t="s">
        <v>8577</v>
      </c>
      <c r="AT568" t="s">
        <v>453</v>
      </c>
      <c r="AU568">
        <v>2021</v>
      </c>
      <c r="AV568">
        <v>50</v>
      </c>
      <c r="AW568" t="s">
        <v>74</v>
      </c>
      <c r="AX568" t="s">
        <v>74</v>
      </c>
      <c r="AY568" t="s">
        <v>74</v>
      </c>
      <c r="AZ568" t="s">
        <v>74</v>
      </c>
      <c r="BA568" t="s">
        <v>74</v>
      </c>
      <c r="BB568" t="s">
        <v>74</v>
      </c>
      <c r="BC568" t="s">
        <v>74</v>
      </c>
      <c r="BD568">
        <v>101098</v>
      </c>
      <c r="BE568" t="s">
        <v>9188</v>
      </c>
      <c r="BF568" t="str">
        <f>HYPERLINK("http://dx.doi.org/10.1016/j.elerap.2021.101098","http://dx.doi.org/10.1016/j.elerap.2021.101098")</f>
        <v>http://dx.doi.org/10.1016/j.elerap.2021.101098</v>
      </c>
      <c r="BG568" t="s">
        <v>74</v>
      </c>
      <c r="BH568" t="s">
        <v>6366</v>
      </c>
      <c r="BI568">
        <v>14</v>
      </c>
      <c r="BJ568" t="s">
        <v>8579</v>
      </c>
      <c r="BK568" t="s">
        <v>520</v>
      </c>
      <c r="BL568" t="s">
        <v>3857</v>
      </c>
      <c r="BM568" t="s">
        <v>9189</v>
      </c>
      <c r="BN568" t="s">
        <v>74</v>
      </c>
      <c r="BO568" t="s">
        <v>74</v>
      </c>
      <c r="BP568" t="s">
        <v>74</v>
      </c>
      <c r="BQ568" t="s">
        <v>74</v>
      </c>
      <c r="BR568" t="s">
        <v>6098</v>
      </c>
      <c r="BS568" t="s">
        <v>9190</v>
      </c>
      <c r="BT568" t="str">
        <f>HYPERLINK("https%3A%2F%2Fwww.webofscience.com%2Fwos%2Fwoscc%2Ffull-record%2FWOS:000746087800002","View Full Record in Web of Science")</f>
        <v>View Full Record in Web of Science</v>
      </c>
      <c r="BU568" t="s">
        <v>6100</v>
      </c>
      <c r="BV568" s="1" t="s">
        <v>10653</v>
      </c>
    </row>
    <row r="569" spans="1:75" x14ac:dyDescent="0.35">
      <c r="A569" t="s">
        <v>72</v>
      </c>
      <c r="B569" t="s">
        <v>9211</v>
      </c>
      <c r="C569" t="s">
        <v>74</v>
      </c>
      <c r="D569" t="s">
        <v>74</v>
      </c>
      <c r="E569" t="s">
        <v>74</v>
      </c>
      <c r="F569" t="s">
        <v>9212</v>
      </c>
      <c r="G569" t="s">
        <v>74</v>
      </c>
      <c r="H569" t="s">
        <v>74</v>
      </c>
      <c r="I569" t="s">
        <v>9213</v>
      </c>
      <c r="J569" t="s">
        <v>6548</v>
      </c>
      <c r="K569" t="s">
        <v>74</v>
      </c>
      <c r="L569" t="s">
        <v>74</v>
      </c>
      <c r="M569" t="s">
        <v>78</v>
      </c>
      <c r="N569" t="s">
        <v>110</v>
      </c>
      <c r="O569" t="s">
        <v>74</v>
      </c>
      <c r="P569" t="s">
        <v>74</v>
      </c>
      <c r="Q569" t="s">
        <v>74</v>
      </c>
      <c r="R569" t="s">
        <v>74</v>
      </c>
      <c r="S569" t="s">
        <v>74</v>
      </c>
      <c r="T569" t="s">
        <v>9214</v>
      </c>
      <c r="U569" t="s">
        <v>74</v>
      </c>
      <c r="V569" t="s">
        <v>9215</v>
      </c>
      <c r="W569" t="s">
        <v>9216</v>
      </c>
      <c r="X569" t="s">
        <v>9217</v>
      </c>
      <c r="Y569" t="s">
        <v>9218</v>
      </c>
      <c r="Z569" t="s">
        <v>9219</v>
      </c>
      <c r="AA569" t="s">
        <v>74</v>
      </c>
      <c r="AB569" t="s">
        <v>74</v>
      </c>
      <c r="AC569" t="s">
        <v>74</v>
      </c>
      <c r="AD569" t="s">
        <v>74</v>
      </c>
      <c r="AE569" t="s">
        <v>74</v>
      </c>
      <c r="AF569" t="s">
        <v>74</v>
      </c>
      <c r="AG569">
        <v>71</v>
      </c>
      <c r="AH569">
        <v>21</v>
      </c>
      <c r="AI569">
        <v>21</v>
      </c>
      <c r="AJ569">
        <v>17</v>
      </c>
      <c r="AK569">
        <v>87</v>
      </c>
      <c r="AL569" t="s">
        <v>206</v>
      </c>
      <c r="AM569" t="s">
        <v>207</v>
      </c>
      <c r="AN569" t="s">
        <v>208</v>
      </c>
      <c r="AO569" t="s">
        <v>6555</v>
      </c>
      <c r="AP569" t="s">
        <v>6556</v>
      </c>
      <c r="AQ569" t="s">
        <v>74</v>
      </c>
      <c r="AR569" t="s">
        <v>6557</v>
      </c>
      <c r="AS569" t="s">
        <v>6558</v>
      </c>
      <c r="AT569" t="s">
        <v>151</v>
      </c>
      <c r="AU569">
        <v>2021</v>
      </c>
      <c r="AV569">
        <v>52</v>
      </c>
      <c r="AW569">
        <v>3</v>
      </c>
      <c r="AX569" t="s">
        <v>74</v>
      </c>
      <c r="AY569" t="s">
        <v>74</v>
      </c>
      <c r="AZ569" t="s">
        <v>74</v>
      </c>
      <c r="BA569" t="s">
        <v>74</v>
      </c>
      <c r="BB569">
        <v>749</v>
      </c>
      <c r="BC569">
        <v>775</v>
      </c>
      <c r="BD569" t="s">
        <v>74</v>
      </c>
      <c r="BE569" t="s">
        <v>9220</v>
      </c>
      <c r="BF569" t="str">
        <f>HYPERLINK("http://dx.doi.org/10.1111/deci.12378","http://dx.doi.org/10.1111/deci.12378")</f>
        <v>http://dx.doi.org/10.1111/deci.12378</v>
      </c>
      <c r="BG569" t="s">
        <v>74</v>
      </c>
      <c r="BH569" t="s">
        <v>74</v>
      </c>
      <c r="BI569">
        <v>27</v>
      </c>
      <c r="BJ569" t="s">
        <v>2493</v>
      </c>
      <c r="BK569" t="s">
        <v>101</v>
      </c>
      <c r="BL569" t="s">
        <v>154</v>
      </c>
      <c r="BM569" t="s">
        <v>6560</v>
      </c>
      <c r="BN569" t="s">
        <v>74</v>
      </c>
      <c r="BO569" t="s">
        <v>74</v>
      </c>
      <c r="BP569" t="s">
        <v>74</v>
      </c>
      <c r="BQ569" t="s">
        <v>74</v>
      </c>
      <c r="BR569" t="s">
        <v>6098</v>
      </c>
      <c r="BS569" t="s">
        <v>9221</v>
      </c>
      <c r="BT569" t="str">
        <f>HYPERLINK("https%3A%2F%2Fwww.webofscience.com%2Fwos%2Fwoscc%2Ffull-record%2FWOS:000660151500008","View Full Record in Web of Science")</f>
        <v>View Full Record in Web of Science</v>
      </c>
      <c r="BU569" t="s">
        <v>6100</v>
      </c>
      <c r="BV569" s="1" t="s">
        <v>10653</v>
      </c>
      <c r="BW569" s="1" t="s">
        <v>10653</v>
      </c>
    </row>
    <row r="570" spans="1:75" x14ac:dyDescent="0.35">
      <c r="A570" t="s">
        <v>72</v>
      </c>
      <c r="B570" t="s">
        <v>9304</v>
      </c>
      <c r="C570" t="s">
        <v>74</v>
      </c>
      <c r="D570" t="s">
        <v>74</v>
      </c>
      <c r="E570" t="s">
        <v>74</v>
      </c>
      <c r="F570" t="s">
        <v>9305</v>
      </c>
      <c r="G570" t="s">
        <v>74</v>
      </c>
      <c r="H570" t="s">
        <v>74</v>
      </c>
      <c r="I570" t="s">
        <v>9306</v>
      </c>
      <c r="J570" t="s">
        <v>3737</v>
      </c>
      <c r="K570" t="s">
        <v>74</v>
      </c>
      <c r="L570" t="s">
        <v>74</v>
      </c>
      <c r="M570" t="s">
        <v>78</v>
      </c>
      <c r="N570" t="s">
        <v>79</v>
      </c>
      <c r="O570" t="s">
        <v>74</v>
      </c>
      <c r="P570" t="s">
        <v>74</v>
      </c>
      <c r="Q570" t="s">
        <v>74</v>
      </c>
      <c r="R570" t="s">
        <v>74</v>
      </c>
      <c r="S570" t="s">
        <v>74</v>
      </c>
      <c r="T570" t="s">
        <v>9307</v>
      </c>
      <c r="U570" t="s">
        <v>9308</v>
      </c>
      <c r="V570" t="s">
        <v>9309</v>
      </c>
      <c r="W570" t="s">
        <v>9310</v>
      </c>
      <c r="X570" t="s">
        <v>9311</v>
      </c>
      <c r="Y570" t="s">
        <v>9312</v>
      </c>
      <c r="Z570" t="s">
        <v>9313</v>
      </c>
      <c r="AA570" t="s">
        <v>205</v>
      </c>
      <c r="AB570" t="s">
        <v>74</v>
      </c>
      <c r="AC570" t="s">
        <v>74</v>
      </c>
      <c r="AD570" t="s">
        <v>74</v>
      </c>
      <c r="AE570" t="s">
        <v>74</v>
      </c>
      <c r="AF570" t="s">
        <v>74</v>
      </c>
      <c r="AG570">
        <v>110</v>
      </c>
      <c r="AH570">
        <v>20</v>
      </c>
      <c r="AI570">
        <v>20</v>
      </c>
      <c r="AJ570">
        <v>35</v>
      </c>
      <c r="AK570">
        <v>144</v>
      </c>
      <c r="AL570" t="s">
        <v>324</v>
      </c>
      <c r="AM570" t="s">
        <v>325</v>
      </c>
      <c r="AN570" t="s">
        <v>2004</v>
      </c>
      <c r="AO570" t="s">
        <v>3743</v>
      </c>
      <c r="AP570" t="s">
        <v>3831</v>
      </c>
      <c r="AQ570" t="s">
        <v>74</v>
      </c>
      <c r="AR570" t="s">
        <v>3744</v>
      </c>
      <c r="AS570" t="s">
        <v>3745</v>
      </c>
      <c r="AT570" t="s">
        <v>281</v>
      </c>
      <c r="AU570">
        <v>2021</v>
      </c>
      <c r="AV570">
        <v>135</v>
      </c>
      <c r="AW570" t="s">
        <v>74</v>
      </c>
      <c r="AX570" t="s">
        <v>74</v>
      </c>
      <c r="AY570" t="s">
        <v>74</v>
      </c>
      <c r="AZ570" t="s">
        <v>74</v>
      </c>
      <c r="BA570" t="s">
        <v>74</v>
      </c>
      <c r="BB570">
        <v>840</v>
      </c>
      <c r="BC570">
        <v>850</v>
      </c>
      <c r="BD570" t="s">
        <v>74</v>
      </c>
      <c r="BE570" t="s">
        <v>9314</v>
      </c>
      <c r="BF570" t="str">
        <f>HYPERLINK("http://dx.doi.org/10.1016/j.jbusres.2021.03.005","http://dx.doi.org/10.1016/j.jbusres.2021.03.005")</f>
        <v>http://dx.doi.org/10.1016/j.jbusres.2021.03.005</v>
      </c>
      <c r="BG570" t="s">
        <v>74</v>
      </c>
      <c r="BH570" t="s">
        <v>6194</v>
      </c>
      <c r="BI570">
        <v>11</v>
      </c>
      <c r="BJ570" t="s">
        <v>153</v>
      </c>
      <c r="BK570" t="s">
        <v>101</v>
      </c>
      <c r="BL570" t="s">
        <v>154</v>
      </c>
      <c r="BM570" t="s">
        <v>9315</v>
      </c>
      <c r="BN570" t="s">
        <v>74</v>
      </c>
      <c r="BO570" t="s">
        <v>74</v>
      </c>
      <c r="BP570" t="s">
        <v>74</v>
      </c>
      <c r="BQ570" t="s">
        <v>74</v>
      </c>
      <c r="BR570" t="s">
        <v>6098</v>
      </c>
      <c r="BS570" t="s">
        <v>9316</v>
      </c>
      <c r="BT570" t="str">
        <f>HYPERLINK("https%3A%2F%2Fwww.webofscience.com%2Fwos%2Fwoscc%2Ffull-record%2FWOS:000683570800018","View Full Record in Web of Science")</f>
        <v>View Full Record in Web of Science</v>
      </c>
      <c r="BU570" t="s">
        <v>6100</v>
      </c>
      <c r="BV570" s="1" t="s">
        <v>10653</v>
      </c>
    </row>
    <row r="571" spans="1:75" x14ac:dyDescent="0.35">
      <c r="A571" t="s">
        <v>72</v>
      </c>
      <c r="B571" t="s">
        <v>8796</v>
      </c>
      <c r="C571" t="s">
        <v>74</v>
      </c>
      <c r="D571" t="s">
        <v>74</v>
      </c>
      <c r="E571" t="s">
        <v>74</v>
      </c>
      <c r="F571" t="s">
        <v>8797</v>
      </c>
      <c r="G571" t="s">
        <v>74</v>
      </c>
      <c r="H571" t="s">
        <v>74</v>
      </c>
      <c r="I571" t="s">
        <v>8798</v>
      </c>
      <c r="J571" t="s">
        <v>3737</v>
      </c>
      <c r="K571" t="s">
        <v>74</v>
      </c>
      <c r="L571" t="s">
        <v>74</v>
      </c>
      <c r="M571" t="s">
        <v>78</v>
      </c>
      <c r="N571" t="s">
        <v>79</v>
      </c>
      <c r="O571" t="s">
        <v>74</v>
      </c>
      <c r="P571" t="s">
        <v>74</v>
      </c>
      <c r="Q571" t="s">
        <v>74</v>
      </c>
      <c r="R571" t="s">
        <v>74</v>
      </c>
      <c r="S571" t="s">
        <v>74</v>
      </c>
      <c r="T571" t="s">
        <v>8799</v>
      </c>
      <c r="U571" t="s">
        <v>8800</v>
      </c>
      <c r="V571" t="s">
        <v>8801</v>
      </c>
      <c r="W571" t="s">
        <v>8802</v>
      </c>
      <c r="X571" t="s">
        <v>793</v>
      </c>
      <c r="Y571" t="s">
        <v>8803</v>
      </c>
      <c r="Z571" t="s">
        <v>8804</v>
      </c>
      <c r="AA571" t="s">
        <v>74</v>
      </c>
      <c r="AB571" t="s">
        <v>74</v>
      </c>
      <c r="AC571" t="s">
        <v>74</v>
      </c>
      <c r="AD571" t="s">
        <v>74</v>
      </c>
      <c r="AE571" t="s">
        <v>74</v>
      </c>
      <c r="AF571" t="s">
        <v>74</v>
      </c>
      <c r="AG571">
        <v>51</v>
      </c>
      <c r="AH571">
        <v>18</v>
      </c>
      <c r="AI571">
        <v>20</v>
      </c>
      <c r="AJ571">
        <v>4</v>
      </c>
      <c r="AK571">
        <v>71</v>
      </c>
      <c r="AL571" t="s">
        <v>324</v>
      </c>
      <c r="AM571" t="s">
        <v>325</v>
      </c>
      <c r="AN571" t="s">
        <v>2004</v>
      </c>
      <c r="AO571" t="s">
        <v>3743</v>
      </c>
      <c r="AP571" t="s">
        <v>3831</v>
      </c>
      <c r="AQ571" t="s">
        <v>74</v>
      </c>
      <c r="AR571" t="s">
        <v>3744</v>
      </c>
      <c r="AS571" t="s">
        <v>3745</v>
      </c>
      <c r="AT571" t="s">
        <v>469</v>
      </c>
      <c r="AU571">
        <v>2016</v>
      </c>
      <c r="AV571">
        <v>69</v>
      </c>
      <c r="AW571">
        <v>8</v>
      </c>
      <c r="AX571" t="s">
        <v>74</v>
      </c>
      <c r="AY571" t="s">
        <v>74</v>
      </c>
      <c r="AZ571" t="s">
        <v>74</v>
      </c>
      <c r="BA571" t="s">
        <v>74</v>
      </c>
      <c r="BB571">
        <v>2687</v>
      </c>
      <c r="BC571">
        <v>2696</v>
      </c>
      <c r="BD571" t="s">
        <v>74</v>
      </c>
      <c r="BE571" t="s">
        <v>8805</v>
      </c>
      <c r="BF571" t="str">
        <f>HYPERLINK("http://dx.doi.org/10.1016/j.jbusres.2015.11.004","http://dx.doi.org/10.1016/j.jbusres.2015.11.004")</f>
        <v>http://dx.doi.org/10.1016/j.jbusres.2015.11.004</v>
      </c>
      <c r="BG571" t="s">
        <v>74</v>
      </c>
      <c r="BH571" t="s">
        <v>74</v>
      </c>
      <c r="BI571">
        <v>10</v>
      </c>
      <c r="BJ571" t="s">
        <v>153</v>
      </c>
      <c r="BK571" t="s">
        <v>101</v>
      </c>
      <c r="BL571" t="s">
        <v>154</v>
      </c>
      <c r="BM571" t="s">
        <v>8806</v>
      </c>
      <c r="BN571" t="s">
        <v>74</v>
      </c>
      <c r="BO571" t="s">
        <v>74</v>
      </c>
      <c r="BP571" t="s">
        <v>74</v>
      </c>
      <c r="BQ571" t="s">
        <v>74</v>
      </c>
      <c r="BR571" t="s">
        <v>6098</v>
      </c>
      <c r="BS571" t="s">
        <v>8807</v>
      </c>
      <c r="BT571" t="str">
        <f>HYPERLINK("https%3A%2F%2Fwww.webofscience.com%2Fwos%2Fwoscc%2Ffull-record%2FWOS:000377726600008","View Full Record in Web of Science")</f>
        <v>View Full Record in Web of Science</v>
      </c>
      <c r="BU571" t="s">
        <v>6100</v>
      </c>
      <c r="BV571" s="1" t="s">
        <v>6080</v>
      </c>
      <c r="BW571" s="1" t="s">
        <v>10653</v>
      </c>
    </row>
    <row r="572" spans="1:75" x14ac:dyDescent="0.35">
      <c r="A572" t="s">
        <v>72</v>
      </c>
      <c r="B572" t="s">
        <v>9424</v>
      </c>
      <c r="C572" t="s">
        <v>74</v>
      </c>
      <c r="D572" t="s">
        <v>74</v>
      </c>
      <c r="E572" t="s">
        <v>74</v>
      </c>
      <c r="F572" t="s">
        <v>9425</v>
      </c>
      <c r="G572" t="s">
        <v>74</v>
      </c>
      <c r="H572" t="s">
        <v>74</v>
      </c>
      <c r="I572" t="s">
        <v>9426</v>
      </c>
      <c r="J572" t="s">
        <v>3798</v>
      </c>
      <c r="K572" t="s">
        <v>74</v>
      </c>
      <c r="L572" t="s">
        <v>74</v>
      </c>
      <c r="M572" t="s">
        <v>78</v>
      </c>
      <c r="N572" t="s">
        <v>79</v>
      </c>
      <c r="O572" t="s">
        <v>74</v>
      </c>
      <c r="P572" t="s">
        <v>74</v>
      </c>
      <c r="Q572" t="s">
        <v>74</v>
      </c>
      <c r="R572" t="s">
        <v>74</v>
      </c>
      <c r="S572" t="s">
        <v>74</v>
      </c>
      <c r="T572" t="s">
        <v>9427</v>
      </c>
      <c r="U572" t="s">
        <v>9428</v>
      </c>
      <c r="V572" t="s">
        <v>9429</v>
      </c>
      <c r="W572" t="s">
        <v>9430</v>
      </c>
      <c r="X572" t="s">
        <v>9431</v>
      </c>
      <c r="Y572" t="s">
        <v>9432</v>
      </c>
      <c r="Z572" t="s">
        <v>9433</v>
      </c>
      <c r="AA572" t="s">
        <v>74</v>
      </c>
      <c r="AB572" t="s">
        <v>9434</v>
      </c>
      <c r="AC572" t="s">
        <v>74</v>
      </c>
      <c r="AD572" t="s">
        <v>74</v>
      </c>
      <c r="AE572" t="s">
        <v>74</v>
      </c>
      <c r="AF572" t="s">
        <v>74</v>
      </c>
      <c r="AG572">
        <v>81</v>
      </c>
      <c r="AH572">
        <v>4</v>
      </c>
      <c r="AI572">
        <v>4</v>
      </c>
      <c r="AJ572">
        <v>4</v>
      </c>
      <c r="AK572">
        <v>15</v>
      </c>
      <c r="AL572" t="s">
        <v>206</v>
      </c>
      <c r="AM572" t="s">
        <v>207</v>
      </c>
      <c r="AN572" t="s">
        <v>208</v>
      </c>
      <c r="AO572" t="s">
        <v>3812</v>
      </c>
      <c r="AP572" t="s">
        <v>3813</v>
      </c>
      <c r="AQ572" t="s">
        <v>74</v>
      </c>
      <c r="AR572" t="s">
        <v>3814</v>
      </c>
      <c r="AS572" t="s">
        <v>3815</v>
      </c>
      <c r="AT572" t="s">
        <v>517</v>
      </c>
      <c r="AU572">
        <v>2021</v>
      </c>
      <c r="AV572">
        <v>55</v>
      </c>
      <c r="AW572">
        <v>3</v>
      </c>
      <c r="AX572" t="s">
        <v>74</v>
      </c>
      <c r="AY572" t="s">
        <v>74</v>
      </c>
      <c r="AZ572" t="s">
        <v>74</v>
      </c>
      <c r="BA572" t="s">
        <v>74</v>
      </c>
      <c r="BB572">
        <v>737</v>
      </c>
      <c r="BC572">
        <v>762</v>
      </c>
      <c r="BD572" t="s">
        <v>74</v>
      </c>
      <c r="BE572" t="s">
        <v>9435</v>
      </c>
      <c r="BF572" t="str">
        <f>HYPERLINK("http://dx.doi.org/10.1111/joca.12366","http://dx.doi.org/10.1111/joca.12366")</f>
        <v>http://dx.doi.org/10.1111/joca.12366</v>
      </c>
      <c r="BG572" t="s">
        <v>74</v>
      </c>
      <c r="BH572" t="s">
        <v>4777</v>
      </c>
      <c r="BI572">
        <v>26</v>
      </c>
      <c r="BJ572" t="s">
        <v>3818</v>
      </c>
      <c r="BK572" t="s">
        <v>101</v>
      </c>
      <c r="BL572" t="s">
        <v>154</v>
      </c>
      <c r="BM572" t="s">
        <v>9436</v>
      </c>
      <c r="BN572" t="s">
        <v>74</v>
      </c>
      <c r="BO572" t="s">
        <v>74</v>
      </c>
      <c r="BP572" t="s">
        <v>74</v>
      </c>
      <c r="BQ572" t="s">
        <v>74</v>
      </c>
      <c r="BR572" t="s">
        <v>6098</v>
      </c>
      <c r="BS572" t="s">
        <v>9437</v>
      </c>
      <c r="BT572" t="str">
        <f>HYPERLINK("https%3A%2F%2Fwww.webofscience.com%2Fwos%2Fwoscc%2Ffull-record%2FWOS:000641038800001","View Full Record in Web of Science")</f>
        <v>View Full Record in Web of Science</v>
      </c>
      <c r="BU572" t="s">
        <v>6100</v>
      </c>
      <c r="BV572" s="1" t="s">
        <v>6080</v>
      </c>
      <c r="BW572" s="1" t="s">
        <v>6080</v>
      </c>
    </row>
    <row r="573" spans="1:75" x14ac:dyDescent="0.35">
      <c r="A573" t="s">
        <v>72</v>
      </c>
      <c r="B573" t="s">
        <v>9478</v>
      </c>
      <c r="C573" t="s">
        <v>74</v>
      </c>
      <c r="D573" t="s">
        <v>74</v>
      </c>
      <c r="E573" t="s">
        <v>74</v>
      </c>
      <c r="F573" t="s">
        <v>9479</v>
      </c>
      <c r="G573" t="s">
        <v>74</v>
      </c>
      <c r="H573" t="s">
        <v>74</v>
      </c>
      <c r="I573" t="s">
        <v>9480</v>
      </c>
      <c r="J573" t="s">
        <v>6281</v>
      </c>
      <c r="K573" t="s">
        <v>74</v>
      </c>
      <c r="L573" t="s">
        <v>74</v>
      </c>
      <c r="M573" t="s">
        <v>78</v>
      </c>
      <c r="N573" t="s">
        <v>79</v>
      </c>
      <c r="O573" t="s">
        <v>74</v>
      </c>
      <c r="P573" t="s">
        <v>74</v>
      </c>
      <c r="Q573" t="s">
        <v>74</v>
      </c>
      <c r="R573" t="s">
        <v>74</v>
      </c>
      <c r="S573" t="s">
        <v>74</v>
      </c>
      <c r="T573" t="s">
        <v>9481</v>
      </c>
      <c r="U573" t="s">
        <v>9482</v>
      </c>
      <c r="V573" t="s">
        <v>9483</v>
      </c>
      <c r="W573" t="s">
        <v>9484</v>
      </c>
      <c r="X573" t="s">
        <v>9485</v>
      </c>
      <c r="Y573" t="s">
        <v>9486</v>
      </c>
      <c r="Z573" t="s">
        <v>9487</v>
      </c>
      <c r="AA573" t="s">
        <v>9488</v>
      </c>
      <c r="AB573" t="s">
        <v>9489</v>
      </c>
      <c r="AC573" t="s">
        <v>74</v>
      </c>
      <c r="AD573" t="s">
        <v>74</v>
      </c>
      <c r="AE573" t="s">
        <v>74</v>
      </c>
      <c r="AF573" t="s">
        <v>74</v>
      </c>
      <c r="AG573">
        <v>88</v>
      </c>
      <c r="AH573">
        <v>14</v>
      </c>
      <c r="AI573">
        <v>14</v>
      </c>
      <c r="AJ573">
        <v>10</v>
      </c>
      <c r="AK573">
        <v>56</v>
      </c>
      <c r="AL573" t="s">
        <v>652</v>
      </c>
      <c r="AM573" t="s">
        <v>653</v>
      </c>
      <c r="AN573" t="s">
        <v>654</v>
      </c>
      <c r="AO573" t="s">
        <v>6294</v>
      </c>
      <c r="AP573" t="s">
        <v>6295</v>
      </c>
      <c r="AQ573" t="s">
        <v>74</v>
      </c>
      <c r="AR573" t="s">
        <v>6296</v>
      </c>
      <c r="AS573" t="s">
        <v>6297</v>
      </c>
      <c r="AT573" t="s">
        <v>517</v>
      </c>
      <c r="AU573">
        <v>2021</v>
      </c>
      <c r="AV573">
        <v>62</v>
      </c>
      <c r="AW573" t="s">
        <v>74</v>
      </c>
      <c r="AX573" t="s">
        <v>74</v>
      </c>
      <c r="AY573" t="s">
        <v>74</v>
      </c>
      <c r="AZ573" t="s">
        <v>74</v>
      </c>
      <c r="BA573" t="s">
        <v>74</v>
      </c>
      <c r="BB573" t="s">
        <v>74</v>
      </c>
      <c r="BC573" t="s">
        <v>74</v>
      </c>
      <c r="BD573">
        <v>102630</v>
      </c>
      <c r="BE573" t="s">
        <v>9490</v>
      </c>
      <c r="BF573" t="str">
        <f>HYPERLINK("http://dx.doi.org/10.1016/j.jretconser.2021.102630","http://dx.doi.org/10.1016/j.jretconser.2021.102630")</f>
        <v>http://dx.doi.org/10.1016/j.jretconser.2021.102630</v>
      </c>
      <c r="BG573" t="s">
        <v>74</v>
      </c>
      <c r="BH573" t="s">
        <v>6216</v>
      </c>
      <c r="BI573">
        <v>18</v>
      </c>
      <c r="BJ573" t="s">
        <v>153</v>
      </c>
      <c r="BK573" t="s">
        <v>101</v>
      </c>
      <c r="BL573" t="s">
        <v>154</v>
      </c>
      <c r="BM573" t="s">
        <v>9491</v>
      </c>
      <c r="BN573" t="s">
        <v>74</v>
      </c>
      <c r="BO573" t="s">
        <v>74</v>
      </c>
      <c r="BP573" t="s">
        <v>74</v>
      </c>
      <c r="BQ573" t="s">
        <v>74</v>
      </c>
      <c r="BR573" t="s">
        <v>6098</v>
      </c>
      <c r="BS573" t="s">
        <v>9492</v>
      </c>
      <c r="BT573" t="str">
        <f>HYPERLINK("https%3A%2F%2Fwww.webofscience.com%2Fwos%2Fwoscc%2Ffull-record%2FWOS:000683469300007","View Full Record in Web of Science")</f>
        <v>View Full Record in Web of Science</v>
      </c>
      <c r="BU573" t="s">
        <v>6100</v>
      </c>
      <c r="BV573" s="1" t="s">
        <v>6080</v>
      </c>
      <c r="BW573" s="1" t="s">
        <v>6080</v>
      </c>
    </row>
    <row r="574" spans="1:75" x14ac:dyDescent="0.35">
      <c r="A574" t="s">
        <v>72</v>
      </c>
      <c r="B574" t="s">
        <v>7758</v>
      </c>
      <c r="C574" t="s">
        <v>74</v>
      </c>
      <c r="D574" t="s">
        <v>74</v>
      </c>
      <c r="E574" t="s">
        <v>74</v>
      </c>
      <c r="F574" t="s">
        <v>7759</v>
      </c>
      <c r="G574" t="s">
        <v>74</v>
      </c>
      <c r="H574" t="s">
        <v>74</v>
      </c>
      <c r="I574" t="s">
        <v>9784</v>
      </c>
      <c r="J574" t="s">
        <v>5066</v>
      </c>
      <c r="K574" t="s">
        <v>74</v>
      </c>
      <c r="L574" t="s">
        <v>74</v>
      </c>
      <c r="M574" t="s">
        <v>78</v>
      </c>
      <c r="N574" t="s">
        <v>79</v>
      </c>
      <c r="O574" t="s">
        <v>74</v>
      </c>
      <c r="P574" t="s">
        <v>74</v>
      </c>
      <c r="Q574" t="s">
        <v>74</v>
      </c>
      <c r="R574" t="s">
        <v>74</v>
      </c>
      <c r="S574" t="s">
        <v>74</v>
      </c>
      <c r="T574" t="s">
        <v>9785</v>
      </c>
      <c r="U574" t="s">
        <v>9786</v>
      </c>
      <c r="V574" t="s">
        <v>9787</v>
      </c>
      <c r="W574" t="s">
        <v>9788</v>
      </c>
      <c r="X574" t="s">
        <v>9789</v>
      </c>
      <c r="Y574" t="s">
        <v>9790</v>
      </c>
      <c r="Z574" t="s">
        <v>9791</v>
      </c>
      <c r="AA574" t="s">
        <v>74</v>
      </c>
      <c r="AB574" t="s">
        <v>74</v>
      </c>
      <c r="AC574" t="s">
        <v>74</v>
      </c>
      <c r="AD574" t="s">
        <v>74</v>
      </c>
      <c r="AE574" t="s">
        <v>74</v>
      </c>
      <c r="AF574" t="s">
        <v>74</v>
      </c>
      <c r="AG574">
        <v>124</v>
      </c>
      <c r="AH574">
        <v>7</v>
      </c>
      <c r="AI574">
        <v>7</v>
      </c>
      <c r="AJ574">
        <v>24</v>
      </c>
      <c r="AK574">
        <v>78</v>
      </c>
      <c r="AL574" t="s">
        <v>1982</v>
      </c>
      <c r="AM574" t="s">
        <v>1983</v>
      </c>
      <c r="AN574" t="s">
        <v>2573</v>
      </c>
      <c r="AO574" t="s">
        <v>5076</v>
      </c>
      <c r="AP574" t="s">
        <v>5077</v>
      </c>
      <c r="AQ574" t="s">
        <v>74</v>
      </c>
      <c r="AR574" t="s">
        <v>5078</v>
      </c>
      <c r="AS574" t="s">
        <v>5079</v>
      </c>
      <c r="AT574" t="s">
        <v>9792</v>
      </c>
      <c r="AU574">
        <v>2021</v>
      </c>
      <c r="AV574">
        <v>55</v>
      </c>
      <c r="AW574">
        <v>11</v>
      </c>
      <c r="AX574" t="s">
        <v>74</v>
      </c>
      <c r="AY574" t="s">
        <v>74</v>
      </c>
      <c r="AZ574" t="s">
        <v>74</v>
      </c>
      <c r="BA574" t="s">
        <v>74</v>
      </c>
      <c r="BB574">
        <v>2825</v>
      </c>
      <c r="BC574">
        <v>2870</v>
      </c>
      <c r="BD574" t="s">
        <v>74</v>
      </c>
      <c r="BE574" t="s">
        <v>9793</v>
      </c>
      <c r="BF574" t="str">
        <f>HYPERLINK("http://dx.doi.org/10.1108/EJM-10-2019-0820","http://dx.doi.org/10.1108/EJM-10-2019-0820")</f>
        <v>http://dx.doi.org/10.1108/EJM-10-2019-0820</v>
      </c>
      <c r="BG574" t="s">
        <v>74</v>
      </c>
      <c r="BH574" t="s">
        <v>6216</v>
      </c>
      <c r="BI574">
        <v>46</v>
      </c>
      <c r="BJ574" t="s">
        <v>153</v>
      </c>
      <c r="BK574" t="s">
        <v>101</v>
      </c>
      <c r="BL574" t="s">
        <v>154</v>
      </c>
      <c r="BM574" t="s">
        <v>9794</v>
      </c>
      <c r="BN574" t="s">
        <v>74</v>
      </c>
      <c r="BO574" t="s">
        <v>74</v>
      </c>
      <c r="BP574" t="s">
        <v>74</v>
      </c>
      <c r="BQ574" t="s">
        <v>74</v>
      </c>
      <c r="BR574" t="s">
        <v>6098</v>
      </c>
      <c r="BS574" t="s">
        <v>9795</v>
      </c>
      <c r="BT574" t="str">
        <f>HYPERLINK("https%3A%2F%2Fwww.webofscience.com%2Fwos%2Fwoscc%2Ffull-record%2FWOS:000664132100001","View Full Record in Web of Science")</f>
        <v>View Full Record in Web of Science</v>
      </c>
      <c r="BU574" t="s">
        <v>6100</v>
      </c>
      <c r="BV574" s="1" t="s">
        <v>6080</v>
      </c>
      <c r="BW574" s="1" t="s">
        <v>6080</v>
      </c>
    </row>
    <row r="575" spans="1:75" x14ac:dyDescent="0.35">
      <c r="A575" t="s">
        <v>72</v>
      </c>
      <c r="B575" t="s">
        <v>9826</v>
      </c>
      <c r="C575" t="s">
        <v>74</v>
      </c>
      <c r="D575" t="s">
        <v>74</v>
      </c>
      <c r="E575" t="s">
        <v>74</v>
      </c>
      <c r="F575" t="s">
        <v>9827</v>
      </c>
      <c r="G575" t="s">
        <v>74</v>
      </c>
      <c r="H575" t="s">
        <v>74</v>
      </c>
      <c r="I575" t="s">
        <v>9828</v>
      </c>
      <c r="J575" t="s">
        <v>9135</v>
      </c>
      <c r="K575" t="s">
        <v>74</v>
      </c>
      <c r="L575" t="s">
        <v>74</v>
      </c>
      <c r="M575" t="s">
        <v>78</v>
      </c>
      <c r="N575" t="s">
        <v>79</v>
      </c>
      <c r="O575" t="s">
        <v>74</v>
      </c>
      <c r="P575" t="s">
        <v>74</v>
      </c>
      <c r="Q575" t="s">
        <v>74</v>
      </c>
      <c r="R575" t="s">
        <v>74</v>
      </c>
      <c r="S575" t="s">
        <v>74</v>
      </c>
      <c r="T575" t="s">
        <v>9829</v>
      </c>
      <c r="U575" t="s">
        <v>9830</v>
      </c>
      <c r="V575" t="s">
        <v>9831</v>
      </c>
      <c r="W575" t="s">
        <v>9832</v>
      </c>
      <c r="X575" t="s">
        <v>9833</v>
      </c>
      <c r="Y575" t="s">
        <v>9834</v>
      </c>
      <c r="Z575" t="s">
        <v>9835</v>
      </c>
      <c r="AA575" t="s">
        <v>9836</v>
      </c>
      <c r="AB575" t="s">
        <v>9837</v>
      </c>
      <c r="AC575" t="s">
        <v>74</v>
      </c>
      <c r="AD575" t="s">
        <v>74</v>
      </c>
      <c r="AE575" t="s">
        <v>74</v>
      </c>
      <c r="AF575" t="s">
        <v>74</v>
      </c>
      <c r="AG575">
        <v>46</v>
      </c>
      <c r="AH575">
        <v>3</v>
      </c>
      <c r="AI575">
        <v>3</v>
      </c>
      <c r="AJ575">
        <v>4</v>
      </c>
      <c r="AK575">
        <v>13</v>
      </c>
      <c r="AL575" t="s">
        <v>324</v>
      </c>
      <c r="AM575" t="s">
        <v>325</v>
      </c>
      <c r="AN575" t="s">
        <v>2004</v>
      </c>
      <c r="AO575" t="s">
        <v>9145</v>
      </c>
      <c r="AP575" t="s">
        <v>9146</v>
      </c>
      <c r="AQ575" t="s">
        <v>74</v>
      </c>
      <c r="AR575" t="s">
        <v>9147</v>
      </c>
      <c r="AS575" t="s">
        <v>9148</v>
      </c>
      <c r="AT575" t="s">
        <v>348</v>
      </c>
      <c r="AU575">
        <v>2021</v>
      </c>
      <c r="AV575">
        <v>97</v>
      </c>
      <c r="AW575">
        <v>4</v>
      </c>
      <c r="AX575" t="s">
        <v>74</v>
      </c>
      <c r="AY575" t="s">
        <v>74</v>
      </c>
      <c r="AZ575" t="s">
        <v>74</v>
      </c>
      <c r="BA575" t="s">
        <v>74</v>
      </c>
      <c r="BB575">
        <v>582</v>
      </c>
      <c r="BC575">
        <v>596</v>
      </c>
      <c r="BD575" t="s">
        <v>74</v>
      </c>
      <c r="BE575" t="s">
        <v>9838</v>
      </c>
      <c r="BF575" t="str">
        <f>HYPERLINK("http://dx.doi.org/10.1016/j.jretai.2021.01.001","http://dx.doi.org/10.1016/j.jretai.2021.01.001")</f>
        <v>http://dx.doi.org/10.1016/j.jretai.2021.01.001</v>
      </c>
      <c r="BG575" t="s">
        <v>74</v>
      </c>
      <c r="BH575" t="s">
        <v>4552</v>
      </c>
      <c r="BI575">
        <v>15</v>
      </c>
      <c r="BJ575" t="s">
        <v>153</v>
      </c>
      <c r="BK575" t="s">
        <v>101</v>
      </c>
      <c r="BL575" t="s">
        <v>154</v>
      </c>
      <c r="BM575" t="s">
        <v>9839</v>
      </c>
      <c r="BN575" t="s">
        <v>74</v>
      </c>
      <c r="BO575" t="s">
        <v>4416</v>
      </c>
      <c r="BP575" t="s">
        <v>74</v>
      </c>
      <c r="BQ575" t="s">
        <v>74</v>
      </c>
      <c r="BR575" t="s">
        <v>6098</v>
      </c>
      <c r="BS575" t="s">
        <v>9840</v>
      </c>
      <c r="BT575" t="str">
        <f>HYPERLINK("https%3A%2F%2Fwww.webofscience.com%2Fwos%2Fwoscc%2Ffull-record%2FWOS:000732946500006","View Full Record in Web of Science")</f>
        <v>View Full Record in Web of Science</v>
      </c>
      <c r="BU575" t="s">
        <v>6100</v>
      </c>
      <c r="BV575" s="1" t="s">
        <v>10653</v>
      </c>
    </row>
    <row r="576" spans="1:75" x14ac:dyDescent="0.35">
      <c r="A576" t="s">
        <v>72</v>
      </c>
      <c r="B576" t="s">
        <v>9841</v>
      </c>
      <c r="C576" t="s">
        <v>74</v>
      </c>
      <c r="D576" t="s">
        <v>74</v>
      </c>
      <c r="E576" t="s">
        <v>74</v>
      </c>
      <c r="F576" t="s">
        <v>9842</v>
      </c>
      <c r="G576" t="s">
        <v>74</v>
      </c>
      <c r="H576" t="s">
        <v>74</v>
      </c>
      <c r="I576" t="s">
        <v>9843</v>
      </c>
      <c r="J576" t="s">
        <v>9287</v>
      </c>
      <c r="K576" t="s">
        <v>74</v>
      </c>
      <c r="L576" t="s">
        <v>74</v>
      </c>
      <c r="M576" t="s">
        <v>78</v>
      </c>
      <c r="N576" t="s">
        <v>79</v>
      </c>
      <c r="O576" t="s">
        <v>74</v>
      </c>
      <c r="P576" t="s">
        <v>74</v>
      </c>
      <c r="Q576" t="s">
        <v>74</v>
      </c>
      <c r="R576" t="s">
        <v>74</v>
      </c>
      <c r="S576" t="s">
        <v>74</v>
      </c>
      <c r="T576" t="s">
        <v>9844</v>
      </c>
      <c r="U576" t="s">
        <v>9845</v>
      </c>
      <c r="V576" t="s">
        <v>9846</v>
      </c>
      <c r="W576" t="s">
        <v>9847</v>
      </c>
      <c r="X576" t="s">
        <v>9848</v>
      </c>
      <c r="Y576" t="s">
        <v>9849</v>
      </c>
      <c r="Z576" t="s">
        <v>9850</v>
      </c>
      <c r="AA576" t="s">
        <v>9851</v>
      </c>
      <c r="AB576" t="s">
        <v>9852</v>
      </c>
      <c r="AC576" t="s">
        <v>74</v>
      </c>
      <c r="AD576" t="s">
        <v>74</v>
      </c>
      <c r="AE576" t="s">
        <v>74</v>
      </c>
      <c r="AF576" t="s">
        <v>74</v>
      </c>
      <c r="AG576">
        <v>120</v>
      </c>
      <c r="AH576">
        <v>8</v>
      </c>
      <c r="AI576">
        <v>8</v>
      </c>
      <c r="AJ576">
        <v>7</v>
      </c>
      <c r="AK576">
        <v>45</v>
      </c>
      <c r="AL576" t="s">
        <v>1886</v>
      </c>
      <c r="AM576" t="s">
        <v>121</v>
      </c>
      <c r="AN576" t="s">
        <v>1887</v>
      </c>
      <c r="AO576" t="s">
        <v>9295</v>
      </c>
      <c r="AP576" t="s">
        <v>9296</v>
      </c>
      <c r="AQ576" t="s">
        <v>74</v>
      </c>
      <c r="AR576" t="s">
        <v>9297</v>
      </c>
      <c r="AS576" t="s">
        <v>9298</v>
      </c>
      <c r="AT576" t="s">
        <v>281</v>
      </c>
      <c r="AU576">
        <v>2021</v>
      </c>
      <c r="AV576">
        <v>27</v>
      </c>
      <c r="AW576">
        <v>4</v>
      </c>
      <c r="AX576" t="s">
        <v>74</v>
      </c>
      <c r="AY576" t="s">
        <v>74</v>
      </c>
      <c r="AZ576" t="s">
        <v>74</v>
      </c>
      <c r="BA576" t="s">
        <v>74</v>
      </c>
      <c r="BB576">
        <v>400</v>
      </c>
      <c r="BC576">
        <v>419</v>
      </c>
      <c r="BD576">
        <v>1.3567667211003246E+16</v>
      </c>
      <c r="BE576" t="s">
        <v>9853</v>
      </c>
      <c r="BF576" t="str">
        <f>HYPERLINK("http://dx.doi.org/10.1177/13567667211003246","http://dx.doi.org/10.1177/13567667211003246")</f>
        <v>http://dx.doi.org/10.1177/13567667211003246</v>
      </c>
      <c r="BG576" t="s">
        <v>74</v>
      </c>
      <c r="BH576" t="s">
        <v>4777</v>
      </c>
      <c r="BI576">
        <v>20</v>
      </c>
      <c r="BJ576" t="s">
        <v>9301</v>
      </c>
      <c r="BK576" t="s">
        <v>101</v>
      </c>
      <c r="BL576" t="s">
        <v>7215</v>
      </c>
      <c r="BM576" t="s">
        <v>9854</v>
      </c>
      <c r="BN576" t="s">
        <v>74</v>
      </c>
      <c r="BO576" t="s">
        <v>74</v>
      </c>
      <c r="BP576" t="s">
        <v>74</v>
      </c>
      <c r="BQ576" t="s">
        <v>74</v>
      </c>
      <c r="BR576" t="s">
        <v>6098</v>
      </c>
      <c r="BS576" t="s">
        <v>9855</v>
      </c>
      <c r="BT576" t="str">
        <f>HYPERLINK("https%3A%2F%2Fwww.webofscience.com%2Fwos%2Fwoscc%2Ffull-record%2FWOS:000638759000001","View Full Record in Web of Science")</f>
        <v>View Full Record in Web of Science</v>
      </c>
      <c r="BU576" t="s">
        <v>6100</v>
      </c>
      <c r="BV576" s="1" t="s">
        <v>6080</v>
      </c>
      <c r="BW576" s="1" t="s">
        <v>6080</v>
      </c>
    </row>
    <row r="577" spans="1:75" x14ac:dyDescent="0.35">
      <c r="A577" t="s">
        <v>72</v>
      </c>
      <c r="B577" t="s">
        <v>10002</v>
      </c>
      <c r="C577" t="s">
        <v>74</v>
      </c>
      <c r="D577" t="s">
        <v>74</v>
      </c>
      <c r="E577" t="s">
        <v>74</v>
      </c>
      <c r="F577" t="s">
        <v>10003</v>
      </c>
      <c r="G577" t="s">
        <v>74</v>
      </c>
      <c r="H577" t="s">
        <v>74</v>
      </c>
      <c r="I577" t="s">
        <v>10004</v>
      </c>
      <c r="J577" t="s">
        <v>10005</v>
      </c>
      <c r="K577" t="s">
        <v>74</v>
      </c>
      <c r="L577" t="s">
        <v>74</v>
      </c>
      <c r="M577" t="s">
        <v>78</v>
      </c>
      <c r="N577" t="s">
        <v>79</v>
      </c>
      <c r="O577" t="s">
        <v>74</v>
      </c>
      <c r="P577" t="s">
        <v>74</v>
      </c>
      <c r="Q577" t="s">
        <v>74</v>
      </c>
      <c r="R577" t="s">
        <v>74</v>
      </c>
      <c r="S577" t="s">
        <v>74</v>
      </c>
      <c r="T577" t="s">
        <v>10006</v>
      </c>
      <c r="U577" t="s">
        <v>10007</v>
      </c>
      <c r="V577" t="s">
        <v>10008</v>
      </c>
      <c r="W577" t="s">
        <v>10009</v>
      </c>
      <c r="X577" t="s">
        <v>10010</v>
      </c>
      <c r="Y577" t="s">
        <v>10011</v>
      </c>
      <c r="Z577" t="s">
        <v>74</v>
      </c>
      <c r="AA577" t="s">
        <v>74</v>
      </c>
      <c r="AB577" t="s">
        <v>10012</v>
      </c>
      <c r="AC577" t="s">
        <v>74</v>
      </c>
      <c r="AD577" t="s">
        <v>74</v>
      </c>
      <c r="AE577" t="s">
        <v>74</v>
      </c>
      <c r="AF577" t="s">
        <v>74</v>
      </c>
      <c r="AG577">
        <v>92</v>
      </c>
      <c r="AH577">
        <v>2</v>
      </c>
      <c r="AI577">
        <v>2</v>
      </c>
      <c r="AJ577">
        <v>0</v>
      </c>
      <c r="AK577">
        <v>0</v>
      </c>
      <c r="AL577" t="s">
        <v>10013</v>
      </c>
      <c r="AM577" t="s">
        <v>10014</v>
      </c>
      <c r="AN577" t="s">
        <v>10015</v>
      </c>
      <c r="AO577" t="s">
        <v>10016</v>
      </c>
      <c r="AP577" t="s">
        <v>10017</v>
      </c>
      <c r="AQ577" t="s">
        <v>74</v>
      </c>
      <c r="AR577" t="s">
        <v>10018</v>
      </c>
      <c r="AS577" t="s">
        <v>10019</v>
      </c>
      <c r="AT577" t="s">
        <v>74</v>
      </c>
      <c r="AU577">
        <v>2021</v>
      </c>
      <c r="AV577">
        <v>17</v>
      </c>
      <c r="AW577">
        <v>3</v>
      </c>
      <c r="AX577" t="s">
        <v>74</v>
      </c>
      <c r="AY577" t="s">
        <v>74</v>
      </c>
      <c r="AZ577" t="s">
        <v>74</v>
      </c>
      <c r="BA577" t="s">
        <v>74</v>
      </c>
      <c r="BB577">
        <v>144</v>
      </c>
      <c r="BC577">
        <v>156</v>
      </c>
      <c r="BD577" t="s">
        <v>74</v>
      </c>
      <c r="BE577" t="s">
        <v>10020</v>
      </c>
      <c r="BF577" t="str">
        <f>HYPERLINK("http://dx.doi.org/10.21511/im.17(3).2021.12","http://dx.doi.org/10.21511/im.17(3).2021.12")</f>
        <v>http://dx.doi.org/10.21511/im.17(3).2021.12</v>
      </c>
      <c r="BG577" t="s">
        <v>74</v>
      </c>
      <c r="BH577" t="s">
        <v>74</v>
      </c>
      <c r="BI577">
        <v>13</v>
      </c>
      <c r="BJ577" t="s">
        <v>153</v>
      </c>
      <c r="BK577" t="s">
        <v>3880</v>
      </c>
      <c r="BL577" t="s">
        <v>154</v>
      </c>
      <c r="BM577" t="s">
        <v>10021</v>
      </c>
      <c r="BN577" t="s">
        <v>74</v>
      </c>
      <c r="BO577" t="s">
        <v>4746</v>
      </c>
      <c r="BP577" t="s">
        <v>74</v>
      </c>
      <c r="BQ577" t="s">
        <v>74</v>
      </c>
      <c r="BR577" t="s">
        <v>6098</v>
      </c>
      <c r="BS577" t="s">
        <v>10022</v>
      </c>
      <c r="BT577" t="str">
        <f>HYPERLINK("https%3A%2F%2Fwww.webofscience.com%2Fwos%2Fwoscc%2Ffull-record%2FWOS:000858577600012","View Full Record in Web of Science")</f>
        <v>View Full Record in Web of Science</v>
      </c>
      <c r="BU577" t="s">
        <v>6100</v>
      </c>
      <c r="BV577" s="1" t="s">
        <v>6080</v>
      </c>
      <c r="BW577" s="1" t="s">
        <v>6080</v>
      </c>
    </row>
    <row r="578" spans="1:75" x14ac:dyDescent="0.35">
      <c r="A578" t="s">
        <v>72</v>
      </c>
      <c r="B578" t="s">
        <v>8857</v>
      </c>
      <c r="C578" t="s">
        <v>74</v>
      </c>
      <c r="D578" t="s">
        <v>74</v>
      </c>
      <c r="E578" t="s">
        <v>74</v>
      </c>
      <c r="F578" t="s">
        <v>8858</v>
      </c>
      <c r="G578" t="s">
        <v>74</v>
      </c>
      <c r="H578" t="s">
        <v>74</v>
      </c>
      <c r="I578" t="s">
        <v>8859</v>
      </c>
      <c r="J578" t="s">
        <v>5066</v>
      </c>
      <c r="K578" t="s">
        <v>74</v>
      </c>
      <c r="L578" t="s">
        <v>74</v>
      </c>
      <c r="M578" t="s">
        <v>78</v>
      </c>
      <c r="N578" t="s">
        <v>79</v>
      </c>
      <c r="O578" t="s">
        <v>74</v>
      </c>
      <c r="P578" t="s">
        <v>74</v>
      </c>
      <c r="Q578" t="s">
        <v>74</v>
      </c>
      <c r="R578" t="s">
        <v>74</v>
      </c>
      <c r="S578" t="s">
        <v>74</v>
      </c>
      <c r="T578" t="s">
        <v>8860</v>
      </c>
      <c r="U578" t="s">
        <v>8861</v>
      </c>
      <c r="V578" t="s">
        <v>8862</v>
      </c>
      <c r="W578" t="s">
        <v>8863</v>
      </c>
      <c r="X578" t="s">
        <v>8864</v>
      </c>
      <c r="Y578" t="s">
        <v>8865</v>
      </c>
      <c r="Z578" t="s">
        <v>8866</v>
      </c>
      <c r="AA578" t="s">
        <v>8867</v>
      </c>
      <c r="AB578" t="s">
        <v>8868</v>
      </c>
      <c r="AC578" t="s">
        <v>8869</v>
      </c>
      <c r="AD578" t="s">
        <v>8870</v>
      </c>
      <c r="AE578" t="s">
        <v>8871</v>
      </c>
      <c r="AF578" t="s">
        <v>74</v>
      </c>
      <c r="AG578">
        <v>120</v>
      </c>
      <c r="AH578">
        <v>6</v>
      </c>
      <c r="AI578">
        <v>6</v>
      </c>
      <c r="AJ578">
        <v>14</v>
      </c>
      <c r="AK578">
        <v>76</v>
      </c>
      <c r="AL578" t="s">
        <v>1982</v>
      </c>
      <c r="AM578" t="s">
        <v>1983</v>
      </c>
      <c r="AN578" t="s">
        <v>2573</v>
      </c>
      <c r="AO578" t="s">
        <v>5076</v>
      </c>
      <c r="AP578" t="s">
        <v>5077</v>
      </c>
      <c r="AQ578" t="s">
        <v>74</v>
      </c>
      <c r="AR578" t="s">
        <v>5078</v>
      </c>
      <c r="AS578" t="s">
        <v>5079</v>
      </c>
      <c r="AT578" t="s">
        <v>74</v>
      </c>
      <c r="AU578">
        <v>2021</v>
      </c>
      <c r="AV578">
        <v>55</v>
      </c>
      <c r="AW578">
        <v>8</v>
      </c>
      <c r="AX578" t="s">
        <v>74</v>
      </c>
      <c r="AY578" t="s">
        <v>74</v>
      </c>
      <c r="AZ578" t="s">
        <v>74</v>
      </c>
      <c r="BA578" t="s">
        <v>74</v>
      </c>
      <c r="BB578">
        <v>2269</v>
      </c>
      <c r="BC578">
        <v>2307</v>
      </c>
      <c r="BD578" t="s">
        <v>74</v>
      </c>
      <c r="BE578" t="s">
        <v>8872</v>
      </c>
      <c r="BF578" t="str">
        <f>HYPERLINK("http://dx.doi.org/10.1108/EJM-02-2019-0179","http://dx.doi.org/10.1108/EJM-02-2019-0179")</f>
        <v>http://dx.doi.org/10.1108/EJM-02-2019-0179</v>
      </c>
      <c r="BG578" t="s">
        <v>74</v>
      </c>
      <c r="BH578" t="s">
        <v>6408</v>
      </c>
      <c r="BI578">
        <v>39</v>
      </c>
      <c r="BJ578" t="s">
        <v>153</v>
      </c>
      <c r="BK578" t="s">
        <v>101</v>
      </c>
      <c r="BL578" t="s">
        <v>154</v>
      </c>
      <c r="BM578" t="s">
        <v>8873</v>
      </c>
      <c r="BN578" t="s">
        <v>74</v>
      </c>
      <c r="BO578" t="s">
        <v>828</v>
      </c>
      <c r="BP578" t="s">
        <v>74</v>
      </c>
      <c r="BQ578" t="s">
        <v>74</v>
      </c>
      <c r="BR578" t="s">
        <v>6098</v>
      </c>
      <c r="BS578" t="s">
        <v>8874</v>
      </c>
      <c r="BT578" t="str">
        <f>HYPERLINK("https%3A%2F%2Fwww.webofscience.com%2Fwos%2Fwoscc%2Ffull-record%2FWOS:000655194200001","View Full Record in Web of Science")</f>
        <v>View Full Record in Web of Science</v>
      </c>
      <c r="BU578" t="s">
        <v>6100</v>
      </c>
      <c r="BV578" s="1" t="s">
        <v>6080</v>
      </c>
      <c r="BW578" s="1" t="s">
        <v>10653</v>
      </c>
    </row>
    <row r="579" spans="1:75" x14ac:dyDescent="0.35">
      <c r="A579" t="s">
        <v>1967</v>
      </c>
      <c r="B579" t="s">
        <v>10023</v>
      </c>
      <c r="C579" t="s">
        <v>74</v>
      </c>
      <c r="D579" t="s">
        <v>10024</v>
      </c>
      <c r="E579" t="s">
        <v>74</v>
      </c>
      <c r="F579" t="s">
        <v>10025</v>
      </c>
      <c r="G579" t="s">
        <v>74</v>
      </c>
      <c r="H579" t="s">
        <v>74</v>
      </c>
      <c r="I579" t="s">
        <v>10026</v>
      </c>
      <c r="J579" t="s">
        <v>10027</v>
      </c>
      <c r="K579" t="s">
        <v>10028</v>
      </c>
      <c r="L579" t="s">
        <v>74</v>
      </c>
      <c r="M579" t="s">
        <v>78</v>
      </c>
      <c r="N579" t="s">
        <v>3379</v>
      </c>
      <c r="O579" t="s">
        <v>74</v>
      </c>
      <c r="P579" t="s">
        <v>74</v>
      </c>
      <c r="Q579" t="s">
        <v>74</v>
      </c>
      <c r="R579" t="s">
        <v>74</v>
      </c>
      <c r="S579" t="s">
        <v>74</v>
      </c>
      <c r="T579" t="s">
        <v>10029</v>
      </c>
      <c r="U579" t="s">
        <v>10030</v>
      </c>
      <c r="V579" t="s">
        <v>10031</v>
      </c>
      <c r="W579" t="s">
        <v>10032</v>
      </c>
      <c r="X579" t="s">
        <v>10033</v>
      </c>
      <c r="Y579" t="s">
        <v>10034</v>
      </c>
      <c r="Z579" t="s">
        <v>74</v>
      </c>
      <c r="AA579" t="s">
        <v>74</v>
      </c>
      <c r="AB579" t="s">
        <v>74</v>
      </c>
      <c r="AC579" t="s">
        <v>74</v>
      </c>
      <c r="AD579" t="s">
        <v>74</v>
      </c>
      <c r="AE579" t="s">
        <v>74</v>
      </c>
      <c r="AF579" t="s">
        <v>74</v>
      </c>
      <c r="AG579">
        <v>59</v>
      </c>
      <c r="AH579">
        <v>1</v>
      </c>
      <c r="AI579">
        <v>1</v>
      </c>
      <c r="AJ579">
        <v>1</v>
      </c>
      <c r="AK579">
        <v>1</v>
      </c>
      <c r="AL579" t="s">
        <v>1982</v>
      </c>
      <c r="AM579" t="s">
        <v>1983</v>
      </c>
      <c r="AN579" t="s">
        <v>1984</v>
      </c>
      <c r="AO579" t="s">
        <v>10035</v>
      </c>
      <c r="AP579" t="s">
        <v>74</v>
      </c>
      <c r="AQ579" t="s">
        <v>10036</v>
      </c>
      <c r="AR579" t="s">
        <v>10037</v>
      </c>
      <c r="AS579" t="s">
        <v>74</v>
      </c>
      <c r="AT579" t="s">
        <v>74</v>
      </c>
      <c r="AU579">
        <v>2021</v>
      </c>
      <c r="AV579">
        <v>14</v>
      </c>
      <c r="AW579" t="s">
        <v>74</v>
      </c>
      <c r="AX579" t="s">
        <v>74</v>
      </c>
      <c r="AY579" t="s">
        <v>74</v>
      </c>
      <c r="AZ579" t="s">
        <v>74</v>
      </c>
      <c r="BA579" t="s">
        <v>74</v>
      </c>
      <c r="BB579">
        <v>205</v>
      </c>
      <c r="BC579">
        <v>220</v>
      </c>
      <c r="BD579" t="s">
        <v>74</v>
      </c>
      <c r="BE579" t="s">
        <v>10038</v>
      </c>
      <c r="BF579" t="str">
        <f>HYPERLINK("http://dx.doi.org/10.1108/S2043-905920210000015012","http://dx.doi.org/10.1108/S2043-905920210000015012")</f>
        <v>http://dx.doi.org/10.1108/S2043-905920210000015012</v>
      </c>
      <c r="BG579" t="s">
        <v>74</v>
      </c>
      <c r="BH579" t="s">
        <v>74</v>
      </c>
      <c r="BI579">
        <v>16</v>
      </c>
      <c r="BJ579" t="s">
        <v>10039</v>
      </c>
      <c r="BK579" t="s">
        <v>1989</v>
      </c>
      <c r="BL579" t="s">
        <v>10040</v>
      </c>
      <c r="BM579" t="s">
        <v>10041</v>
      </c>
      <c r="BN579" t="s">
        <v>74</v>
      </c>
      <c r="BO579" t="s">
        <v>74</v>
      </c>
      <c r="BP579" t="s">
        <v>74</v>
      </c>
      <c r="BQ579" t="s">
        <v>74</v>
      </c>
      <c r="BR579" t="s">
        <v>6098</v>
      </c>
      <c r="BS579" t="s">
        <v>10042</v>
      </c>
      <c r="BT579" t="str">
        <f>HYPERLINK("https%3A%2F%2Fwww.webofscience.com%2Fwos%2Fwoscc%2Ffull-record%2FWOS:000871662100012","View Full Record in Web of Science")</f>
        <v>View Full Record in Web of Science</v>
      </c>
      <c r="BU579" t="s">
        <v>6100</v>
      </c>
      <c r="BV579" s="1" t="s">
        <v>10653</v>
      </c>
    </row>
    <row r="580" spans="1:75" x14ac:dyDescent="0.35">
      <c r="A580" t="s">
        <v>72</v>
      </c>
      <c r="B580" t="s">
        <v>10174</v>
      </c>
      <c r="C580" t="s">
        <v>74</v>
      </c>
      <c r="D580" t="s">
        <v>74</v>
      </c>
      <c r="E580" t="s">
        <v>74</v>
      </c>
      <c r="F580" t="s">
        <v>10175</v>
      </c>
      <c r="G580" t="s">
        <v>74</v>
      </c>
      <c r="H580" t="s">
        <v>74</v>
      </c>
      <c r="I580" t="s">
        <v>10176</v>
      </c>
      <c r="J580" t="s">
        <v>7930</v>
      </c>
      <c r="K580" t="s">
        <v>74</v>
      </c>
      <c r="L580" t="s">
        <v>74</v>
      </c>
      <c r="M580" t="s">
        <v>78</v>
      </c>
      <c r="N580" t="s">
        <v>79</v>
      </c>
      <c r="O580" t="s">
        <v>74</v>
      </c>
      <c r="P580" t="s">
        <v>74</v>
      </c>
      <c r="Q580" t="s">
        <v>74</v>
      </c>
      <c r="R580" t="s">
        <v>74</v>
      </c>
      <c r="S580" t="s">
        <v>74</v>
      </c>
      <c r="T580" t="s">
        <v>10177</v>
      </c>
      <c r="U580" t="s">
        <v>10178</v>
      </c>
      <c r="V580" t="s">
        <v>10179</v>
      </c>
      <c r="W580" t="s">
        <v>10180</v>
      </c>
      <c r="X580" t="s">
        <v>10181</v>
      </c>
      <c r="Y580" t="s">
        <v>10182</v>
      </c>
      <c r="Z580" t="s">
        <v>10183</v>
      </c>
      <c r="AA580" t="s">
        <v>74</v>
      </c>
      <c r="AB580" t="s">
        <v>10184</v>
      </c>
      <c r="AC580" t="s">
        <v>10185</v>
      </c>
      <c r="AD580" t="s">
        <v>10185</v>
      </c>
      <c r="AE580" t="s">
        <v>10186</v>
      </c>
      <c r="AF580" t="s">
        <v>74</v>
      </c>
      <c r="AG580">
        <v>67</v>
      </c>
      <c r="AH580">
        <v>11</v>
      </c>
      <c r="AI580">
        <v>11</v>
      </c>
      <c r="AJ580">
        <v>12</v>
      </c>
      <c r="AK580">
        <v>84</v>
      </c>
      <c r="AL580" t="s">
        <v>652</v>
      </c>
      <c r="AM580" t="s">
        <v>653</v>
      </c>
      <c r="AN580" t="s">
        <v>654</v>
      </c>
      <c r="AO580" t="s">
        <v>7940</v>
      </c>
      <c r="AP580" t="s">
        <v>7941</v>
      </c>
      <c r="AQ580" t="s">
        <v>74</v>
      </c>
      <c r="AR580" t="s">
        <v>7942</v>
      </c>
      <c r="AS580" t="s">
        <v>7943</v>
      </c>
      <c r="AT580" t="s">
        <v>469</v>
      </c>
      <c r="AU580">
        <v>2021</v>
      </c>
      <c r="AV580">
        <v>85</v>
      </c>
      <c r="AW580" t="s">
        <v>74</v>
      </c>
      <c r="AX580" t="s">
        <v>74</v>
      </c>
      <c r="AY580" t="s">
        <v>74</v>
      </c>
      <c r="AZ580" t="s">
        <v>74</v>
      </c>
      <c r="BA580" t="s">
        <v>74</v>
      </c>
      <c r="BB580" t="s">
        <v>74</v>
      </c>
      <c r="BC580" t="s">
        <v>74</v>
      </c>
      <c r="BD580">
        <v>104292</v>
      </c>
      <c r="BE580" t="s">
        <v>10187</v>
      </c>
      <c r="BF580" t="str">
        <f>HYPERLINK("http://dx.doi.org/10.1016/j.tourman.2021.104292","http://dx.doi.org/10.1016/j.tourman.2021.104292")</f>
        <v>http://dx.doi.org/10.1016/j.tourman.2021.104292</v>
      </c>
      <c r="BG580" t="s">
        <v>74</v>
      </c>
      <c r="BH580" t="s">
        <v>6326</v>
      </c>
      <c r="BI580">
        <v>15</v>
      </c>
      <c r="BJ580" t="s">
        <v>7945</v>
      </c>
      <c r="BK580" t="s">
        <v>101</v>
      </c>
      <c r="BL580" t="s">
        <v>7946</v>
      </c>
      <c r="BM580" t="s">
        <v>8987</v>
      </c>
      <c r="BN580" t="s">
        <v>74</v>
      </c>
      <c r="BO580" t="s">
        <v>74</v>
      </c>
      <c r="BP580" t="s">
        <v>74</v>
      </c>
      <c r="BQ580" t="s">
        <v>74</v>
      </c>
      <c r="BR580" t="s">
        <v>6098</v>
      </c>
      <c r="BS580" t="s">
        <v>10188</v>
      </c>
      <c r="BT580" t="str">
        <f>HYPERLINK("https%3A%2F%2Fwww.webofscience.com%2Fwos%2Fwoscc%2Ffull-record%2FWOS:000642474700003","View Full Record in Web of Science")</f>
        <v>View Full Record in Web of Science</v>
      </c>
      <c r="BU580" t="s">
        <v>6100</v>
      </c>
      <c r="BV580" s="1" t="s">
        <v>10653</v>
      </c>
    </row>
    <row r="581" spans="1:75" x14ac:dyDescent="0.35">
      <c r="A581" t="s">
        <v>72</v>
      </c>
      <c r="B581" t="s">
        <v>10463</v>
      </c>
      <c r="C581" t="s">
        <v>74</v>
      </c>
      <c r="D581" t="s">
        <v>74</v>
      </c>
      <c r="E581" t="s">
        <v>74</v>
      </c>
      <c r="F581" t="s">
        <v>10464</v>
      </c>
      <c r="G581" t="s">
        <v>74</v>
      </c>
      <c r="H581" t="s">
        <v>74</v>
      </c>
      <c r="I581" t="s">
        <v>10465</v>
      </c>
      <c r="J581" t="s">
        <v>8245</v>
      </c>
      <c r="K581" t="s">
        <v>74</v>
      </c>
      <c r="L581" t="s">
        <v>74</v>
      </c>
      <c r="M581" t="s">
        <v>78</v>
      </c>
      <c r="N581" t="s">
        <v>79</v>
      </c>
      <c r="O581" t="s">
        <v>74</v>
      </c>
      <c r="P581" t="s">
        <v>74</v>
      </c>
      <c r="Q581" t="s">
        <v>74</v>
      </c>
      <c r="R581" t="s">
        <v>74</v>
      </c>
      <c r="S581" t="s">
        <v>74</v>
      </c>
      <c r="T581" t="s">
        <v>10466</v>
      </c>
      <c r="U581" t="s">
        <v>10467</v>
      </c>
      <c r="V581" t="s">
        <v>10468</v>
      </c>
      <c r="W581" t="s">
        <v>10469</v>
      </c>
      <c r="X581" t="s">
        <v>10470</v>
      </c>
      <c r="Y581" t="s">
        <v>10471</v>
      </c>
      <c r="Z581" t="s">
        <v>10472</v>
      </c>
      <c r="AA581" t="s">
        <v>10473</v>
      </c>
      <c r="AB581" t="s">
        <v>10474</v>
      </c>
      <c r="AC581" t="s">
        <v>74</v>
      </c>
      <c r="AD581" t="s">
        <v>74</v>
      </c>
      <c r="AE581" t="s">
        <v>74</v>
      </c>
      <c r="AF581" t="s">
        <v>74</v>
      </c>
      <c r="AG581">
        <v>86</v>
      </c>
      <c r="AH581">
        <v>14</v>
      </c>
      <c r="AI581">
        <v>14</v>
      </c>
      <c r="AJ581">
        <v>24</v>
      </c>
      <c r="AK581">
        <v>95</v>
      </c>
      <c r="AL581" t="s">
        <v>1982</v>
      </c>
      <c r="AM581" t="s">
        <v>1983</v>
      </c>
      <c r="AN581" t="s">
        <v>2573</v>
      </c>
      <c r="AO581" t="s">
        <v>8255</v>
      </c>
      <c r="AP581" t="s">
        <v>8256</v>
      </c>
      <c r="AQ581" t="s">
        <v>74</v>
      </c>
      <c r="AR581" t="s">
        <v>8257</v>
      </c>
      <c r="AS581" t="s">
        <v>8258</v>
      </c>
      <c r="AT581" t="s">
        <v>10475</v>
      </c>
      <c r="AU581">
        <v>2021</v>
      </c>
      <c r="AV581">
        <v>33</v>
      </c>
      <c r="AW581">
        <v>11</v>
      </c>
      <c r="AX581" t="s">
        <v>74</v>
      </c>
      <c r="AY581" t="s">
        <v>74</v>
      </c>
      <c r="AZ581" t="s">
        <v>259</v>
      </c>
      <c r="BA581" t="s">
        <v>74</v>
      </c>
      <c r="BB581">
        <v>4099</v>
      </c>
      <c r="BC581">
        <v>4125</v>
      </c>
      <c r="BD581" t="s">
        <v>74</v>
      </c>
      <c r="BE581" t="s">
        <v>10476</v>
      </c>
      <c r="BF581" t="str">
        <f>HYPERLINK("http://dx.doi.org/10.1108/IJCHM-02-2021-0220","http://dx.doi.org/10.1108/IJCHM-02-2021-0220")</f>
        <v>http://dx.doi.org/10.1108/IJCHM-02-2021-0220</v>
      </c>
      <c r="BG581" t="s">
        <v>74</v>
      </c>
      <c r="BH581" t="s">
        <v>4579</v>
      </c>
      <c r="BI581">
        <v>27</v>
      </c>
      <c r="BJ581" t="s">
        <v>6387</v>
      </c>
      <c r="BK581" t="s">
        <v>101</v>
      </c>
      <c r="BL581" t="s">
        <v>6388</v>
      </c>
      <c r="BM581" t="s">
        <v>10477</v>
      </c>
      <c r="BN581" t="s">
        <v>74</v>
      </c>
      <c r="BO581" t="s">
        <v>74</v>
      </c>
      <c r="BP581" t="s">
        <v>74</v>
      </c>
      <c r="BQ581" t="s">
        <v>74</v>
      </c>
      <c r="BR581" t="s">
        <v>6098</v>
      </c>
      <c r="BS581" t="s">
        <v>10478</v>
      </c>
      <c r="BT581" t="str">
        <f>HYPERLINK("https%3A%2F%2Fwww.webofscience.com%2Fwos%2Fwoscc%2Ffull-record%2FWOS:000711125300001","View Full Record in Web of Science")</f>
        <v>View Full Record in Web of Science</v>
      </c>
      <c r="BU581" t="s">
        <v>6100</v>
      </c>
      <c r="BV581" s="1" t="s">
        <v>10653</v>
      </c>
    </row>
    <row r="582" spans="1:75" x14ac:dyDescent="0.35">
      <c r="A582" t="s">
        <v>72</v>
      </c>
      <c r="B582" t="s">
        <v>10479</v>
      </c>
      <c r="C582" t="s">
        <v>74</v>
      </c>
      <c r="D582" t="s">
        <v>74</v>
      </c>
      <c r="E582" t="s">
        <v>74</v>
      </c>
      <c r="F582" t="s">
        <v>10480</v>
      </c>
      <c r="G582" t="s">
        <v>74</v>
      </c>
      <c r="H582" t="s">
        <v>74</v>
      </c>
      <c r="I582" t="s">
        <v>10481</v>
      </c>
      <c r="J582" t="s">
        <v>4232</v>
      </c>
      <c r="K582" t="s">
        <v>74</v>
      </c>
      <c r="L582" t="s">
        <v>74</v>
      </c>
      <c r="M582" t="s">
        <v>78</v>
      </c>
      <c r="N582" t="s">
        <v>110</v>
      </c>
      <c r="O582" t="s">
        <v>74</v>
      </c>
      <c r="P582" t="s">
        <v>74</v>
      </c>
      <c r="Q582" t="s">
        <v>74</v>
      </c>
      <c r="R582" t="s">
        <v>74</v>
      </c>
      <c r="S582" t="s">
        <v>74</v>
      </c>
      <c r="T582" t="s">
        <v>10482</v>
      </c>
      <c r="U582" t="s">
        <v>10483</v>
      </c>
      <c r="V582" t="s">
        <v>10484</v>
      </c>
      <c r="W582" t="s">
        <v>10485</v>
      </c>
      <c r="X582" t="s">
        <v>10486</v>
      </c>
      <c r="Y582" t="s">
        <v>10487</v>
      </c>
      <c r="Z582" t="s">
        <v>10488</v>
      </c>
      <c r="AA582" t="s">
        <v>74</v>
      </c>
      <c r="AB582" t="s">
        <v>74</v>
      </c>
      <c r="AC582" t="s">
        <v>10489</v>
      </c>
      <c r="AD582" t="s">
        <v>4261</v>
      </c>
      <c r="AE582" t="s">
        <v>10490</v>
      </c>
      <c r="AF582" t="s">
        <v>74</v>
      </c>
      <c r="AG582">
        <v>78</v>
      </c>
      <c r="AH582">
        <v>12</v>
      </c>
      <c r="AI582">
        <v>12</v>
      </c>
      <c r="AJ582">
        <v>49</v>
      </c>
      <c r="AK582">
        <v>198</v>
      </c>
      <c r="AL582" t="s">
        <v>446</v>
      </c>
      <c r="AM582" t="s">
        <v>447</v>
      </c>
      <c r="AN582" t="s">
        <v>448</v>
      </c>
      <c r="AO582" t="s">
        <v>4233</v>
      </c>
      <c r="AP582" t="s">
        <v>4234</v>
      </c>
      <c r="AQ582" t="s">
        <v>74</v>
      </c>
      <c r="AR582" t="s">
        <v>4235</v>
      </c>
      <c r="AS582" t="s">
        <v>4236</v>
      </c>
      <c r="AT582" t="s">
        <v>151</v>
      </c>
      <c r="AU582">
        <v>2021</v>
      </c>
      <c r="AV582">
        <v>32</v>
      </c>
      <c r="AW582">
        <v>2</v>
      </c>
      <c r="AX582" t="s">
        <v>74</v>
      </c>
      <c r="AY582" t="s">
        <v>74</v>
      </c>
      <c r="AZ582" t="s">
        <v>74</v>
      </c>
      <c r="BA582" t="s">
        <v>74</v>
      </c>
      <c r="BB582">
        <v>633</v>
      </c>
      <c r="BC582">
        <v>652</v>
      </c>
      <c r="BD582" t="s">
        <v>74</v>
      </c>
      <c r="BE582" t="s">
        <v>10491</v>
      </c>
      <c r="BF582" t="str">
        <f>HYPERLINK("http://dx.doi.org/10.1287/isre.2020.0987","http://dx.doi.org/10.1287/isre.2020.0987")</f>
        <v>http://dx.doi.org/10.1287/isre.2020.0987</v>
      </c>
      <c r="BG582" t="s">
        <v>74</v>
      </c>
      <c r="BH582" t="s">
        <v>74</v>
      </c>
      <c r="BI582">
        <v>20</v>
      </c>
      <c r="BJ582" t="s">
        <v>4237</v>
      </c>
      <c r="BK582" t="s">
        <v>101</v>
      </c>
      <c r="BL582" t="s">
        <v>4238</v>
      </c>
      <c r="BM582" t="s">
        <v>10492</v>
      </c>
      <c r="BN582" t="s">
        <v>74</v>
      </c>
      <c r="BO582" t="s">
        <v>74</v>
      </c>
      <c r="BP582" t="s">
        <v>74</v>
      </c>
      <c r="BQ582" t="s">
        <v>74</v>
      </c>
      <c r="BR582" t="s">
        <v>6098</v>
      </c>
      <c r="BS582" t="s">
        <v>10493</v>
      </c>
      <c r="BT582" t="str">
        <f>HYPERLINK("https%3A%2F%2Fwww.webofscience.com%2Fwos%2Fwoscc%2Ffull-record%2FWOS:000662862000019","View Full Record in Web of Science")</f>
        <v>View Full Record in Web of Science</v>
      </c>
      <c r="BU582" t="s">
        <v>6100</v>
      </c>
      <c r="BV582" s="1" t="s">
        <v>10653</v>
      </c>
    </row>
    <row r="583" spans="1:75" x14ac:dyDescent="0.35">
      <c r="A583" t="s">
        <v>72</v>
      </c>
      <c r="B583" t="s">
        <v>10549</v>
      </c>
      <c r="C583" t="s">
        <v>74</v>
      </c>
      <c r="D583" t="s">
        <v>74</v>
      </c>
      <c r="E583" t="s">
        <v>74</v>
      </c>
      <c r="F583" t="s">
        <v>10550</v>
      </c>
      <c r="G583" t="s">
        <v>74</v>
      </c>
      <c r="H583" t="s">
        <v>74</v>
      </c>
      <c r="I583" t="s">
        <v>10551</v>
      </c>
      <c r="J583" t="s">
        <v>4232</v>
      </c>
      <c r="K583" t="s">
        <v>74</v>
      </c>
      <c r="L583" t="s">
        <v>74</v>
      </c>
      <c r="M583" t="s">
        <v>78</v>
      </c>
      <c r="N583" t="s">
        <v>110</v>
      </c>
      <c r="O583" t="s">
        <v>74</v>
      </c>
      <c r="P583" t="s">
        <v>74</v>
      </c>
      <c r="Q583" t="s">
        <v>74</v>
      </c>
      <c r="R583" t="s">
        <v>74</v>
      </c>
      <c r="S583" t="s">
        <v>74</v>
      </c>
      <c r="T583" t="s">
        <v>10552</v>
      </c>
      <c r="U583" t="s">
        <v>10553</v>
      </c>
      <c r="V583" t="s">
        <v>10554</v>
      </c>
      <c r="W583" t="s">
        <v>10555</v>
      </c>
      <c r="X583" t="s">
        <v>10556</v>
      </c>
      <c r="Y583" t="s">
        <v>10557</v>
      </c>
      <c r="Z583" t="s">
        <v>10558</v>
      </c>
      <c r="AA583" t="s">
        <v>74</v>
      </c>
      <c r="AB583" t="s">
        <v>10559</v>
      </c>
      <c r="AC583" t="s">
        <v>74</v>
      </c>
      <c r="AD583" t="s">
        <v>74</v>
      </c>
      <c r="AE583" t="s">
        <v>74</v>
      </c>
      <c r="AF583" t="s">
        <v>74</v>
      </c>
      <c r="AG583">
        <v>65</v>
      </c>
      <c r="AH583">
        <v>1</v>
      </c>
      <c r="AI583">
        <v>1</v>
      </c>
      <c r="AJ583">
        <v>25</v>
      </c>
      <c r="AK583">
        <v>102</v>
      </c>
      <c r="AL583" t="s">
        <v>446</v>
      </c>
      <c r="AM583" t="s">
        <v>447</v>
      </c>
      <c r="AN583" t="s">
        <v>448</v>
      </c>
      <c r="AO583" t="s">
        <v>4233</v>
      </c>
      <c r="AP583" t="s">
        <v>4234</v>
      </c>
      <c r="AQ583" t="s">
        <v>74</v>
      </c>
      <c r="AR583" t="s">
        <v>4235</v>
      </c>
      <c r="AS583" t="s">
        <v>4236</v>
      </c>
      <c r="AT583" t="s">
        <v>348</v>
      </c>
      <c r="AU583">
        <v>2021</v>
      </c>
      <c r="AV583">
        <v>32</v>
      </c>
      <c r="AW583">
        <v>4</v>
      </c>
      <c r="AX583" t="s">
        <v>74</v>
      </c>
      <c r="AY583" t="s">
        <v>74</v>
      </c>
      <c r="AZ583" t="s">
        <v>74</v>
      </c>
      <c r="BA583" t="s">
        <v>74</v>
      </c>
      <c r="BB583">
        <v>1368</v>
      </c>
      <c r="BC583">
        <v>1389</v>
      </c>
      <c r="BD583" t="s">
        <v>74</v>
      </c>
      <c r="BE583" t="s">
        <v>10560</v>
      </c>
      <c r="BF583" t="str">
        <f>HYPERLINK("http://dx.doi.org/10.1287/isre.2021.1029","http://dx.doi.org/10.1287/isre.2021.1029")</f>
        <v>http://dx.doi.org/10.1287/isre.2021.1029</v>
      </c>
      <c r="BG583" t="s">
        <v>74</v>
      </c>
      <c r="BH583" t="s">
        <v>7900</v>
      </c>
      <c r="BI583">
        <v>23</v>
      </c>
      <c r="BJ583" t="s">
        <v>4237</v>
      </c>
      <c r="BK583" t="s">
        <v>101</v>
      </c>
      <c r="BL583" t="s">
        <v>4238</v>
      </c>
      <c r="BM583" t="s">
        <v>10561</v>
      </c>
      <c r="BN583" t="s">
        <v>74</v>
      </c>
      <c r="BO583" t="s">
        <v>74</v>
      </c>
      <c r="BP583" t="s">
        <v>74</v>
      </c>
      <c r="BQ583" t="s">
        <v>74</v>
      </c>
      <c r="BR583" t="s">
        <v>6098</v>
      </c>
      <c r="BS583" t="s">
        <v>10562</v>
      </c>
      <c r="BT583" t="str">
        <f>HYPERLINK("https%3A%2F%2Fwww.webofscience.com%2Fwos%2Fwoscc%2Ffull-record%2FWOS:000708975300001","View Full Record in Web of Science")</f>
        <v>View Full Record in Web of Science</v>
      </c>
      <c r="BU583" t="s">
        <v>6100</v>
      </c>
      <c r="BV583" s="1" t="s">
        <v>10653</v>
      </c>
    </row>
    <row r="584" spans="1:75" x14ac:dyDescent="0.35">
      <c r="A584" t="s">
        <v>72</v>
      </c>
      <c r="B584" t="s">
        <v>10618</v>
      </c>
      <c r="C584" t="s">
        <v>74</v>
      </c>
      <c r="D584" t="s">
        <v>74</v>
      </c>
      <c r="E584" t="s">
        <v>74</v>
      </c>
      <c r="F584" t="s">
        <v>10619</v>
      </c>
      <c r="G584" t="s">
        <v>74</v>
      </c>
      <c r="H584" t="s">
        <v>74</v>
      </c>
      <c r="I584" t="s">
        <v>10620</v>
      </c>
      <c r="J584" t="s">
        <v>8245</v>
      </c>
      <c r="K584" t="s">
        <v>74</v>
      </c>
      <c r="L584" t="s">
        <v>74</v>
      </c>
      <c r="M584" t="s">
        <v>78</v>
      </c>
      <c r="N584" t="s">
        <v>79</v>
      </c>
      <c r="O584" t="s">
        <v>74</v>
      </c>
      <c r="P584" t="s">
        <v>74</v>
      </c>
      <c r="Q584" t="s">
        <v>74</v>
      </c>
      <c r="R584" t="s">
        <v>74</v>
      </c>
      <c r="S584" t="s">
        <v>74</v>
      </c>
      <c r="T584" t="s">
        <v>10621</v>
      </c>
      <c r="U584" t="s">
        <v>10622</v>
      </c>
      <c r="V584" t="s">
        <v>10623</v>
      </c>
      <c r="W584" t="s">
        <v>10624</v>
      </c>
      <c r="X584" t="s">
        <v>10625</v>
      </c>
      <c r="Y584" t="s">
        <v>10626</v>
      </c>
      <c r="Z584" t="s">
        <v>10627</v>
      </c>
      <c r="AA584" t="s">
        <v>74</v>
      </c>
      <c r="AB584" t="s">
        <v>10628</v>
      </c>
      <c r="AC584" t="s">
        <v>74</v>
      </c>
      <c r="AD584" t="s">
        <v>74</v>
      </c>
      <c r="AE584" t="s">
        <v>74</v>
      </c>
      <c r="AF584" t="s">
        <v>74</v>
      </c>
      <c r="AG584">
        <v>128</v>
      </c>
      <c r="AH584">
        <v>12</v>
      </c>
      <c r="AI584">
        <v>12</v>
      </c>
      <c r="AJ584">
        <v>6</v>
      </c>
      <c r="AK584">
        <v>42</v>
      </c>
      <c r="AL584" t="s">
        <v>1982</v>
      </c>
      <c r="AM584" t="s">
        <v>1983</v>
      </c>
      <c r="AN584" t="s">
        <v>2573</v>
      </c>
      <c r="AO584" t="s">
        <v>8255</v>
      </c>
      <c r="AP584" t="s">
        <v>8256</v>
      </c>
      <c r="AQ584" t="s">
        <v>74</v>
      </c>
      <c r="AR584" t="s">
        <v>8257</v>
      </c>
      <c r="AS584" t="s">
        <v>8258</v>
      </c>
      <c r="AT584" t="s">
        <v>10629</v>
      </c>
      <c r="AU584">
        <v>2021</v>
      </c>
      <c r="AV584">
        <v>33</v>
      </c>
      <c r="AW584">
        <v>9</v>
      </c>
      <c r="AX584" t="s">
        <v>74</v>
      </c>
      <c r="AY584" t="s">
        <v>74</v>
      </c>
      <c r="AZ584" t="s">
        <v>259</v>
      </c>
      <c r="BA584" t="s">
        <v>74</v>
      </c>
      <c r="BB584">
        <v>2886</v>
      </c>
      <c r="BC584">
        <v>2906</v>
      </c>
      <c r="BD584" t="s">
        <v>74</v>
      </c>
      <c r="BE584" t="s">
        <v>10630</v>
      </c>
      <c r="BF584" t="str">
        <f>HYPERLINK("http://dx.doi.org/10.1108/IJCHM-10-2020-1194","http://dx.doi.org/10.1108/IJCHM-10-2020-1194")</f>
        <v>http://dx.doi.org/10.1108/IJCHM-10-2020-1194</v>
      </c>
      <c r="BG584" t="s">
        <v>74</v>
      </c>
      <c r="BH584" t="s">
        <v>6216</v>
      </c>
      <c r="BI584">
        <v>21</v>
      </c>
      <c r="BJ584" t="s">
        <v>6387</v>
      </c>
      <c r="BK584" t="s">
        <v>101</v>
      </c>
      <c r="BL584" t="s">
        <v>6388</v>
      </c>
      <c r="BM584" t="s">
        <v>10631</v>
      </c>
      <c r="BN584" t="s">
        <v>74</v>
      </c>
      <c r="BO584" t="s">
        <v>74</v>
      </c>
      <c r="BP584" t="s">
        <v>74</v>
      </c>
      <c r="BQ584" t="s">
        <v>74</v>
      </c>
      <c r="BR584" t="s">
        <v>6098</v>
      </c>
      <c r="BS584" t="s">
        <v>10632</v>
      </c>
      <c r="BT584" t="str">
        <f>HYPERLINK("https%3A%2F%2Fwww.webofscience.com%2Fwos%2Fwoscc%2Ffull-record%2FWOS:000663061500001","View Full Record in Web of Science")</f>
        <v>View Full Record in Web of Science</v>
      </c>
      <c r="BU584" t="s">
        <v>6100</v>
      </c>
      <c r="BV584" s="1" t="s">
        <v>10653</v>
      </c>
    </row>
    <row r="585" spans="1:75" x14ac:dyDescent="0.35">
      <c r="A585" t="s">
        <v>72</v>
      </c>
      <c r="B585" t="s">
        <v>10633</v>
      </c>
      <c r="C585" t="s">
        <v>74</v>
      </c>
      <c r="D585" t="s">
        <v>74</v>
      </c>
      <c r="E585" t="s">
        <v>74</v>
      </c>
      <c r="F585" t="s">
        <v>10634</v>
      </c>
      <c r="G585" t="s">
        <v>74</v>
      </c>
      <c r="H585" t="s">
        <v>74</v>
      </c>
      <c r="I585" t="s">
        <v>10635</v>
      </c>
      <c r="J585" t="s">
        <v>8245</v>
      </c>
      <c r="K585" t="s">
        <v>74</v>
      </c>
      <c r="L585" t="s">
        <v>74</v>
      </c>
      <c r="M585" t="s">
        <v>78</v>
      </c>
      <c r="N585" t="s">
        <v>79</v>
      </c>
      <c r="O585" t="s">
        <v>74</v>
      </c>
      <c r="P585" t="s">
        <v>74</v>
      </c>
      <c r="Q585" t="s">
        <v>74</v>
      </c>
      <c r="R585" t="s">
        <v>74</v>
      </c>
      <c r="S585" t="s">
        <v>74</v>
      </c>
      <c r="T585" t="s">
        <v>10636</v>
      </c>
      <c r="U585" t="s">
        <v>10637</v>
      </c>
      <c r="V585" t="s">
        <v>10638</v>
      </c>
      <c r="W585" t="s">
        <v>10639</v>
      </c>
      <c r="X585" t="s">
        <v>10640</v>
      </c>
      <c r="Y585" t="s">
        <v>10641</v>
      </c>
      <c r="Z585" t="s">
        <v>10642</v>
      </c>
      <c r="AA585" t="s">
        <v>10643</v>
      </c>
      <c r="AB585" t="s">
        <v>10644</v>
      </c>
      <c r="AC585" t="s">
        <v>10645</v>
      </c>
      <c r="AD585" t="s">
        <v>10646</v>
      </c>
      <c r="AE585" t="s">
        <v>10647</v>
      </c>
      <c r="AF585" t="s">
        <v>74</v>
      </c>
      <c r="AG585">
        <v>70</v>
      </c>
      <c r="AH585">
        <v>21</v>
      </c>
      <c r="AI585">
        <v>22</v>
      </c>
      <c r="AJ585">
        <v>16</v>
      </c>
      <c r="AK585">
        <v>59</v>
      </c>
      <c r="AL585" t="s">
        <v>1982</v>
      </c>
      <c r="AM585" t="s">
        <v>1983</v>
      </c>
      <c r="AN585" t="s">
        <v>2573</v>
      </c>
      <c r="AO585" t="s">
        <v>8255</v>
      </c>
      <c r="AP585" t="s">
        <v>8256</v>
      </c>
      <c r="AQ585" t="s">
        <v>74</v>
      </c>
      <c r="AR585" t="s">
        <v>8257</v>
      </c>
      <c r="AS585" t="s">
        <v>8258</v>
      </c>
      <c r="AT585" t="s">
        <v>74</v>
      </c>
      <c r="AU585">
        <v>2021</v>
      </c>
      <c r="AV585">
        <v>33</v>
      </c>
      <c r="AW585">
        <v>6</v>
      </c>
      <c r="AX585" t="s">
        <v>74</v>
      </c>
      <c r="AY585" t="s">
        <v>74</v>
      </c>
      <c r="AZ585" t="s">
        <v>259</v>
      </c>
      <c r="BA585" t="s">
        <v>74</v>
      </c>
      <c r="BB585">
        <v>2219</v>
      </c>
      <c r="BC585">
        <v>2238</v>
      </c>
      <c r="BD585" t="s">
        <v>74</v>
      </c>
      <c r="BE585" t="s">
        <v>10648</v>
      </c>
      <c r="BF585" t="str">
        <f>HYPERLINK("http://dx.doi.org/10.1108/IJCHM-08-2020-0861","http://dx.doi.org/10.1108/IJCHM-08-2020-0861")</f>
        <v>http://dx.doi.org/10.1108/IJCHM-08-2020-0861</v>
      </c>
      <c r="BG585" t="s">
        <v>74</v>
      </c>
      <c r="BH585" t="s">
        <v>6216</v>
      </c>
      <c r="BI585">
        <v>20</v>
      </c>
      <c r="BJ585" t="s">
        <v>6387</v>
      </c>
      <c r="BK585" t="s">
        <v>101</v>
      </c>
      <c r="BL585" t="s">
        <v>6388</v>
      </c>
      <c r="BM585" t="s">
        <v>10649</v>
      </c>
      <c r="BN585" t="s">
        <v>74</v>
      </c>
      <c r="BO585" t="s">
        <v>1165</v>
      </c>
      <c r="BP585" t="s">
        <v>74</v>
      </c>
      <c r="BQ585" t="s">
        <v>74</v>
      </c>
      <c r="BR585" t="s">
        <v>6098</v>
      </c>
      <c r="BS585" t="s">
        <v>10650</v>
      </c>
      <c r="BT585" t="str">
        <f>HYPERLINK("https%3A%2F%2Fwww.webofscience.com%2Fwos%2Fwoscc%2Ffull-record%2FWOS:000660419600001","View Full Record in Web of Science")</f>
        <v>View Full Record in Web of Science</v>
      </c>
      <c r="BU585" t="s">
        <v>6100</v>
      </c>
      <c r="BV585" s="1" t="s">
        <v>10653</v>
      </c>
    </row>
    <row r="586" spans="1:75" ht="290" x14ac:dyDescent="0.35">
      <c r="A586" s="1" t="s">
        <v>72</v>
      </c>
      <c r="B586" s="1" t="s">
        <v>4318</v>
      </c>
      <c r="C586" s="1" t="s">
        <v>74</v>
      </c>
      <c r="D586" s="1" t="s">
        <v>74</v>
      </c>
      <c r="E586" s="1" t="s">
        <v>74</v>
      </c>
      <c r="F586" s="1" t="s">
        <v>4319</v>
      </c>
      <c r="G586" s="1" t="s">
        <v>74</v>
      </c>
      <c r="H586" s="1" t="s">
        <v>74</v>
      </c>
      <c r="I586" s="1" t="s">
        <v>4320</v>
      </c>
      <c r="J586" s="1" t="s">
        <v>4321</v>
      </c>
      <c r="K586" s="1" t="s">
        <v>74</v>
      </c>
      <c r="L586" s="1" t="s">
        <v>74</v>
      </c>
      <c r="M586" s="1" t="s">
        <v>78</v>
      </c>
      <c r="N586" s="1" t="s">
        <v>79</v>
      </c>
      <c r="O586" s="1" t="s">
        <v>74</v>
      </c>
      <c r="P586" s="1" t="s">
        <v>74</v>
      </c>
      <c r="Q586" s="1" t="s">
        <v>74</v>
      </c>
      <c r="R586" s="1" t="s">
        <v>74</v>
      </c>
      <c r="S586" s="1" t="s">
        <v>74</v>
      </c>
      <c r="T586" s="1" t="s">
        <v>4322</v>
      </c>
      <c r="U586" s="1" t="s">
        <v>4323</v>
      </c>
      <c r="V586" s="1" t="s">
        <v>4324</v>
      </c>
      <c r="W586" s="1" t="s">
        <v>4325</v>
      </c>
      <c r="X586" s="1" t="s">
        <v>321</v>
      </c>
      <c r="Y586" s="1" t="s">
        <v>4326</v>
      </c>
      <c r="Z586" s="1" t="s">
        <v>4327</v>
      </c>
      <c r="AA586" s="1" t="s">
        <v>74</v>
      </c>
      <c r="AB586" s="1" t="s">
        <v>4328</v>
      </c>
      <c r="AC586" s="1" t="s">
        <v>74</v>
      </c>
      <c r="AD586" s="1" t="s">
        <v>74</v>
      </c>
      <c r="AE586" s="1" t="s">
        <v>74</v>
      </c>
      <c r="AF586" s="1" t="s">
        <v>74</v>
      </c>
      <c r="AG586" s="1">
        <v>118</v>
      </c>
      <c r="AH586" s="1">
        <v>0</v>
      </c>
      <c r="AI586" s="1">
        <v>0</v>
      </c>
      <c r="AJ586" s="1">
        <v>0</v>
      </c>
      <c r="AK586" s="1">
        <v>0</v>
      </c>
      <c r="AL586" s="1" t="s">
        <v>1627</v>
      </c>
      <c r="AM586" s="1" t="s">
        <v>1628</v>
      </c>
      <c r="AN586" s="1" t="s">
        <v>1629</v>
      </c>
      <c r="AO586" s="1" t="s">
        <v>4329</v>
      </c>
      <c r="AP586" s="1" t="s">
        <v>4330</v>
      </c>
      <c r="AQ586" s="1" t="s">
        <v>74</v>
      </c>
      <c r="AR586" s="1" t="s">
        <v>4331</v>
      </c>
      <c r="AS586" s="1" t="s">
        <v>4332</v>
      </c>
      <c r="AT586" s="1" t="s">
        <v>258</v>
      </c>
      <c r="AU586" s="1">
        <v>2022</v>
      </c>
      <c r="AV586" s="1">
        <v>108</v>
      </c>
      <c r="AW586" s="1" t="s">
        <v>74</v>
      </c>
      <c r="AX586" s="1" t="s">
        <v>74</v>
      </c>
      <c r="AY586" s="1" t="s">
        <v>74</v>
      </c>
      <c r="AZ586" s="1" t="s">
        <v>74</v>
      </c>
      <c r="BA586" s="1" t="s">
        <v>74</v>
      </c>
      <c r="BB586" s="1" t="s">
        <v>74</v>
      </c>
      <c r="BC586" s="1" t="s">
        <v>74</v>
      </c>
      <c r="BD586" s="1" t="s">
        <v>74</v>
      </c>
      <c r="BE586" s="1" t="s">
        <v>4333</v>
      </c>
      <c r="BF586" s="1" t="str">
        <f>HYPERLINK("http://dx.doi.org/10.1016/j.ssresearch.2022.102798","http://dx.doi.org/10.1016/j.ssresearch.2022.102798")</f>
        <v>http://dx.doi.org/10.1016/j.ssresearch.2022.102798</v>
      </c>
      <c r="BG586" s="1" t="s">
        <v>74</v>
      </c>
      <c r="BH586" s="1" t="s">
        <v>74</v>
      </c>
      <c r="BI586" s="1">
        <v>14</v>
      </c>
      <c r="BJ586" s="1" t="s">
        <v>365</v>
      </c>
      <c r="BK586" s="1" t="s">
        <v>101</v>
      </c>
      <c r="BL586" s="1" t="s">
        <v>365</v>
      </c>
      <c r="BM586" s="1" t="s">
        <v>4334</v>
      </c>
      <c r="BN586" s="1">
        <v>36334926</v>
      </c>
      <c r="BO586" s="1" t="s">
        <v>156</v>
      </c>
      <c r="BP586" s="1" t="s">
        <v>74</v>
      </c>
      <c r="BQ586" s="1" t="s">
        <v>74</v>
      </c>
      <c r="BR586" s="1" t="s">
        <v>4296</v>
      </c>
      <c r="BS586" s="1" t="s">
        <v>4335</v>
      </c>
      <c r="BT586" s="1" t="str">
        <f>HYPERLINK("https%3A%2F%2Fwww.webofscience.com%2Fwos%2Fwoscc%2Ffull-record%2FWOS:000933913400011","View Full Record in Web of Science")</f>
        <v>View Full Record in Web of Science</v>
      </c>
      <c r="BU586" s="1" t="s">
        <v>5876</v>
      </c>
      <c r="BV586" s="1" t="s">
        <v>10653</v>
      </c>
    </row>
    <row r="587" spans="1:75" ht="58" x14ac:dyDescent="0.35">
      <c r="A587" s="1" t="s">
        <v>72</v>
      </c>
      <c r="B587" s="1" t="s">
        <v>4336</v>
      </c>
      <c r="C587" s="1" t="s">
        <v>74</v>
      </c>
      <c r="D587" s="1" t="s">
        <v>74</v>
      </c>
      <c r="E587" s="1" t="s">
        <v>74</v>
      </c>
      <c r="F587" s="1" t="s">
        <v>4337</v>
      </c>
      <c r="G587" s="1" t="s">
        <v>74</v>
      </c>
      <c r="H587" s="1" t="s">
        <v>74</v>
      </c>
      <c r="I587" s="1" t="s">
        <v>4338</v>
      </c>
      <c r="J587" s="1" t="s">
        <v>4339</v>
      </c>
      <c r="K587" s="1" t="s">
        <v>74</v>
      </c>
      <c r="L587" s="1" t="s">
        <v>74</v>
      </c>
      <c r="M587" s="1" t="s">
        <v>78</v>
      </c>
      <c r="N587" s="1" t="s">
        <v>3119</v>
      </c>
      <c r="O587" s="1" t="s">
        <v>74</v>
      </c>
      <c r="P587" s="1" t="s">
        <v>74</v>
      </c>
      <c r="Q587" s="1" t="s">
        <v>74</v>
      </c>
      <c r="R587" s="1" t="s">
        <v>74</v>
      </c>
      <c r="S587" s="1" t="s">
        <v>74</v>
      </c>
      <c r="T587" s="1" t="s">
        <v>74</v>
      </c>
      <c r="U587" s="1" t="s">
        <v>74</v>
      </c>
      <c r="V587" s="1" t="s">
        <v>74</v>
      </c>
      <c r="W587" s="1" t="s">
        <v>4340</v>
      </c>
      <c r="X587" s="1" t="s">
        <v>4341</v>
      </c>
      <c r="Y587" s="1" t="s">
        <v>4342</v>
      </c>
      <c r="Z587" s="1" t="s">
        <v>4343</v>
      </c>
      <c r="AA587" s="1" t="s">
        <v>74</v>
      </c>
      <c r="AB587" s="1" t="s">
        <v>74</v>
      </c>
      <c r="AC587" s="1" t="s">
        <v>4344</v>
      </c>
      <c r="AD587" s="1" t="s">
        <v>4345</v>
      </c>
      <c r="AE587" s="1" t="s">
        <v>4346</v>
      </c>
      <c r="AF587" s="1" t="s">
        <v>74</v>
      </c>
      <c r="AG587" s="1">
        <v>3</v>
      </c>
      <c r="AH587" s="1">
        <v>0</v>
      </c>
      <c r="AI587" s="1">
        <v>0</v>
      </c>
      <c r="AJ587" s="1">
        <v>2</v>
      </c>
      <c r="AK587" s="1">
        <v>2</v>
      </c>
      <c r="AL587" s="1" t="s">
        <v>2073</v>
      </c>
      <c r="AM587" s="1" t="s">
        <v>653</v>
      </c>
      <c r="AN587" s="1" t="s">
        <v>2074</v>
      </c>
      <c r="AO587" s="1" t="s">
        <v>4347</v>
      </c>
      <c r="AP587" s="1" t="s">
        <v>4348</v>
      </c>
      <c r="AQ587" s="1" t="s">
        <v>74</v>
      </c>
      <c r="AR587" s="1" t="s">
        <v>4349</v>
      </c>
      <c r="AS587" s="1" t="s">
        <v>4350</v>
      </c>
      <c r="AT587" s="1" t="s">
        <v>281</v>
      </c>
      <c r="AU587" s="1">
        <v>2022</v>
      </c>
      <c r="AV587" s="1">
        <v>68</v>
      </c>
      <c r="AW587" s="1" t="s">
        <v>74</v>
      </c>
      <c r="AX587" s="1" t="s">
        <v>74</v>
      </c>
      <c r="AY587" s="1" t="s">
        <v>74</v>
      </c>
      <c r="AZ587" s="1" t="s">
        <v>74</v>
      </c>
      <c r="BA587" s="1" t="s">
        <v>74</v>
      </c>
      <c r="BB587" s="1">
        <v>131</v>
      </c>
      <c r="BC587" s="1">
        <v>133</v>
      </c>
      <c r="BD587" s="1" t="s">
        <v>74</v>
      </c>
      <c r="BE587" s="1" t="s">
        <v>4351</v>
      </c>
      <c r="BF587" s="1" t="str">
        <f>HYPERLINK("http://dx.doi.org/10.1016/j.esp.2022.07.005","http://dx.doi.org/10.1016/j.esp.2022.07.005")</f>
        <v>http://dx.doi.org/10.1016/j.esp.2022.07.005</v>
      </c>
      <c r="BG587" s="1" t="s">
        <v>74</v>
      </c>
      <c r="BH587" s="1" t="s">
        <v>74</v>
      </c>
      <c r="BI587" s="1">
        <v>3</v>
      </c>
      <c r="BJ587" s="1" t="s">
        <v>2540</v>
      </c>
      <c r="BK587" s="1" t="s">
        <v>101</v>
      </c>
      <c r="BL587" s="1" t="s">
        <v>2540</v>
      </c>
      <c r="BM587" s="1" t="s">
        <v>4352</v>
      </c>
      <c r="BN587" s="1" t="s">
        <v>74</v>
      </c>
      <c r="BO587" s="1" t="s">
        <v>74</v>
      </c>
      <c r="BP587" s="1" t="s">
        <v>74</v>
      </c>
      <c r="BQ587" s="1" t="s">
        <v>74</v>
      </c>
      <c r="BR587" s="1" t="s">
        <v>4296</v>
      </c>
      <c r="BS587" s="1" t="s">
        <v>4353</v>
      </c>
      <c r="BT587" s="1" t="str">
        <f>HYPERLINK("https%3A%2F%2Fwww.webofscience.com%2Fwos%2Fwoscc%2Ffull-record%2FWOS:000860500700001","View Full Record in Web of Science")</f>
        <v>View Full Record in Web of Science</v>
      </c>
      <c r="BU587" s="1" t="s">
        <v>5876</v>
      </c>
      <c r="BV587" s="1" t="s">
        <v>10653</v>
      </c>
    </row>
    <row r="588" spans="1:75" ht="362.5" x14ac:dyDescent="0.35">
      <c r="A588" s="1" t="s">
        <v>72</v>
      </c>
      <c r="B588" s="1" t="s">
        <v>4354</v>
      </c>
      <c r="C588" s="1" t="s">
        <v>74</v>
      </c>
      <c r="D588" s="1" t="s">
        <v>74</v>
      </c>
      <c r="E588" s="1" t="s">
        <v>74</v>
      </c>
      <c r="F588" s="1" t="s">
        <v>4355</v>
      </c>
      <c r="G588" s="1" t="s">
        <v>74</v>
      </c>
      <c r="H588" s="1" t="s">
        <v>74</v>
      </c>
      <c r="I588" s="1" t="s">
        <v>4356</v>
      </c>
      <c r="J588" s="1" t="s">
        <v>240</v>
      </c>
      <c r="K588" s="1" t="s">
        <v>74</v>
      </c>
      <c r="L588" s="1" t="s">
        <v>74</v>
      </c>
      <c r="M588" s="1" t="s">
        <v>78</v>
      </c>
      <c r="N588" s="1" t="s">
        <v>79</v>
      </c>
      <c r="O588" s="1" t="s">
        <v>74</v>
      </c>
      <c r="P588" s="1" t="s">
        <v>74</v>
      </c>
      <c r="Q588" s="1" t="s">
        <v>74</v>
      </c>
      <c r="R588" s="1" t="s">
        <v>74</v>
      </c>
      <c r="S588" s="1" t="s">
        <v>74</v>
      </c>
      <c r="T588" s="1" t="s">
        <v>4357</v>
      </c>
      <c r="U588" s="1" t="s">
        <v>4358</v>
      </c>
      <c r="V588" s="1" t="s">
        <v>4359</v>
      </c>
      <c r="W588" s="1" t="s">
        <v>4360</v>
      </c>
      <c r="X588" s="1" t="s">
        <v>4361</v>
      </c>
      <c r="Y588" s="1" t="s">
        <v>4362</v>
      </c>
      <c r="Z588" s="1" t="s">
        <v>4363</v>
      </c>
      <c r="AA588" s="1" t="s">
        <v>74</v>
      </c>
      <c r="AB588" s="1" t="s">
        <v>4364</v>
      </c>
      <c r="AC588" s="1" t="s">
        <v>4365</v>
      </c>
      <c r="AD588" s="1" t="s">
        <v>4366</v>
      </c>
      <c r="AE588" s="1" t="s">
        <v>4367</v>
      </c>
      <c r="AF588" s="1" t="s">
        <v>74</v>
      </c>
      <c r="AG588" s="1">
        <v>93</v>
      </c>
      <c r="AH588" s="1">
        <v>7</v>
      </c>
      <c r="AI588" s="1">
        <v>7</v>
      </c>
      <c r="AJ588" s="1">
        <v>76</v>
      </c>
      <c r="AK588" s="1">
        <v>94</v>
      </c>
      <c r="AL588" s="1" t="s">
        <v>144</v>
      </c>
      <c r="AM588" s="1" t="s">
        <v>145</v>
      </c>
      <c r="AN588" s="1" t="s">
        <v>146</v>
      </c>
      <c r="AO588" s="1" t="s">
        <v>254</v>
      </c>
      <c r="AP588" s="1" t="s">
        <v>255</v>
      </c>
      <c r="AQ588" s="1" t="s">
        <v>74</v>
      </c>
      <c r="AR588" s="1" t="s">
        <v>256</v>
      </c>
      <c r="AS588" s="1" t="s">
        <v>257</v>
      </c>
      <c r="AT588" s="1" t="s">
        <v>517</v>
      </c>
      <c r="AU588" s="1">
        <v>2022</v>
      </c>
      <c r="AV588" s="1">
        <v>86</v>
      </c>
      <c r="AW588" s="1">
        <v>5</v>
      </c>
      <c r="AX588" s="1" t="s">
        <v>74</v>
      </c>
      <c r="AY588" s="1" t="s">
        <v>74</v>
      </c>
      <c r="AZ588" s="1" t="s">
        <v>74</v>
      </c>
      <c r="BA588" s="1" t="s">
        <v>74</v>
      </c>
      <c r="BB588" s="1">
        <v>1</v>
      </c>
      <c r="BC588" s="1">
        <v>20</v>
      </c>
      <c r="BD588" s="1" t="s">
        <v>74</v>
      </c>
      <c r="BE588" s="1" t="s">
        <v>4368</v>
      </c>
      <c r="BF588" s="1" t="str">
        <f>HYPERLINK("http://dx.doi.org/10.1177/00222429221100750","http://dx.doi.org/10.1177/00222429221100750")</f>
        <v>http://dx.doi.org/10.1177/00222429221100750</v>
      </c>
      <c r="BG588" s="1" t="s">
        <v>74</v>
      </c>
      <c r="BH588" s="1" t="s">
        <v>74</v>
      </c>
      <c r="BI588" s="1">
        <v>20</v>
      </c>
      <c r="BJ588" s="1" t="s">
        <v>153</v>
      </c>
      <c r="BK588" s="1" t="s">
        <v>101</v>
      </c>
      <c r="BL588" s="1" t="s">
        <v>154</v>
      </c>
      <c r="BM588" s="1" t="s">
        <v>4369</v>
      </c>
      <c r="BN588" s="1" t="s">
        <v>74</v>
      </c>
      <c r="BO588" s="1" t="s">
        <v>367</v>
      </c>
      <c r="BP588" s="1" t="s">
        <v>74</v>
      </c>
      <c r="BQ588" s="1" t="s">
        <v>74</v>
      </c>
      <c r="BR588" s="1" t="s">
        <v>4296</v>
      </c>
      <c r="BS588" s="1" t="s">
        <v>4370</v>
      </c>
      <c r="BT588" s="1" t="str">
        <f>HYPERLINK("https%3A%2F%2Fwww.webofscience.com%2Fwos%2Fwoscc%2Ffull-record%2FWOS:000835347000001","View Full Record in Web of Science")</f>
        <v>View Full Record in Web of Science</v>
      </c>
      <c r="BU588" s="1" t="s">
        <v>5876</v>
      </c>
      <c r="BV588" s="1" t="s">
        <v>6080</v>
      </c>
      <c r="BW588" s="1" t="s">
        <v>6080</v>
      </c>
    </row>
    <row r="589" spans="1:75" x14ac:dyDescent="0.35">
      <c r="A589" t="s">
        <v>72</v>
      </c>
      <c r="B589" t="s">
        <v>9005</v>
      </c>
      <c r="C589" t="s">
        <v>74</v>
      </c>
      <c r="D589" t="s">
        <v>74</v>
      </c>
      <c r="E589" t="s">
        <v>74</v>
      </c>
      <c r="F589" t="s">
        <v>9006</v>
      </c>
      <c r="G589" t="s">
        <v>74</v>
      </c>
      <c r="H589" t="s">
        <v>74</v>
      </c>
      <c r="I589" t="s">
        <v>9007</v>
      </c>
      <c r="J589" t="s">
        <v>9008</v>
      </c>
      <c r="K589" t="s">
        <v>74</v>
      </c>
      <c r="L589" t="s">
        <v>74</v>
      </c>
      <c r="M589" t="s">
        <v>78</v>
      </c>
      <c r="N589" t="s">
        <v>110</v>
      </c>
      <c r="O589" t="s">
        <v>74</v>
      </c>
      <c r="P589" t="s">
        <v>74</v>
      </c>
      <c r="Q589" t="s">
        <v>74</v>
      </c>
      <c r="R589" t="s">
        <v>74</v>
      </c>
      <c r="S589" t="s">
        <v>74</v>
      </c>
      <c r="T589" t="s">
        <v>74</v>
      </c>
      <c r="U589" t="s">
        <v>9009</v>
      </c>
      <c r="V589" t="s">
        <v>9010</v>
      </c>
      <c r="W589" t="s">
        <v>9011</v>
      </c>
      <c r="X589" t="s">
        <v>9012</v>
      </c>
      <c r="Y589" t="s">
        <v>9013</v>
      </c>
      <c r="Z589" t="s">
        <v>9014</v>
      </c>
      <c r="AA589" t="s">
        <v>9015</v>
      </c>
      <c r="AB589" t="s">
        <v>9016</v>
      </c>
      <c r="AC589" t="s">
        <v>74</v>
      </c>
      <c r="AD589" t="s">
        <v>74</v>
      </c>
      <c r="AE589" t="s">
        <v>74</v>
      </c>
      <c r="AF589" t="s">
        <v>74</v>
      </c>
      <c r="AG589">
        <v>183</v>
      </c>
      <c r="AH589">
        <v>395</v>
      </c>
      <c r="AI589">
        <v>398</v>
      </c>
      <c r="AJ589">
        <v>68</v>
      </c>
      <c r="AK589">
        <v>789</v>
      </c>
      <c r="AL589" t="s">
        <v>206</v>
      </c>
      <c r="AM589" t="s">
        <v>207</v>
      </c>
      <c r="AN589" t="s">
        <v>208</v>
      </c>
      <c r="AO589" t="s">
        <v>9017</v>
      </c>
      <c r="AP589" t="s">
        <v>9018</v>
      </c>
      <c r="AQ589" t="s">
        <v>74</v>
      </c>
      <c r="AR589" t="s">
        <v>9019</v>
      </c>
      <c r="AS589" t="s">
        <v>9020</v>
      </c>
      <c r="AT589" t="s">
        <v>258</v>
      </c>
      <c r="AU589">
        <v>2016</v>
      </c>
      <c r="AV589">
        <v>33</v>
      </c>
      <c r="AW589">
        <v>6</v>
      </c>
      <c r="AX589" t="s">
        <v>74</v>
      </c>
      <c r="AY589" t="s">
        <v>74</v>
      </c>
      <c r="AZ589" t="s">
        <v>74</v>
      </c>
      <c r="BA589" t="s">
        <v>74</v>
      </c>
      <c r="BB589">
        <v>750</v>
      </c>
      <c r="BC589">
        <v>772</v>
      </c>
      <c r="BD589" t="s">
        <v>74</v>
      </c>
      <c r="BE589" t="s">
        <v>9021</v>
      </c>
      <c r="BF589" t="str">
        <f>HYPERLINK("http://dx.doi.org/10.1111/jpim.12312","http://dx.doi.org/10.1111/jpim.12312")</f>
        <v>http://dx.doi.org/10.1111/jpim.12312</v>
      </c>
      <c r="BG589" t="s">
        <v>74</v>
      </c>
      <c r="BH589" t="s">
        <v>74</v>
      </c>
      <c r="BI589">
        <v>23</v>
      </c>
      <c r="BJ589" t="s">
        <v>9022</v>
      </c>
      <c r="BK589" t="s">
        <v>520</v>
      </c>
      <c r="BL589" t="s">
        <v>9023</v>
      </c>
      <c r="BM589" t="s">
        <v>9024</v>
      </c>
      <c r="BN589" t="s">
        <v>74</v>
      </c>
      <c r="BO589" t="s">
        <v>74</v>
      </c>
      <c r="BP589" t="s">
        <v>218</v>
      </c>
      <c r="BQ589" t="s">
        <v>219</v>
      </c>
      <c r="BR589" t="s">
        <v>6098</v>
      </c>
      <c r="BS589" t="s">
        <v>9025</v>
      </c>
      <c r="BT589" t="str">
        <f>HYPERLINK("https%3A%2F%2Fwww.webofscience.com%2Fwos%2Fwoscc%2Ffull-record%2FWOS:000385709900007","View Full Record in Web of Science")</f>
        <v>View Full Record in Web of Science</v>
      </c>
      <c r="BU589" t="s">
        <v>6100</v>
      </c>
      <c r="BV589" s="1" t="s">
        <v>6080</v>
      </c>
      <c r="BW589" s="1" t="s">
        <v>10653</v>
      </c>
    </row>
    <row r="590" spans="1:75" x14ac:dyDescent="0.35">
      <c r="A590" t="s">
        <v>72</v>
      </c>
      <c r="B590" t="s">
        <v>9026</v>
      </c>
      <c r="C590" t="s">
        <v>74</v>
      </c>
      <c r="D590" t="s">
        <v>74</v>
      </c>
      <c r="E590" t="s">
        <v>74</v>
      </c>
      <c r="F590" t="s">
        <v>9027</v>
      </c>
      <c r="G590" t="s">
        <v>74</v>
      </c>
      <c r="H590" t="s">
        <v>74</v>
      </c>
      <c r="I590" t="s">
        <v>9028</v>
      </c>
      <c r="J590" t="s">
        <v>8265</v>
      </c>
      <c r="K590" t="s">
        <v>74</v>
      </c>
      <c r="L590" t="s">
        <v>74</v>
      </c>
      <c r="M590" t="s">
        <v>78</v>
      </c>
      <c r="N590" t="s">
        <v>110</v>
      </c>
      <c r="O590" t="s">
        <v>74</v>
      </c>
      <c r="P590" t="s">
        <v>74</v>
      </c>
      <c r="Q590" t="s">
        <v>74</v>
      </c>
      <c r="R590" t="s">
        <v>74</v>
      </c>
      <c r="S590" t="s">
        <v>74</v>
      </c>
      <c r="T590" t="s">
        <v>9029</v>
      </c>
      <c r="U590" t="s">
        <v>9030</v>
      </c>
      <c r="V590" t="s">
        <v>9031</v>
      </c>
      <c r="W590" t="s">
        <v>9032</v>
      </c>
      <c r="X590" t="s">
        <v>9033</v>
      </c>
      <c r="Y590" t="s">
        <v>9034</v>
      </c>
      <c r="Z590" t="s">
        <v>9035</v>
      </c>
      <c r="AA590" t="s">
        <v>9036</v>
      </c>
      <c r="AB590" t="s">
        <v>9037</v>
      </c>
      <c r="AC590" t="s">
        <v>74</v>
      </c>
      <c r="AD590" t="s">
        <v>74</v>
      </c>
      <c r="AE590" t="s">
        <v>74</v>
      </c>
      <c r="AF590" t="s">
        <v>74</v>
      </c>
      <c r="AG590">
        <v>67</v>
      </c>
      <c r="AH590">
        <v>3</v>
      </c>
      <c r="AI590">
        <v>3</v>
      </c>
      <c r="AJ590">
        <v>29</v>
      </c>
      <c r="AK590">
        <v>65</v>
      </c>
      <c r="AL590" t="s">
        <v>144</v>
      </c>
      <c r="AM590" t="s">
        <v>145</v>
      </c>
      <c r="AN590" t="s">
        <v>146</v>
      </c>
      <c r="AO590" t="s">
        <v>8274</v>
      </c>
      <c r="AP590" t="s">
        <v>8275</v>
      </c>
      <c r="AQ590" t="s">
        <v>74</v>
      </c>
      <c r="AR590" t="s">
        <v>8276</v>
      </c>
      <c r="AS590" t="s">
        <v>8277</v>
      </c>
      <c r="AT590" t="s">
        <v>469</v>
      </c>
      <c r="AU590">
        <v>2022</v>
      </c>
      <c r="AV590">
        <v>25</v>
      </c>
      <c r="AW590">
        <v>3</v>
      </c>
      <c r="AX590" t="s">
        <v>74</v>
      </c>
      <c r="AY590" t="s">
        <v>74</v>
      </c>
      <c r="AZ590" t="s">
        <v>74</v>
      </c>
      <c r="BA590" t="s">
        <v>74</v>
      </c>
      <c r="BB590">
        <v>440</v>
      </c>
      <c r="BC590">
        <v>459</v>
      </c>
      <c r="BD590">
        <v>1.094670522107994E+16</v>
      </c>
      <c r="BE590" t="s">
        <v>9038</v>
      </c>
      <c r="BF590" t="str">
        <f>HYPERLINK("http://dx.doi.org/10.1177/10946705221079941","http://dx.doi.org/10.1177/10946705221079941")</f>
        <v>http://dx.doi.org/10.1177/10946705221079941</v>
      </c>
      <c r="BG590" t="s">
        <v>74</v>
      </c>
      <c r="BH590" t="s">
        <v>6723</v>
      </c>
      <c r="BI590">
        <v>20</v>
      </c>
      <c r="BJ590" t="s">
        <v>153</v>
      </c>
      <c r="BK590" t="s">
        <v>101</v>
      </c>
      <c r="BL590" t="s">
        <v>154</v>
      </c>
      <c r="BM590" t="s">
        <v>9039</v>
      </c>
      <c r="BN590" t="s">
        <v>74</v>
      </c>
      <c r="BO590" t="s">
        <v>74</v>
      </c>
      <c r="BP590" t="s">
        <v>74</v>
      </c>
      <c r="BQ590" t="s">
        <v>74</v>
      </c>
      <c r="BR590" t="s">
        <v>6098</v>
      </c>
      <c r="BS590" t="s">
        <v>9040</v>
      </c>
      <c r="BT590" t="str">
        <f>HYPERLINK("https%3A%2F%2Fwww.webofscience.com%2Fwos%2Fwoscc%2Ffull-record%2FWOS:000780760600001","View Full Record in Web of Science")</f>
        <v>View Full Record in Web of Science</v>
      </c>
      <c r="BU590" t="s">
        <v>6100</v>
      </c>
      <c r="BV590" s="1" t="s">
        <v>6080</v>
      </c>
      <c r="BW590" s="1" t="s">
        <v>10653</v>
      </c>
    </row>
    <row r="591" spans="1:75" ht="348" x14ac:dyDescent="0.35">
      <c r="A591" s="1" t="s">
        <v>72</v>
      </c>
      <c r="B591" s="1" t="s">
        <v>4386</v>
      </c>
      <c r="C591" s="1" t="s">
        <v>74</v>
      </c>
      <c r="D591" s="1" t="s">
        <v>74</v>
      </c>
      <c r="E591" s="1" t="s">
        <v>74</v>
      </c>
      <c r="F591" s="1" t="s">
        <v>4387</v>
      </c>
      <c r="G591" s="1" t="s">
        <v>74</v>
      </c>
      <c r="H591" s="1" t="s">
        <v>74</v>
      </c>
      <c r="I591" s="1" t="s">
        <v>4388</v>
      </c>
      <c r="J591" s="1" t="s">
        <v>667</v>
      </c>
      <c r="K591" s="1" t="s">
        <v>74</v>
      </c>
      <c r="L591" s="1" t="s">
        <v>74</v>
      </c>
      <c r="M591" s="1" t="s">
        <v>78</v>
      </c>
      <c r="N591" s="1" t="s">
        <v>79</v>
      </c>
      <c r="O591" s="1" t="s">
        <v>74</v>
      </c>
      <c r="P591" s="1" t="s">
        <v>74</v>
      </c>
      <c r="Q591" s="1" t="s">
        <v>74</v>
      </c>
      <c r="R591" s="1" t="s">
        <v>74</v>
      </c>
      <c r="S591" s="1" t="s">
        <v>74</v>
      </c>
      <c r="T591" s="1" t="s">
        <v>4389</v>
      </c>
      <c r="U591" s="1" t="s">
        <v>4390</v>
      </c>
      <c r="V591" s="1" t="s">
        <v>4391</v>
      </c>
      <c r="W591" s="1" t="s">
        <v>4392</v>
      </c>
      <c r="X591" s="1" t="s">
        <v>4393</v>
      </c>
      <c r="Y591" s="1" t="s">
        <v>4394</v>
      </c>
      <c r="Z591" s="1" t="s">
        <v>4395</v>
      </c>
      <c r="AA591" s="1" t="s">
        <v>74</v>
      </c>
      <c r="AB591" s="1" t="s">
        <v>74</v>
      </c>
      <c r="AC591" s="1" t="s">
        <v>4396</v>
      </c>
      <c r="AD591" s="1" t="s">
        <v>4396</v>
      </c>
      <c r="AE591" s="1" t="s">
        <v>4397</v>
      </c>
      <c r="AF591" s="1" t="s">
        <v>74</v>
      </c>
      <c r="AG591" s="1">
        <v>42</v>
      </c>
      <c r="AH591" s="1">
        <v>1</v>
      </c>
      <c r="AI591" s="1">
        <v>1</v>
      </c>
      <c r="AJ591" s="1">
        <v>8</v>
      </c>
      <c r="AK591" s="1">
        <v>8</v>
      </c>
      <c r="AL591" s="1" t="s">
        <v>679</v>
      </c>
      <c r="AM591" s="1" t="s">
        <v>92</v>
      </c>
      <c r="AN591" s="1" t="s">
        <v>680</v>
      </c>
      <c r="AO591" s="1" t="s">
        <v>681</v>
      </c>
      <c r="AP591" s="1" t="s">
        <v>682</v>
      </c>
      <c r="AQ591" s="1" t="s">
        <v>74</v>
      </c>
      <c r="AR591" s="1" t="s">
        <v>683</v>
      </c>
      <c r="AS591" s="1" t="s">
        <v>684</v>
      </c>
      <c r="AT591" s="1" t="s">
        <v>4398</v>
      </c>
      <c r="AU591" s="1">
        <v>2022</v>
      </c>
      <c r="AV591" s="1">
        <v>119</v>
      </c>
      <c r="AW591" s="1">
        <v>28</v>
      </c>
      <c r="AX591" s="1" t="s">
        <v>74</v>
      </c>
      <c r="AY591" s="1" t="s">
        <v>74</v>
      </c>
      <c r="AZ591" s="1" t="s">
        <v>74</v>
      </c>
      <c r="BA591" s="1" t="s">
        <v>74</v>
      </c>
      <c r="BB591" s="1" t="s">
        <v>74</v>
      </c>
      <c r="BC591" s="1" t="s">
        <v>74</v>
      </c>
      <c r="BD591" s="1" t="s">
        <v>4399</v>
      </c>
      <c r="BE591" s="1" t="s">
        <v>4400</v>
      </c>
      <c r="BF591" s="1" t="str">
        <f>HYPERLINK("http://dx.doi.org/10.1073/pnas.2121798119","http://dx.doi.org/10.1073/pnas.2121798119")</f>
        <v>http://dx.doi.org/10.1073/pnas.2121798119</v>
      </c>
      <c r="BG591" s="1" t="s">
        <v>74</v>
      </c>
      <c r="BH591" s="1" t="s">
        <v>74</v>
      </c>
      <c r="BI591" s="1">
        <v>12</v>
      </c>
      <c r="BJ591" s="1" t="s">
        <v>561</v>
      </c>
      <c r="BK591" s="1" t="s">
        <v>129</v>
      </c>
      <c r="BL591" s="1" t="s">
        <v>562</v>
      </c>
      <c r="BM591" s="1" t="s">
        <v>4401</v>
      </c>
      <c r="BN591" s="1">
        <v>35787033</v>
      </c>
      <c r="BO591" s="1" t="s">
        <v>131</v>
      </c>
      <c r="BP591" s="1" t="s">
        <v>74</v>
      </c>
      <c r="BQ591" s="1" t="s">
        <v>74</v>
      </c>
      <c r="BR591" s="1" t="s">
        <v>4296</v>
      </c>
      <c r="BS591" s="1" t="s">
        <v>4402</v>
      </c>
      <c r="BT591" s="1" t="str">
        <f>HYPERLINK("https%3A%2F%2Fwww.webofscience.com%2Fwos%2Fwoscc%2Ffull-record%2FWOS:000854977300013","View Full Record in Web of Science")</f>
        <v>View Full Record in Web of Science</v>
      </c>
      <c r="BU591" s="1" t="s">
        <v>5876</v>
      </c>
      <c r="BV591" s="1" t="s">
        <v>10653</v>
      </c>
    </row>
    <row r="592" spans="1:75" x14ac:dyDescent="0.35">
      <c r="A592" t="s">
        <v>72</v>
      </c>
      <c r="B592" t="s">
        <v>9043</v>
      </c>
      <c r="C592" t="s">
        <v>74</v>
      </c>
      <c r="D592" t="s">
        <v>74</v>
      </c>
      <c r="E592" t="s">
        <v>74</v>
      </c>
      <c r="F592" t="s">
        <v>9044</v>
      </c>
      <c r="G592" t="s">
        <v>74</v>
      </c>
      <c r="H592" t="s">
        <v>74</v>
      </c>
      <c r="I592" t="s">
        <v>9045</v>
      </c>
      <c r="J592" t="s">
        <v>8711</v>
      </c>
      <c r="K592" t="s">
        <v>74</v>
      </c>
      <c r="L592" t="s">
        <v>74</v>
      </c>
      <c r="M592" t="s">
        <v>78</v>
      </c>
      <c r="N592" t="s">
        <v>79</v>
      </c>
      <c r="O592" t="s">
        <v>74</v>
      </c>
      <c r="P592" t="s">
        <v>74</v>
      </c>
      <c r="Q592" t="s">
        <v>74</v>
      </c>
      <c r="R592" t="s">
        <v>74</v>
      </c>
      <c r="S592" t="s">
        <v>74</v>
      </c>
      <c r="T592" t="s">
        <v>9046</v>
      </c>
      <c r="U592" t="s">
        <v>9047</v>
      </c>
      <c r="V592" t="s">
        <v>9048</v>
      </c>
      <c r="W592" t="s">
        <v>9049</v>
      </c>
      <c r="X592" t="s">
        <v>9050</v>
      </c>
      <c r="Y592" t="s">
        <v>9051</v>
      </c>
      <c r="Z592" t="s">
        <v>9052</v>
      </c>
      <c r="AA592" t="s">
        <v>9053</v>
      </c>
      <c r="AB592" t="s">
        <v>9054</v>
      </c>
      <c r="AC592" t="s">
        <v>9055</v>
      </c>
      <c r="AD592" t="s">
        <v>9056</v>
      </c>
      <c r="AE592" t="s">
        <v>9057</v>
      </c>
      <c r="AF592" t="s">
        <v>74</v>
      </c>
      <c r="AG592">
        <v>152</v>
      </c>
      <c r="AH592">
        <v>3</v>
      </c>
      <c r="AI592">
        <v>3</v>
      </c>
      <c r="AJ592">
        <v>1</v>
      </c>
      <c r="AK592">
        <v>10</v>
      </c>
      <c r="AL592" t="s">
        <v>1180</v>
      </c>
      <c r="AM592" t="s">
        <v>1181</v>
      </c>
      <c r="AN592" t="s">
        <v>1182</v>
      </c>
      <c r="AO592" t="s">
        <v>8723</v>
      </c>
      <c r="AP592" t="s">
        <v>8724</v>
      </c>
      <c r="AQ592" t="s">
        <v>74</v>
      </c>
      <c r="AR592" t="s">
        <v>8725</v>
      </c>
      <c r="AS592" t="s">
        <v>8726</v>
      </c>
      <c r="AT592" t="s">
        <v>9058</v>
      </c>
      <c r="AU592">
        <v>2021</v>
      </c>
      <c r="AV592">
        <v>33</v>
      </c>
      <c r="AW592">
        <v>3</v>
      </c>
      <c r="AX592" t="s">
        <v>74</v>
      </c>
      <c r="AY592" t="s">
        <v>74</v>
      </c>
      <c r="AZ592" t="s">
        <v>74</v>
      </c>
      <c r="BA592" t="s">
        <v>74</v>
      </c>
      <c r="BB592">
        <v>307</v>
      </c>
      <c r="BC592">
        <v>358</v>
      </c>
      <c r="BD592" t="s">
        <v>74</v>
      </c>
      <c r="BE592" t="s">
        <v>9059</v>
      </c>
      <c r="BF592" t="str">
        <f>HYPERLINK("http://dx.doi.org/10.1080/10495142.2019.1707741","http://dx.doi.org/10.1080/10495142.2019.1707741")</f>
        <v>http://dx.doi.org/10.1080/10495142.2019.1707741</v>
      </c>
      <c r="BG592" t="s">
        <v>74</v>
      </c>
      <c r="BH592" t="s">
        <v>9060</v>
      </c>
      <c r="BI592">
        <v>52</v>
      </c>
      <c r="BJ592" t="s">
        <v>153</v>
      </c>
      <c r="BK592" t="s">
        <v>3880</v>
      </c>
      <c r="BL592" t="s">
        <v>154</v>
      </c>
      <c r="BM592" t="s">
        <v>9061</v>
      </c>
      <c r="BN592" t="s">
        <v>74</v>
      </c>
      <c r="BO592" t="s">
        <v>74</v>
      </c>
      <c r="BP592" t="s">
        <v>74</v>
      </c>
      <c r="BQ592" t="s">
        <v>74</v>
      </c>
      <c r="BR592" t="s">
        <v>6098</v>
      </c>
      <c r="BS592" t="s">
        <v>9062</v>
      </c>
      <c r="BT592" t="str">
        <f>HYPERLINK("https%3A%2F%2Fwww.webofscience.com%2Fwos%2Fwoscc%2Ffull-record%2FWOS:000504191800001","View Full Record in Web of Science")</f>
        <v>View Full Record in Web of Science</v>
      </c>
      <c r="BU592" t="s">
        <v>6100</v>
      </c>
      <c r="BV592" s="1" t="s">
        <v>6080</v>
      </c>
      <c r="BW592" s="1" t="s">
        <v>10653</v>
      </c>
    </row>
    <row r="593" spans="1:75" ht="348" x14ac:dyDescent="0.35">
      <c r="A593" s="1" t="s">
        <v>72</v>
      </c>
      <c r="B593" s="1" t="s">
        <v>4403</v>
      </c>
      <c r="C593" s="1" t="s">
        <v>74</v>
      </c>
      <c r="D593" s="1" t="s">
        <v>74</v>
      </c>
      <c r="E593" s="1" t="s">
        <v>74</v>
      </c>
      <c r="F593" s="1" t="s">
        <v>4404</v>
      </c>
      <c r="G593" s="1" t="s">
        <v>74</v>
      </c>
      <c r="H593" s="1" t="s">
        <v>74</v>
      </c>
      <c r="I593" s="1" t="s">
        <v>4405</v>
      </c>
      <c r="J593" s="1" t="s">
        <v>240</v>
      </c>
      <c r="K593" s="1" t="s">
        <v>74</v>
      </c>
      <c r="L593" s="1" t="s">
        <v>74</v>
      </c>
      <c r="M593" s="1" t="s">
        <v>78</v>
      </c>
      <c r="N593" s="1" t="s">
        <v>79</v>
      </c>
      <c r="O593" s="1" t="s">
        <v>74</v>
      </c>
      <c r="P593" s="1" t="s">
        <v>74</v>
      </c>
      <c r="Q593" s="1" t="s">
        <v>74</v>
      </c>
      <c r="R593" s="1" t="s">
        <v>74</v>
      </c>
      <c r="S593" s="1" t="s">
        <v>74</v>
      </c>
      <c r="T593" s="1" t="s">
        <v>4406</v>
      </c>
      <c r="U593" s="1" t="s">
        <v>4407</v>
      </c>
      <c r="V593" s="1" t="s">
        <v>4408</v>
      </c>
      <c r="W593" s="1" t="s">
        <v>4409</v>
      </c>
      <c r="X593" s="1" t="s">
        <v>4410</v>
      </c>
      <c r="Y593" s="1" t="s">
        <v>4411</v>
      </c>
      <c r="Z593" s="1" t="s">
        <v>4412</v>
      </c>
      <c r="AA593" s="1" t="s">
        <v>74</v>
      </c>
      <c r="AB593" s="1" t="s">
        <v>4413</v>
      </c>
      <c r="AC593" s="1" t="s">
        <v>74</v>
      </c>
      <c r="AD593" s="1" t="s">
        <v>74</v>
      </c>
      <c r="AE593" s="1" t="s">
        <v>74</v>
      </c>
      <c r="AF593" s="1" t="s">
        <v>74</v>
      </c>
      <c r="AG593" s="1">
        <v>102</v>
      </c>
      <c r="AH593" s="1">
        <v>5</v>
      </c>
      <c r="AI593" s="1">
        <v>5</v>
      </c>
      <c r="AJ593" s="1">
        <v>88</v>
      </c>
      <c r="AK593" s="1">
        <v>190</v>
      </c>
      <c r="AL593" s="1" t="s">
        <v>144</v>
      </c>
      <c r="AM593" s="1" t="s">
        <v>145</v>
      </c>
      <c r="AN593" s="1" t="s">
        <v>146</v>
      </c>
      <c r="AO593" s="1" t="s">
        <v>254</v>
      </c>
      <c r="AP593" s="1" t="s">
        <v>255</v>
      </c>
      <c r="AQ593" s="1" t="s">
        <v>74</v>
      </c>
      <c r="AR593" s="1" t="s">
        <v>256</v>
      </c>
      <c r="AS593" s="1" t="s">
        <v>257</v>
      </c>
      <c r="AT593" s="1" t="s">
        <v>704</v>
      </c>
      <c r="AU593" s="1">
        <v>2022</v>
      </c>
      <c r="AV593" s="1">
        <v>86</v>
      </c>
      <c r="AW593" s="1">
        <v>3</v>
      </c>
      <c r="AX593" s="1" t="s">
        <v>74</v>
      </c>
      <c r="AY593" s="1" t="s">
        <v>74</v>
      </c>
      <c r="AZ593" s="1" t="s">
        <v>74</v>
      </c>
      <c r="BA593" s="1" t="s">
        <v>74</v>
      </c>
      <c r="BB593" s="1">
        <v>1</v>
      </c>
      <c r="BC593" s="1">
        <v>20</v>
      </c>
      <c r="BD593" s="1" t="s">
        <v>74</v>
      </c>
      <c r="BE593" s="1" t="s">
        <v>4414</v>
      </c>
      <c r="BF593" s="1" t="str">
        <f>HYPERLINK("http://dx.doi.org/10.1177/00222429221082977","http://dx.doi.org/10.1177/00222429221082977")</f>
        <v>http://dx.doi.org/10.1177/00222429221082977</v>
      </c>
      <c r="BG593" s="1" t="s">
        <v>74</v>
      </c>
      <c r="BH593" s="1" t="s">
        <v>74</v>
      </c>
      <c r="BI593" s="1">
        <v>20</v>
      </c>
      <c r="BJ593" s="1" t="s">
        <v>153</v>
      </c>
      <c r="BK593" s="1" t="s">
        <v>101</v>
      </c>
      <c r="BL593" s="1" t="s">
        <v>154</v>
      </c>
      <c r="BM593" s="1" t="s">
        <v>4415</v>
      </c>
      <c r="BN593" s="1" t="s">
        <v>74</v>
      </c>
      <c r="BO593" s="1" t="s">
        <v>4416</v>
      </c>
      <c r="BP593" s="1" t="s">
        <v>74</v>
      </c>
      <c r="BQ593" s="1" t="s">
        <v>74</v>
      </c>
      <c r="BR593" s="1" t="s">
        <v>4296</v>
      </c>
      <c r="BS593" s="1" t="s">
        <v>4417</v>
      </c>
      <c r="BT593" s="1" t="str">
        <f>HYPERLINK("https%3A%2F%2Fwww.webofscience.com%2Fwos%2Fwoscc%2Ffull-record%2FWOS:000777444100001","View Full Record in Web of Science")</f>
        <v>View Full Record in Web of Science</v>
      </c>
      <c r="BU593" s="1" t="s">
        <v>5876</v>
      </c>
      <c r="BV593" s="1" t="s">
        <v>6080</v>
      </c>
      <c r="BW593" s="1" t="s">
        <v>10653</v>
      </c>
    </row>
    <row r="594" spans="1:75" ht="409.5" x14ac:dyDescent="0.35">
      <c r="A594" s="1" t="s">
        <v>72</v>
      </c>
      <c r="B594" s="1" t="s">
        <v>4418</v>
      </c>
      <c r="C594" s="1" t="s">
        <v>74</v>
      </c>
      <c r="D594" s="1" t="s">
        <v>74</v>
      </c>
      <c r="E594" s="1" t="s">
        <v>74</v>
      </c>
      <c r="F594" s="1" t="s">
        <v>4419</v>
      </c>
      <c r="G594" s="1" t="s">
        <v>74</v>
      </c>
      <c r="H594" s="1" t="s">
        <v>74</v>
      </c>
      <c r="I594" s="1" t="s">
        <v>4420</v>
      </c>
      <c r="J594" s="1" t="s">
        <v>436</v>
      </c>
      <c r="K594" s="1" t="s">
        <v>74</v>
      </c>
      <c r="L594" s="1" t="s">
        <v>74</v>
      </c>
      <c r="M594" s="1" t="s">
        <v>78</v>
      </c>
      <c r="N594" s="1" t="s">
        <v>79</v>
      </c>
      <c r="O594" s="1" t="s">
        <v>74</v>
      </c>
      <c r="P594" s="1" t="s">
        <v>74</v>
      </c>
      <c r="Q594" s="1" t="s">
        <v>74</v>
      </c>
      <c r="R594" s="1" t="s">
        <v>74</v>
      </c>
      <c r="S594" s="1" t="s">
        <v>74</v>
      </c>
      <c r="T594" s="1" t="s">
        <v>4421</v>
      </c>
      <c r="U594" s="1" t="s">
        <v>4422</v>
      </c>
      <c r="V594" s="1" t="s">
        <v>4423</v>
      </c>
      <c r="W594" s="1" t="s">
        <v>4424</v>
      </c>
      <c r="X594" s="1" t="s">
        <v>4425</v>
      </c>
      <c r="Y594" s="1" t="s">
        <v>4426</v>
      </c>
      <c r="Z594" s="1" t="s">
        <v>4427</v>
      </c>
      <c r="AA594" s="1" t="s">
        <v>74</v>
      </c>
      <c r="AB594" s="1" t="s">
        <v>4428</v>
      </c>
      <c r="AC594" s="1" t="s">
        <v>74</v>
      </c>
      <c r="AD594" s="1" t="s">
        <v>74</v>
      </c>
      <c r="AE594" s="1" t="s">
        <v>74</v>
      </c>
      <c r="AF594" s="1" t="s">
        <v>74</v>
      </c>
      <c r="AG594" s="1">
        <v>36</v>
      </c>
      <c r="AH594" s="1">
        <v>1</v>
      </c>
      <c r="AI594" s="1">
        <v>1</v>
      </c>
      <c r="AJ594" s="1">
        <v>39</v>
      </c>
      <c r="AK594" s="1">
        <v>50</v>
      </c>
      <c r="AL594" s="1" t="s">
        <v>446</v>
      </c>
      <c r="AM594" s="1" t="s">
        <v>447</v>
      </c>
      <c r="AN594" s="1" t="s">
        <v>448</v>
      </c>
      <c r="AO594" s="1" t="s">
        <v>449</v>
      </c>
      <c r="AP594" s="1" t="s">
        <v>450</v>
      </c>
      <c r="AQ594" s="1" t="s">
        <v>74</v>
      </c>
      <c r="AR594" s="1" t="s">
        <v>451</v>
      </c>
      <c r="AS594" s="1" t="s">
        <v>452</v>
      </c>
      <c r="AT594" s="1" t="s">
        <v>760</v>
      </c>
      <c r="AU594" s="1">
        <v>2022</v>
      </c>
      <c r="AV594" s="1">
        <v>41</v>
      </c>
      <c r="AW594" s="1">
        <v>3</v>
      </c>
      <c r="AX594" s="1" t="s">
        <v>74</v>
      </c>
      <c r="AY594" s="1" t="s">
        <v>74</v>
      </c>
      <c r="AZ594" s="1" t="s">
        <v>74</v>
      </c>
      <c r="BA594" s="1" t="s">
        <v>74</v>
      </c>
      <c r="BB594" s="1">
        <v>441</v>
      </c>
      <c r="BC594" s="1">
        <v>452</v>
      </c>
      <c r="BD594" s="1" t="s">
        <v>74</v>
      </c>
      <c r="BE594" s="1" t="s">
        <v>4429</v>
      </c>
      <c r="BF594" s="1" t="str">
        <f>HYPERLINK("http://dx.doi.org/10.1287/mksc.2022.1354","http://dx.doi.org/10.1287/mksc.2022.1354")</f>
        <v>http://dx.doi.org/10.1287/mksc.2022.1354</v>
      </c>
      <c r="BG594" s="1" t="s">
        <v>74</v>
      </c>
      <c r="BH594" s="1" t="s">
        <v>74</v>
      </c>
      <c r="BI594" s="1">
        <v>13</v>
      </c>
      <c r="BJ594" s="1" t="s">
        <v>153</v>
      </c>
      <c r="BK594" s="1" t="s">
        <v>101</v>
      </c>
      <c r="BL594" s="1" t="s">
        <v>154</v>
      </c>
      <c r="BM594" s="1" t="s">
        <v>4430</v>
      </c>
      <c r="BN594" s="1" t="s">
        <v>74</v>
      </c>
      <c r="BO594" s="1" t="s">
        <v>74</v>
      </c>
      <c r="BP594" s="1" t="s">
        <v>74</v>
      </c>
      <c r="BQ594" s="1" t="s">
        <v>74</v>
      </c>
      <c r="BR594" s="1" t="s">
        <v>4296</v>
      </c>
      <c r="BS594" s="1" t="s">
        <v>4431</v>
      </c>
      <c r="BT594" s="1" t="str">
        <f>HYPERLINK("https%3A%2F%2Fwww.webofscience.com%2Fwos%2Fwoscc%2Ffull-record%2FWOS:000804442500002","View Full Record in Web of Science")</f>
        <v>View Full Record in Web of Science</v>
      </c>
      <c r="BU594" s="1" t="s">
        <v>5876</v>
      </c>
      <c r="BV594" s="1" t="s">
        <v>6080</v>
      </c>
      <c r="BW594" s="1" t="s">
        <v>6080</v>
      </c>
    </row>
    <row r="595" spans="1:75" x14ac:dyDescent="0.35">
      <c r="A595" t="s">
        <v>72</v>
      </c>
      <c r="B595" t="s">
        <v>9092</v>
      </c>
      <c r="C595" t="s">
        <v>74</v>
      </c>
      <c r="D595" t="s">
        <v>74</v>
      </c>
      <c r="E595" t="s">
        <v>74</v>
      </c>
      <c r="F595" t="s">
        <v>9093</v>
      </c>
      <c r="G595" t="s">
        <v>74</v>
      </c>
      <c r="H595" t="s">
        <v>74</v>
      </c>
      <c r="I595" t="s">
        <v>9094</v>
      </c>
      <c r="J595" t="s">
        <v>3737</v>
      </c>
      <c r="K595" t="s">
        <v>74</v>
      </c>
      <c r="L595" t="s">
        <v>74</v>
      </c>
      <c r="M595" t="s">
        <v>78</v>
      </c>
      <c r="N595" t="s">
        <v>79</v>
      </c>
      <c r="O595" t="s">
        <v>74</v>
      </c>
      <c r="P595" t="s">
        <v>74</v>
      </c>
      <c r="Q595" t="s">
        <v>74</v>
      </c>
      <c r="R595" t="s">
        <v>74</v>
      </c>
      <c r="S595" t="s">
        <v>74</v>
      </c>
      <c r="T595" t="s">
        <v>9095</v>
      </c>
      <c r="U595" t="s">
        <v>9096</v>
      </c>
      <c r="V595" t="s">
        <v>9097</v>
      </c>
      <c r="W595" t="s">
        <v>9098</v>
      </c>
      <c r="X595" t="s">
        <v>9099</v>
      </c>
      <c r="Y595" t="s">
        <v>9100</v>
      </c>
      <c r="Z595" t="s">
        <v>9101</v>
      </c>
      <c r="AA595" t="s">
        <v>9102</v>
      </c>
      <c r="AB595" t="s">
        <v>9103</v>
      </c>
      <c r="AC595" t="s">
        <v>74</v>
      </c>
      <c r="AD595" t="s">
        <v>74</v>
      </c>
      <c r="AE595" t="s">
        <v>74</v>
      </c>
      <c r="AF595" t="s">
        <v>74</v>
      </c>
      <c r="AG595">
        <v>48</v>
      </c>
      <c r="AH595">
        <v>50</v>
      </c>
      <c r="AI595">
        <v>50</v>
      </c>
      <c r="AJ595">
        <v>4</v>
      </c>
      <c r="AK595">
        <v>48</v>
      </c>
      <c r="AL595" t="s">
        <v>324</v>
      </c>
      <c r="AM595" t="s">
        <v>325</v>
      </c>
      <c r="AN595" t="s">
        <v>2004</v>
      </c>
      <c r="AO595" t="s">
        <v>3743</v>
      </c>
      <c r="AP595" t="s">
        <v>3831</v>
      </c>
      <c r="AQ595" t="s">
        <v>74</v>
      </c>
      <c r="AR595" t="s">
        <v>3744</v>
      </c>
      <c r="AS595" t="s">
        <v>3745</v>
      </c>
      <c r="AT595" t="s">
        <v>469</v>
      </c>
      <c r="AU595">
        <v>2021</v>
      </c>
      <c r="AV595">
        <v>132</v>
      </c>
      <c r="AW595" t="s">
        <v>74</v>
      </c>
      <c r="AX595" t="s">
        <v>74</v>
      </c>
      <c r="AY595" t="s">
        <v>74</v>
      </c>
      <c r="AZ595" t="s">
        <v>74</v>
      </c>
      <c r="BA595" t="s">
        <v>74</v>
      </c>
      <c r="BB595">
        <v>586</v>
      </c>
      <c r="BC595">
        <v>593</v>
      </c>
      <c r="BD595" t="s">
        <v>74</v>
      </c>
      <c r="BE595" t="s">
        <v>9104</v>
      </c>
      <c r="BF595" t="str">
        <f>HYPERLINK("http://dx.doi.org/10.1016/j.jbusres.2020.11.043","http://dx.doi.org/10.1016/j.jbusres.2020.11.043")</f>
        <v>http://dx.doi.org/10.1016/j.jbusres.2020.11.043</v>
      </c>
      <c r="BG595" t="s">
        <v>74</v>
      </c>
      <c r="BH595" t="s">
        <v>6216</v>
      </c>
      <c r="BI595">
        <v>8</v>
      </c>
      <c r="BJ595" t="s">
        <v>153</v>
      </c>
      <c r="BK595" t="s">
        <v>101</v>
      </c>
      <c r="BL595" t="s">
        <v>154</v>
      </c>
      <c r="BM595" t="s">
        <v>9105</v>
      </c>
      <c r="BN595">
        <v>34744212</v>
      </c>
      <c r="BO595" t="s">
        <v>367</v>
      </c>
      <c r="BP595" t="s">
        <v>74</v>
      </c>
      <c r="BQ595" t="s">
        <v>74</v>
      </c>
      <c r="BR595" t="s">
        <v>6098</v>
      </c>
      <c r="BS595" t="s">
        <v>9106</v>
      </c>
      <c r="BT595" t="str">
        <f>HYPERLINK("https%3A%2F%2Fwww.webofscience.com%2Fwos%2Fwoscc%2Ffull-record%2FWOS:000657911500013","View Full Record in Web of Science")</f>
        <v>View Full Record in Web of Science</v>
      </c>
      <c r="BU595" t="s">
        <v>6100</v>
      </c>
      <c r="BV595" s="1" t="s">
        <v>6080</v>
      </c>
      <c r="BW595" s="1" t="s">
        <v>10653</v>
      </c>
    </row>
    <row r="596" spans="1:75" ht="409.5" x14ac:dyDescent="0.35">
      <c r="A596" s="1" t="s">
        <v>72</v>
      </c>
      <c r="B596" s="1" t="s">
        <v>4444</v>
      </c>
      <c r="C596" s="1" t="s">
        <v>74</v>
      </c>
      <c r="D596" s="1" t="s">
        <v>74</v>
      </c>
      <c r="E596" s="1" t="s">
        <v>74</v>
      </c>
      <c r="F596" s="1" t="s">
        <v>4445</v>
      </c>
      <c r="G596" s="1" t="s">
        <v>74</v>
      </c>
      <c r="H596" s="1" t="s">
        <v>74</v>
      </c>
      <c r="I596" s="1" t="s">
        <v>4446</v>
      </c>
      <c r="J596" s="1" t="s">
        <v>4447</v>
      </c>
      <c r="K596" s="1" t="s">
        <v>74</v>
      </c>
      <c r="L596" s="1" t="s">
        <v>74</v>
      </c>
      <c r="M596" s="1" t="s">
        <v>78</v>
      </c>
      <c r="N596" s="1" t="s">
        <v>79</v>
      </c>
      <c r="O596" s="1" t="s">
        <v>74</v>
      </c>
      <c r="P596" s="1" t="s">
        <v>74</v>
      </c>
      <c r="Q596" s="1" t="s">
        <v>74</v>
      </c>
      <c r="R596" s="1" t="s">
        <v>74</v>
      </c>
      <c r="S596" s="1" t="s">
        <v>74</v>
      </c>
      <c r="T596" s="1" t="s">
        <v>4448</v>
      </c>
      <c r="U596" s="1" t="s">
        <v>4449</v>
      </c>
      <c r="V596" s="1" t="s">
        <v>4450</v>
      </c>
      <c r="W596" s="1" t="s">
        <v>4451</v>
      </c>
      <c r="X596" s="1" t="s">
        <v>4452</v>
      </c>
      <c r="Y596" s="1" t="s">
        <v>4453</v>
      </c>
      <c r="Z596" s="1" t="s">
        <v>4454</v>
      </c>
      <c r="AA596" s="1" t="s">
        <v>74</v>
      </c>
      <c r="AB596" s="1" t="s">
        <v>74</v>
      </c>
      <c r="AC596" s="1" t="s">
        <v>4455</v>
      </c>
      <c r="AD596" s="1" t="s">
        <v>4456</v>
      </c>
      <c r="AE596" s="1" t="s">
        <v>4457</v>
      </c>
      <c r="AF596" s="1" t="s">
        <v>74</v>
      </c>
      <c r="AG596" s="1">
        <v>50</v>
      </c>
      <c r="AH596" s="1">
        <v>0</v>
      </c>
      <c r="AI596" s="1">
        <v>0</v>
      </c>
      <c r="AJ596" s="1">
        <v>1</v>
      </c>
      <c r="AK596" s="1">
        <v>1</v>
      </c>
      <c r="AL596" s="1" t="s">
        <v>4458</v>
      </c>
      <c r="AM596" s="1" t="s">
        <v>4459</v>
      </c>
      <c r="AN596" s="1" t="s">
        <v>4460</v>
      </c>
      <c r="AO596" s="1" t="s">
        <v>4461</v>
      </c>
      <c r="AP596" s="1" t="s">
        <v>74</v>
      </c>
      <c r="AQ596" s="1" t="s">
        <v>74</v>
      </c>
      <c r="AR596" s="1" t="s">
        <v>4462</v>
      </c>
      <c r="AS596" s="1" t="s">
        <v>4463</v>
      </c>
      <c r="AT596" s="1" t="s">
        <v>330</v>
      </c>
      <c r="AU596" s="1">
        <v>2022</v>
      </c>
      <c r="AV596" s="1">
        <v>43</v>
      </c>
      <c r="AW596" s="1">
        <v>2</v>
      </c>
      <c r="AX596" s="1" t="s">
        <v>74</v>
      </c>
      <c r="AY596" s="1" t="s">
        <v>74</v>
      </c>
      <c r="AZ596" s="1" t="s">
        <v>74</v>
      </c>
      <c r="BA596" s="1" t="s">
        <v>74</v>
      </c>
      <c r="BB596" s="1">
        <v>105</v>
      </c>
      <c r="BC596" s="1">
        <v>115</v>
      </c>
      <c r="BD596" s="1" t="s">
        <v>74</v>
      </c>
      <c r="BE596" s="1" t="s">
        <v>4464</v>
      </c>
      <c r="BF596" s="1" t="str">
        <f>HYPERLINK("http://dx.doi.org/10.31857/S020595920019417-4","http://dx.doi.org/10.31857/S020595920019417-4")</f>
        <v>http://dx.doi.org/10.31857/S020595920019417-4</v>
      </c>
      <c r="BG596" s="1" t="s">
        <v>74</v>
      </c>
      <c r="BH596" s="1" t="s">
        <v>74</v>
      </c>
      <c r="BI596" s="1">
        <v>11</v>
      </c>
      <c r="BJ596" s="1" t="s">
        <v>311</v>
      </c>
      <c r="BK596" s="1" t="s">
        <v>101</v>
      </c>
      <c r="BL596" s="1" t="s">
        <v>102</v>
      </c>
      <c r="BM596" s="1" t="s">
        <v>4465</v>
      </c>
      <c r="BN596" s="1" t="s">
        <v>74</v>
      </c>
      <c r="BO596" s="1" t="s">
        <v>74</v>
      </c>
      <c r="BP596" s="1" t="s">
        <v>74</v>
      </c>
      <c r="BQ596" s="1" t="s">
        <v>74</v>
      </c>
      <c r="BR596" s="1" t="s">
        <v>4296</v>
      </c>
      <c r="BS596" s="1" t="s">
        <v>4466</v>
      </c>
      <c r="BT596" s="1" t="str">
        <f>HYPERLINK("https%3A%2F%2Fwww.webofscience.com%2Fwos%2Fwoscc%2Ffull-record%2FWOS:000901707800010","View Full Record in Web of Science")</f>
        <v>View Full Record in Web of Science</v>
      </c>
      <c r="BU596" s="1" t="s">
        <v>5876</v>
      </c>
      <c r="BV596" s="1" t="s">
        <v>10653</v>
      </c>
    </row>
    <row r="597" spans="1:75" ht="409.5" x14ac:dyDescent="0.35">
      <c r="A597" s="1" t="s">
        <v>72</v>
      </c>
      <c r="B597" s="1" t="s">
        <v>4467</v>
      </c>
      <c r="C597" s="1" t="s">
        <v>74</v>
      </c>
      <c r="D597" s="1" t="s">
        <v>74</v>
      </c>
      <c r="E597" s="1" t="s">
        <v>74</v>
      </c>
      <c r="F597" s="1" t="s">
        <v>4468</v>
      </c>
      <c r="G597" s="1" t="s">
        <v>74</v>
      </c>
      <c r="H597" s="1" t="s">
        <v>74</v>
      </c>
      <c r="I597" s="1" t="s">
        <v>4469</v>
      </c>
      <c r="J597" s="1" t="s">
        <v>4470</v>
      </c>
      <c r="K597" s="1" t="s">
        <v>74</v>
      </c>
      <c r="L597" s="1" t="s">
        <v>74</v>
      </c>
      <c r="M597" s="1" t="s">
        <v>78</v>
      </c>
      <c r="N597" s="1" t="s">
        <v>79</v>
      </c>
      <c r="O597" s="1" t="s">
        <v>74</v>
      </c>
      <c r="P597" s="1" t="s">
        <v>74</v>
      </c>
      <c r="Q597" s="1" t="s">
        <v>74</v>
      </c>
      <c r="R597" s="1" t="s">
        <v>74</v>
      </c>
      <c r="S597" s="1" t="s">
        <v>74</v>
      </c>
      <c r="T597" s="1" t="s">
        <v>74</v>
      </c>
      <c r="U597" s="1" t="s">
        <v>74</v>
      </c>
      <c r="V597" s="1" t="s">
        <v>4471</v>
      </c>
      <c r="W597" s="1" t="s">
        <v>4472</v>
      </c>
      <c r="X597" s="1" t="s">
        <v>4473</v>
      </c>
      <c r="Y597" s="1" t="s">
        <v>4474</v>
      </c>
      <c r="Z597" s="1" t="s">
        <v>4475</v>
      </c>
      <c r="AA597" s="1" t="s">
        <v>74</v>
      </c>
      <c r="AB597" s="1" t="s">
        <v>4476</v>
      </c>
      <c r="AC597" s="1" t="s">
        <v>4477</v>
      </c>
      <c r="AD597" s="1" t="s">
        <v>4478</v>
      </c>
      <c r="AE597" s="1" t="s">
        <v>4479</v>
      </c>
      <c r="AF597" s="1" t="s">
        <v>74</v>
      </c>
      <c r="AG597" s="1">
        <v>58</v>
      </c>
      <c r="AH597" s="1">
        <v>2</v>
      </c>
      <c r="AI597" s="1">
        <v>2</v>
      </c>
      <c r="AJ597" s="1">
        <v>11</v>
      </c>
      <c r="AK597" s="1">
        <v>15</v>
      </c>
      <c r="AL597" s="1" t="s">
        <v>1033</v>
      </c>
      <c r="AM597" s="1" t="s">
        <v>1034</v>
      </c>
      <c r="AN597" s="1" t="s">
        <v>1035</v>
      </c>
      <c r="AO597" s="1" t="s">
        <v>74</v>
      </c>
      <c r="AP597" s="1" t="s">
        <v>4480</v>
      </c>
      <c r="AQ597" s="1" t="s">
        <v>74</v>
      </c>
      <c r="AR597" s="1" t="s">
        <v>4481</v>
      </c>
      <c r="AS597" s="1" t="s">
        <v>4482</v>
      </c>
      <c r="AT597" s="1" t="s">
        <v>363</v>
      </c>
      <c r="AU597" s="1">
        <v>2022</v>
      </c>
      <c r="AV597" s="1">
        <v>4</v>
      </c>
      <c r="AW597" s="1">
        <v>3</v>
      </c>
      <c r="AX597" s="1" t="s">
        <v>74</v>
      </c>
      <c r="AY597" s="1" t="s">
        <v>74</v>
      </c>
      <c r="AZ597" s="1" t="s">
        <v>74</v>
      </c>
      <c r="BA597" s="1" t="s">
        <v>74</v>
      </c>
      <c r="BB597" s="1">
        <v>258</v>
      </c>
      <c r="BC597" s="1" t="s">
        <v>876</v>
      </c>
      <c r="BD597" s="1" t="s">
        <v>74</v>
      </c>
      <c r="BE597" s="1" t="s">
        <v>4483</v>
      </c>
      <c r="BF597" s="1" t="str">
        <f>HYPERLINK("http://dx.doi.org/10.1038/s42256-022-00458-8","http://dx.doi.org/10.1038/s42256-022-00458-8")</f>
        <v>http://dx.doi.org/10.1038/s42256-022-00458-8</v>
      </c>
      <c r="BG597" s="1" t="s">
        <v>74</v>
      </c>
      <c r="BH597" s="1" t="s">
        <v>74</v>
      </c>
      <c r="BI597" s="1">
        <v>17</v>
      </c>
      <c r="BJ597" s="1" t="s">
        <v>4484</v>
      </c>
      <c r="BK597" s="1" t="s">
        <v>129</v>
      </c>
      <c r="BL597" s="1" t="s">
        <v>417</v>
      </c>
      <c r="BM597" s="1" t="s">
        <v>4485</v>
      </c>
      <c r="BN597" s="1" t="s">
        <v>74</v>
      </c>
      <c r="BO597" s="1" t="s">
        <v>156</v>
      </c>
      <c r="BP597" s="1" t="s">
        <v>74</v>
      </c>
      <c r="BQ597" s="1" t="s">
        <v>74</v>
      </c>
      <c r="BR597" s="1" t="s">
        <v>4296</v>
      </c>
      <c r="BS597" s="1" t="s">
        <v>4486</v>
      </c>
      <c r="BT597" s="1" t="str">
        <f>HYPERLINK("https%3A%2F%2Fwww.webofscience.com%2Fwos%2Fwoscc%2Ffull-record%2FWOS:000772442700005","View Full Record in Web of Science")</f>
        <v>View Full Record in Web of Science</v>
      </c>
      <c r="BU597" s="1" t="s">
        <v>5876</v>
      </c>
      <c r="BV597" s="1" t="s">
        <v>10653</v>
      </c>
    </row>
    <row r="598" spans="1:75" ht="232" x14ac:dyDescent="0.35">
      <c r="A598" s="1" t="s">
        <v>72</v>
      </c>
      <c r="B598" s="1" t="s">
        <v>4487</v>
      </c>
      <c r="C598" s="1" t="s">
        <v>74</v>
      </c>
      <c r="D598" s="1" t="s">
        <v>74</v>
      </c>
      <c r="E598" s="1" t="s">
        <v>74</v>
      </c>
      <c r="F598" s="1" t="s">
        <v>4488</v>
      </c>
      <c r="G598" s="1" t="s">
        <v>74</v>
      </c>
      <c r="H598" s="1" t="s">
        <v>74</v>
      </c>
      <c r="I598" s="1" t="s">
        <v>4489</v>
      </c>
      <c r="J598" s="1" t="s">
        <v>4490</v>
      </c>
      <c r="K598" s="1" t="s">
        <v>74</v>
      </c>
      <c r="L598" s="1" t="s">
        <v>74</v>
      </c>
      <c r="M598" s="1" t="s">
        <v>78</v>
      </c>
      <c r="N598" s="1" t="s">
        <v>79</v>
      </c>
      <c r="O598" s="1" t="s">
        <v>74</v>
      </c>
      <c r="P598" s="1" t="s">
        <v>74</v>
      </c>
      <c r="Q598" s="1" t="s">
        <v>74</v>
      </c>
      <c r="R598" s="1" t="s">
        <v>74</v>
      </c>
      <c r="S598" s="1" t="s">
        <v>74</v>
      </c>
      <c r="T598" s="1" t="s">
        <v>74</v>
      </c>
      <c r="U598" s="1" t="s">
        <v>4491</v>
      </c>
      <c r="V598" s="1" t="s">
        <v>4492</v>
      </c>
      <c r="W598" s="1" t="s">
        <v>4493</v>
      </c>
      <c r="X598" s="1" t="s">
        <v>4494</v>
      </c>
      <c r="Y598" s="1" t="s">
        <v>4495</v>
      </c>
      <c r="Z598" s="1" t="s">
        <v>74</v>
      </c>
      <c r="AA598" s="1" t="s">
        <v>74</v>
      </c>
      <c r="AB598" s="1" t="s">
        <v>74</v>
      </c>
      <c r="AC598" s="1" t="s">
        <v>74</v>
      </c>
      <c r="AD598" s="1" t="s">
        <v>74</v>
      </c>
      <c r="AE598" s="1" t="s">
        <v>74</v>
      </c>
      <c r="AF598" s="1" t="s">
        <v>74</v>
      </c>
      <c r="AG598" s="1">
        <v>117</v>
      </c>
      <c r="AH598" s="1">
        <v>3</v>
      </c>
      <c r="AI598" s="1">
        <v>3</v>
      </c>
      <c r="AJ598" s="1">
        <v>9</v>
      </c>
      <c r="AK598" s="1">
        <v>37</v>
      </c>
      <c r="AL598" s="1" t="s">
        <v>357</v>
      </c>
      <c r="AM598" s="1" t="s">
        <v>233</v>
      </c>
      <c r="AN598" s="1" t="s">
        <v>358</v>
      </c>
      <c r="AO598" s="1" t="s">
        <v>4496</v>
      </c>
      <c r="AP598" s="1" t="s">
        <v>4497</v>
      </c>
      <c r="AQ598" s="1" t="s">
        <v>74</v>
      </c>
      <c r="AR598" s="1" t="s">
        <v>4498</v>
      </c>
      <c r="AS598" s="1" t="s">
        <v>4499</v>
      </c>
      <c r="AT598" s="1" t="s">
        <v>177</v>
      </c>
      <c r="AU598" s="1">
        <v>2022</v>
      </c>
      <c r="AV598" s="1">
        <v>130</v>
      </c>
      <c r="AW598" s="1">
        <v>2</v>
      </c>
      <c r="AX598" s="1" t="s">
        <v>74</v>
      </c>
      <c r="AY598" s="1" t="s">
        <v>74</v>
      </c>
      <c r="AZ598" s="1" t="s">
        <v>74</v>
      </c>
      <c r="BA598" s="1" t="s">
        <v>74</v>
      </c>
      <c r="BB598" s="1">
        <v>259</v>
      </c>
      <c r="BC598" s="1">
        <v>309</v>
      </c>
      <c r="BD598" s="1" t="s">
        <v>74</v>
      </c>
      <c r="BE598" s="1" t="s">
        <v>4500</v>
      </c>
      <c r="BF598" s="1" t="str">
        <f>HYPERLINK("http://dx.doi.org/10.1086/717351","http://dx.doi.org/10.1086/717351")</f>
        <v>http://dx.doi.org/10.1086/717351</v>
      </c>
      <c r="BG598" s="1" t="s">
        <v>74</v>
      </c>
      <c r="BH598" s="1" t="s">
        <v>4501</v>
      </c>
      <c r="BI598" s="1">
        <v>51</v>
      </c>
      <c r="BJ598" s="1" t="s">
        <v>4502</v>
      </c>
      <c r="BK598" s="1" t="s">
        <v>101</v>
      </c>
      <c r="BL598" s="1" t="s">
        <v>154</v>
      </c>
      <c r="BM598" s="1" t="s">
        <v>4503</v>
      </c>
      <c r="BN598" s="1" t="s">
        <v>74</v>
      </c>
      <c r="BO598" s="1" t="s">
        <v>74</v>
      </c>
      <c r="BP598" s="1" t="s">
        <v>74</v>
      </c>
      <c r="BQ598" s="1" t="s">
        <v>74</v>
      </c>
      <c r="BR598" s="1" t="s">
        <v>4296</v>
      </c>
      <c r="BS598" s="1" t="s">
        <v>4504</v>
      </c>
      <c r="BT598" s="1" t="str">
        <f>HYPERLINK("https%3A%2F%2Fwww.webofscience.com%2Fwos%2Fwoscc%2Ffull-record%2FWOS:000732291400001","View Full Record in Web of Science")</f>
        <v>View Full Record in Web of Science</v>
      </c>
      <c r="BU598" s="1" t="s">
        <v>5876</v>
      </c>
      <c r="BV598" s="1" t="s">
        <v>10653</v>
      </c>
    </row>
    <row r="599" spans="1:75" ht="409.5" x14ac:dyDescent="0.35">
      <c r="A599" s="1" t="s">
        <v>72</v>
      </c>
      <c r="B599" s="1" t="s">
        <v>4505</v>
      </c>
      <c r="C599" s="1" t="s">
        <v>74</v>
      </c>
      <c r="D599" s="1" t="s">
        <v>74</v>
      </c>
      <c r="E599" s="1" t="s">
        <v>74</v>
      </c>
      <c r="F599" s="1" t="s">
        <v>4506</v>
      </c>
      <c r="G599" s="1" t="s">
        <v>74</v>
      </c>
      <c r="H599" s="1" t="s">
        <v>74</v>
      </c>
      <c r="I599" s="1" t="s">
        <v>4507</v>
      </c>
      <c r="J599" s="1" t="s">
        <v>136</v>
      </c>
      <c r="K599" s="1" t="s">
        <v>74</v>
      </c>
      <c r="L599" s="1" t="s">
        <v>74</v>
      </c>
      <c r="M599" s="1" t="s">
        <v>78</v>
      </c>
      <c r="N599" s="1" t="s">
        <v>79</v>
      </c>
      <c r="O599" s="1" t="s">
        <v>74</v>
      </c>
      <c r="P599" s="1" t="s">
        <v>74</v>
      </c>
      <c r="Q599" s="1" t="s">
        <v>74</v>
      </c>
      <c r="R599" s="1" t="s">
        <v>74</v>
      </c>
      <c r="S599" s="1" t="s">
        <v>74</v>
      </c>
      <c r="T599" s="1" t="s">
        <v>4508</v>
      </c>
      <c r="U599" s="1" t="s">
        <v>4509</v>
      </c>
      <c r="V599" s="1" t="s">
        <v>4510</v>
      </c>
      <c r="W599" s="1" t="s">
        <v>4511</v>
      </c>
      <c r="X599" s="1" t="s">
        <v>4512</v>
      </c>
      <c r="Y599" s="1" t="s">
        <v>4513</v>
      </c>
      <c r="Z599" s="1" t="s">
        <v>4514</v>
      </c>
      <c r="AA599" s="1" t="s">
        <v>74</v>
      </c>
      <c r="AB599" s="1" t="s">
        <v>74</v>
      </c>
      <c r="AC599" s="1" t="s">
        <v>74</v>
      </c>
      <c r="AD599" s="1" t="s">
        <v>74</v>
      </c>
      <c r="AE599" s="1" t="s">
        <v>74</v>
      </c>
      <c r="AF599" s="1" t="s">
        <v>74</v>
      </c>
      <c r="AG599" s="1">
        <v>65</v>
      </c>
      <c r="AH599" s="1">
        <v>4</v>
      </c>
      <c r="AI599" s="1">
        <v>4</v>
      </c>
      <c r="AJ599" s="1">
        <v>45</v>
      </c>
      <c r="AK599" s="1">
        <v>88</v>
      </c>
      <c r="AL599" s="1" t="s">
        <v>144</v>
      </c>
      <c r="AM599" s="1" t="s">
        <v>145</v>
      </c>
      <c r="AN599" s="1" t="s">
        <v>146</v>
      </c>
      <c r="AO599" s="1" t="s">
        <v>147</v>
      </c>
      <c r="AP599" s="1" t="s">
        <v>148</v>
      </c>
      <c r="AQ599" s="1" t="s">
        <v>74</v>
      </c>
      <c r="AR599" s="1" t="s">
        <v>149</v>
      </c>
      <c r="AS599" s="1" t="s">
        <v>150</v>
      </c>
      <c r="AT599" s="1" t="s">
        <v>151</v>
      </c>
      <c r="AU599" s="1">
        <v>2022</v>
      </c>
      <c r="AV599" s="1">
        <v>59</v>
      </c>
      <c r="AW599" s="1">
        <v>3</v>
      </c>
      <c r="AX599" s="1" t="s">
        <v>74</v>
      </c>
      <c r="AY599" s="1" t="s">
        <v>74</v>
      </c>
      <c r="AZ599" s="1" t="s">
        <v>74</v>
      </c>
      <c r="BA599" s="1" t="s">
        <v>74</v>
      </c>
      <c r="BB599" s="1">
        <v>600</v>
      </c>
      <c r="BC599" s="1">
        <v>622</v>
      </c>
      <c r="BD599" s="1">
        <v>222437211052500</v>
      </c>
      <c r="BE599" s="1" t="s">
        <v>4515</v>
      </c>
      <c r="BF599" s="1" t="str">
        <f>HYPERLINK("http://dx.doi.org/10.1177/00222437211052500","http://dx.doi.org/10.1177/00222437211052500")</f>
        <v>http://dx.doi.org/10.1177/00222437211052500</v>
      </c>
      <c r="BG599" s="1" t="s">
        <v>74</v>
      </c>
      <c r="BH599" s="1" t="s">
        <v>4516</v>
      </c>
      <c r="BI599" s="1">
        <v>23</v>
      </c>
      <c r="BJ599" s="1" t="s">
        <v>153</v>
      </c>
      <c r="BK599" s="1" t="s">
        <v>101</v>
      </c>
      <c r="BL599" s="1" t="s">
        <v>154</v>
      </c>
      <c r="BM599" s="1" t="s">
        <v>4517</v>
      </c>
      <c r="BN599" s="1" t="s">
        <v>74</v>
      </c>
      <c r="BO599" s="1" t="s">
        <v>74</v>
      </c>
      <c r="BP599" s="1" t="s">
        <v>74</v>
      </c>
      <c r="BQ599" s="1" t="s">
        <v>74</v>
      </c>
      <c r="BR599" s="1" t="s">
        <v>4296</v>
      </c>
      <c r="BS599" s="1" t="s">
        <v>4518</v>
      </c>
      <c r="BT599" s="1" t="str">
        <f>HYPERLINK("https%3A%2F%2Fwww.webofscience.com%2Fwos%2Fwoscc%2Ffull-record%2FWOS:000739431700001","View Full Record in Web of Science")</f>
        <v>View Full Record in Web of Science</v>
      </c>
      <c r="BU599" s="1" t="s">
        <v>5876</v>
      </c>
      <c r="BV599" s="1" t="s">
        <v>6080</v>
      </c>
      <c r="BW599" s="1" t="s">
        <v>6080</v>
      </c>
    </row>
    <row r="600" spans="1:75" ht="409.5" x14ac:dyDescent="0.35">
      <c r="A600" s="1" t="s">
        <v>578</v>
      </c>
      <c r="B600" s="1" t="s">
        <v>4519</v>
      </c>
      <c r="C600" s="1" t="s">
        <v>74</v>
      </c>
      <c r="D600" s="1" t="s">
        <v>74</v>
      </c>
      <c r="E600" s="1" t="s">
        <v>4520</v>
      </c>
      <c r="F600" s="1" t="s">
        <v>4521</v>
      </c>
      <c r="G600" s="1" t="s">
        <v>74</v>
      </c>
      <c r="H600" s="1" t="s">
        <v>74</v>
      </c>
      <c r="I600" s="1" t="s">
        <v>4522</v>
      </c>
      <c r="J600" s="1" t="s">
        <v>4523</v>
      </c>
      <c r="K600" s="1" t="s">
        <v>4244</v>
      </c>
      <c r="L600" s="1" t="s">
        <v>74</v>
      </c>
      <c r="M600" s="1" t="s">
        <v>78</v>
      </c>
      <c r="N600" s="1" t="s">
        <v>584</v>
      </c>
      <c r="O600" s="1" t="s">
        <v>4524</v>
      </c>
      <c r="P600" s="1" t="s">
        <v>4525</v>
      </c>
      <c r="Q600" s="1" t="s">
        <v>4526</v>
      </c>
      <c r="R600" s="1" t="s">
        <v>4245</v>
      </c>
      <c r="S600" s="1" t="s">
        <v>74</v>
      </c>
      <c r="T600" s="1" t="s">
        <v>74</v>
      </c>
      <c r="U600" s="1" t="s">
        <v>74</v>
      </c>
      <c r="V600" s="1" t="s">
        <v>4527</v>
      </c>
      <c r="W600" s="1" t="s">
        <v>4528</v>
      </c>
      <c r="X600" s="1" t="s">
        <v>4529</v>
      </c>
      <c r="Y600" s="1" t="s">
        <v>4530</v>
      </c>
      <c r="Z600" s="1" t="s">
        <v>74</v>
      </c>
      <c r="AA600" s="1" t="s">
        <v>74</v>
      </c>
      <c r="AB600" s="1" t="s">
        <v>74</v>
      </c>
      <c r="AC600" s="1" t="s">
        <v>4531</v>
      </c>
      <c r="AD600" s="1" t="s">
        <v>4532</v>
      </c>
      <c r="AE600" s="1" t="s">
        <v>4533</v>
      </c>
      <c r="AF600" s="1" t="s">
        <v>74</v>
      </c>
      <c r="AG600" s="1">
        <v>103</v>
      </c>
      <c r="AH600" s="1">
        <v>1</v>
      </c>
      <c r="AI600" s="1">
        <v>1</v>
      </c>
      <c r="AJ600" s="1">
        <v>26</v>
      </c>
      <c r="AK600" s="1">
        <v>26</v>
      </c>
      <c r="AL600" s="1" t="s">
        <v>724</v>
      </c>
      <c r="AM600" s="1" t="s">
        <v>725</v>
      </c>
      <c r="AN600" s="1" t="s">
        <v>2111</v>
      </c>
      <c r="AO600" s="1" t="s">
        <v>4246</v>
      </c>
      <c r="AP600" s="1" t="s">
        <v>74</v>
      </c>
      <c r="AQ600" s="1" t="s">
        <v>4534</v>
      </c>
      <c r="AR600" s="1" t="s">
        <v>4247</v>
      </c>
      <c r="AS600" s="1" t="s">
        <v>74</v>
      </c>
      <c r="AT600" s="1" t="s">
        <v>74</v>
      </c>
      <c r="AU600" s="1">
        <v>2022</v>
      </c>
      <c r="AV600" s="1" t="s">
        <v>74</v>
      </c>
      <c r="AW600" s="1" t="s">
        <v>74</v>
      </c>
      <c r="AX600" s="1" t="s">
        <v>74</v>
      </c>
      <c r="AY600" s="1" t="s">
        <v>74</v>
      </c>
      <c r="AZ600" s="1" t="s">
        <v>74</v>
      </c>
      <c r="BA600" s="1" t="s">
        <v>74</v>
      </c>
      <c r="BB600" s="1">
        <v>10674</v>
      </c>
      <c r="BC600" s="1">
        <v>10685</v>
      </c>
      <c r="BD600" s="1" t="s">
        <v>74</v>
      </c>
      <c r="BE600" s="1" t="s">
        <v>4535</v>
      </c>
      <c r="BF600" s="1" t="str">
        <f>HYPERLINK("http://dx.doi.org/10.1109/CVPR52688.2022.01042","http://dx.doi.org/10.1109/CVPR52688.2022.01042")</f>
        <v>http://dx.doi.org/10.1109/CVPR52688.2022.01042</v>
      </c>
      <c r="BG600" s="1" t="s">
        <v>74</v>
      </c>
      <c r="BH600" s="1" t="s">
        <v>74</v>
      </c>
      <c r="BI600" s="1">
        <v>12</v>
      </c>
      <c r="BJ600" s="1" t="s">
        <v>2112</v>
      </c>
      <c r="BK600" s="1" t="s">
        <v>604</v>
      </c>
      <c r="BL600" s="1" t="s">
        <v>2113</v>
      </c>
      <c r="BM600" s="1" t="s">
        <v>4536</v>
      </c>
      <c r="BN600" s="1" t="s">
        <v>74</v>
      </c>
      <c r="BO600" s="1" t="s">
        <v>156</v>
      </c>
      <c r="BP600" s="1" t="s">
        <v>74</v>
      </c>
      <c r="BQ600" s="1" t="s">
        <v>74</v>
      </c>
      <c r="BR600" s="1" t="s">
        <v>4296</v>
      </c>
      <c r="BS600" s="1" t="s">
        <v>4537</v>
      </c>
      <c r="BT600" s="1" t="str">
        <f>HYPERLINK("https%3A%2F%2Fwww.webofscience.com%2Fwos%2Fwoscc%2Ffull-record%2FWOS:000870759103073","View Full Record in Web of Science")</f>
        <v>View Full Record in Web of Science</v>
      </c>
      <c r="BU600" s="1" t="s">
        <v>5876</v>
      </c>
      <c r="BV600" s="1" t="s">
        <v>10653</v>
      </c>
    </row>
    <row r="601" spans="1:75" ht="377" x14ac:dyDescent="0.35">
      <c r="A601" s="1" t="s">
        <v>72</v>
      </c>
      <c r="B601" s="1" t="s">
        <v>4538</v>
      </c>
      <c r="C601" s="1" t="s">
        <v>74</v>
      </c>
      <c r="D601" s="1" t="s">
        <v>74</v>
      </c>
      <c r="E601" s="1" t="s">
        <v>74</v>
      </c>
      <c r="F601" s="1" t="s">
        <v>4539</v>
      </c>
      <c r="G601" s="1" t="s">
        <v>74</v>
      </c>
      <c r="H601" s="1" t="s">
        <v>74</v>
      </c>
      <c r="I601" s="1" t="s">
        <v>4540</v>
      </c>
      <c r="J601" s="1" t="s">
        <v>436</v>
      </c>
      <c r="K601" s="1" t="s">
        <v>74</v>
      </c>
      <c r="L601" s="1" t="s">
        <v>74</v>
      </c>
      <c r="M601" s="1" t="s">
        <v>78</v>
      </c>
      <c r="N601" s="1" t="s">
        <v>79</v>
      </c>
      <c r="O601" s="1" t="s">
        <v>74</v>
      </c>
      <c r="P601" s="1" t="s">
        <v>74</v>
      </c>
      <c r="Q601" s="1" t="s">
        <v>74</v>
      </c>
      <c r="R601" s="1" t="s">
        <v>74</v>
      </c>
      <c r="S601" s="1" t="s">
        <v>74</v>
      </c>
      <c r="T601" s="1" t="s">
        <v>4541</v>
      </c>
      <c r="U601" s="1" t="s">
        <v>4542</v>
      </c>
      <c r="V601" s="1" t="s">
        <v>4543</v>
      </c>
      <c r="W601" s="1" t="s">
        <v>4544</v>
      </c>
      <c r="X601" s="1" t="s">
        <v>4545</v>
      </c>
      <c r="Y601" s="1" t="s">
        <v>4546</v>
      </c>
      <c r="Z601" s="1" t="s">
        <v>4547</v>
      </c>
      <c r="AA601" s="1" t="s">
        <v>74</v>
      </c>
      <c r="AB601" s="1" t="s">
        <v>4548</v>
      </c>
      <c r="AC601" s="1" t="s">
        <v>4549</v>
      </c>
      <c r="AD601" s="1" t="s">
        <v>4549</v>
      </c>
      <c r="AE601" s="1" t="s">
        <v>4550</v>
      </c>
      <c r="AF601" s="1" t="s">
        <v>74</v>
      </c>
      <c r="AG601" s="1">
        <v>45</v>
      </c>
      <c r="AH601" s="1">
        <v>1</v>
      </c>
      <c r="AI601" s="1">
        <v>1</v>
      </c>
      <c r="AJ601" s="1">
        <v>22</v>
      </c>
      <c r="AK601" s="1">
        <v>59</v>
      </c>
      <c r="AL601" s="1" t="s">
        <v>446</v>
      </c>
      <c r="AM601" s="1" t="s">
        <v>447</v>
      </c>
      <c r="AN601" s="1" t="s">
        <v>448</v>
      </c>
      <c r="AO601" s="1" t="s">
        <v>449</v>
      </c>
      <c r="AP601" s="1" t="s">
        <v>450</v>
      </c>
      <c r="AQ601" s="1" t="s">
        <v>74</v>
      </c>
      <c r="AR601" s="1" t="s">
        <v>451</v>
      </c>
      <c r="AS601" s="1" t="s">
        <v>452</v>
      </c>
      <c r="AT601" s="1" t="s">
        <v>330</v>
      </c>
      <c r="AU601" s="1">
        <v>2022</v>
      </c>
      <c r="AV601" s="1">
        <v>41</v>
      </c>
      <c r="AW601" s="1">
        <v>2</v>
      </c>
      <c r="AX601" s="1" t="s">
        <v>74</v>
      </c>
      <c r="AY601" s="1" t="s">
        <v>74</v>
      </c>
      <c r="AZ601" s="1" t="s">
        <v>74</v>
      </c>
      <c r="BA601" s="1" t="s">
        <v>74</v>
      </c>
      <c r="BB601" s="1">
        <v>401</v>
      </c>
      <c r="BC601" s="1">
        <v>425</v>
      </c>
      <c r="BD601" s="1" t="s">
        <v>74</v>
      </c>
      <c r="BE601" s="1" t="s">
        <v>4551</v>
      </c>
      <c r="BF601" s="1" t="str">
        <f>HYPERLINK("http://dx.doi.org/10.1287/mksc.2021.1326","http://dx.doi.org/10.1287/mksc.2021.1326")</f>
        <v>http://dx.doi.org/10.1287/mksc.2021.1326</v>
      </c>
      <c r="BG601" s="1" t="s">
        <v>74</v>
      </c>
      <c r="BH601" s="1" t="s">
        <v>4552</v>
      </c>
      <c r="BI601" s="1">
        <v>26</v>
      </c>
      <c r="BJ601" s="1" t="s">
        <v>153</v>
      </c>
      <c r="BK601" s="1" t="s">
        <v>101</v>
      </c>
      <c r="BL601" s="1" t="s">
        <v>154</v>
      </c>
      <c r="BM601" s="1" t="s">
        <v>4553</v>
      </c>
      <c r="BN601" s="1" t="s">
        <v>74</v>
      </c>
      <c r="BO601" s="1" t="s">
        <v>74</v>
      </c>
      <c r="BP601" s="1" t="s">
        <v>74</v>
      </c>
      <c r="BQ601" s="1" t="s">
        <v>74</v>
      </c>
      <c r="BR601" s="1" t="s">
        <v>4296</v>
      </c>
      <c r="BS601" s="1" t="s">
        <v>4554</v>
      </c>
      <c r="BT601" s="1" t="str">
        <f>HYPERLINK("https%3A%2F%2Fwww.webofscience.com%2Fwos%2Fwoscc%2Ffull-record%2FWOS:000737455400001","View Full Record in Web of Science")</f>
        <v>View Full Record in Web of Science</v>
      </c>
      <c r="BU601" s="1" t="s">
        <v>5876</v>
      </c>
      <c r="BV601" s="1" t="s">
        <v>6080</v>
      </c>
      <c r="BW601" s="1" t="s">
        <v>6080</v>
      </c>
    </row>
    <row r="602" spans="1:75" ht="406" x14ac:dyDescent="0.35">
      <c r="A602" s="1" t="s">
        <v>72</v>
      </c>
      <c r="B602" s="1" t="s">
        <v>4638</v>
      </c>
      <c r="C602" s="1" t="s">
        <v>74</v>
      </c>
      <c r="D602" s="1" t="s">
        <v>74</v>
      </c>
      <c r="E602" s="1" t="s">
        <v>74</v>
      </c>
      <c r="F602" s="1" t="s">
        <v>4639</v>
      </c>
      <c r="G602" s="1" t="s">
        <v>74</v>
      </c>
      <c r="H602" s="1" t="s">
        <v>74</v>
      </c>
      <c r="I602" s="1" t="s">
        <v>4640</v>
      </c>
      <c r="J602" s="1" t="s">
        <v>161</v>
      </c>
      <c r="K602" s="1" t="s">
        <v>74</v>
      </c>
      <c r="L602" s="1" t="s">
        <v>74</v>
      </c>
      <c r="M602" s="1" t="s">
        <v>78</v>
      </c>
      <c r="N602" s="1" t="s">
        <v>79</v>
      </c>
      <c r="O602" s="1" t="s">
        <v>74</v>
      </c>
      <c r="P602" s="1" t="s">
        <v>74</v>
      </c>
      <c r="Q602" s="1" t="s">
        <v>74</v>
      </c>
      <c r="R602" s="1" t="s">
        <v>74</v>
      </c>
      <c r="S602" s="1" t="s">
        <v>74</v>
      </c>
      <c r="T602" s="1" t="s">
        <v>4641</v>
      </c>
      <c r="U602" s="1" t="s">
        <v>4642</v>
      </c>
      <c r="V602" s="1" t="s">
        <v>4643</v>
      </c>
      <c r="W602" s="1" t="s">
        <v>4644</v>
      </c>
      <c r="X602" s="1" t="s">
        <v>4645</v>
      </c>
      <c r="Y602" s="1" t="s">
        <v>4646</v>
      </c>
      <c r="Z602" s="1" t="s">
        <v>4647</v>
      </c>
      <c r="AA602" s="1" t="s">
        <v>74</v>
      </c>
      <c r="AB602" s="1" t="s">
        <v>74</v>
      </c>
      <c r="AC602" s="1" t="s">
        <v>4648</v>
      </c>
      <c r="AD602" s="1" t="s">
        <v>4648</v>
      </c>
      <c r="AE602" s="1" t="s">
        <v>4649</v>
      </c>
      <c r="AF602" s="1" t="s">
        <v>74</v>
      </c>
      <c r="AG602" s="1">
        <v>98</v>
      </c>
      <c r="AH602" s="1">
        <v>7</v>
      </c>
      <c r="AI602" s="1">
        <v>7</v>
      </c>
      <c r="AJ602" s="1">
        <v>40</v>
      </c>
      <c r="AK602" s="1">
        <v>82</v>
      </c>
      <c r="AL602" s="1" t="s">
        <v>170</v>
      </c>
      <c r="AM602" s="1" t="s">
        <v>171</v>
      </c>
      <c r="AN602" s="1" t="s">
        <v>172</v>
      </c>
      <c r="AO602" s="1" t="s">
        <v>173</v>
      </c>
      <c r="AP602" s="1" t="s">
        <v>174</v>
      </c>
      <c r="AQ602" s="1" t="s">
        <v>74</v>
      </c>
      <c r="AR602" s="1" t="s">
        <v>175</v>
      </c>
      <c r="AS602" s="1" t="s">
        <v>176</v>
      </c>
      <c r="AT602" s="1" t="s">
        <v>4650</v>
      </c>
      <c r="AU602" s="1">
        <v>2022</v>
      </c>
      <c r="AV602" s="1">
        <v>48</v>
      </c>
      <c r="AW602" s="1">
        <v>5</v>
      </c>
      <c r="AX602" s="1" t="s">
        <v>74</v>
      </c>
      <c r="AY602" s="1" t="s">
        <v>74</v>
      </c>
      <c r="AZ602" s="1" t="s">
        <v>74</v>
      </c>
      <c r="BA602" s="1" t="s">
        <v>74</v>
      </c>
      <c r="BB602" s="1">
        <v>817</v>
      </c>
      <c r="BC602" s="1">
        <v>838</v>
      </c>
      <c r="BD602" s="1" t="s">
        <v>74</v>
      </c>
      <c r="BE602" s="1" t="s">
        <v>4651</v>
      </c>
      <c r="BF602" s="1" t="str">
        <f>HYPERLINK("http://dx.doi.org/10.1093/jcr/ucab034","http://dx.doi.org/10.1093/jcr/ucab034")</f>
        <v>http://dx.doi.org/10.1093/jcr/ucab034</v>
      </c>
      <c r="BG602" s="1" t="s">
        <v>74</v>
      </c>
      <c r="BH602" s="1" t="s">
        <v>4652</v>
      </c>
      <c r="BI602" s="1">
        <v>22</v>
      </c>
      <c r="BJ602" s="1" t="s">
        <v>153</v>
      </c>
      <c r="BK602" s="1" t="s">
        <v>101</v>
      </c>
      <c r="BL602" s="1" t="s">
        <v>154</v>
      </c>
      <c r="BM602" s="1" t="s">
        <v>4653</v>
      </c>
      <c r="BN602" s="1" t="s">
        <v>74</v>
      </c>
      <c r="BO602" s="1" t="s">
        <v>74</v>
      </c>
      <c r="BP602" s="1" t="s">
        <v>74</v>
      </c>
      <c r="BQ602" s="1" t="s">
        <v>74</v>
      </c>
      <c r="BR602" s="1" t="s">
        <v>4296</v>
      </c>
      <c r="BS602" s="1" t="s">
        <v>4654</v>
      </c>
      <c r="BT602" s="1" t="str">
        <f>HYPERLINK("https%3A%2F%2Fwww.webofscience.com%2Fwos%2Fwoscc%2Ffull-record%2FWOS:000761445300005","View Full Record in Web of Science")</f>
        <v>View Full Record in Web of Science</v>
      </c>
      <c r="BU602" s="1" t="s">
        <v>5876</v>
      </c>
      <c r="BV602" s="1" t="s">
        <v>6080</v>
      </c>
      <c r="BW602" s="1" t="s">
        <v>6080</v>
      </c>
    </row>
    <row r="603" spans="1:75" x14ac:dyDescent="0.35">
      <c r="A603" t="s">
        <v>72</v>
      </c>
      <c r="B603" t="s">
        <v>9191</v>
      </c>
      <c r="C603" t="s">
        <v>74</v>
      </c>
      <c r="D603" t="s">
        <v>74</v>
      </c>
      <c r="E603" t="s">
        <v>74</v>
      </c>
      <c r="F603" t="s">
        <v>9192</v>
      </c>
      <c r="G603" t="s">
        <v>74</v>
      </c>
      <c r="H603" t="s">
        <v>74</v>
      </c>
      <c r="I603" t="s">
        <v>9193</v>
      </c>
      <c r="J603" t="s">
        <v>9194</v>
      </c>
      <c r="K603" t="s">
        <v>74</v>
      </c>
      <c r="L603" t="s">
        <v>74</v>
      </c>
      <c r="M603" t="s">
        <v>78</v>
      </c>
      <c r="N603" t="s">
        <v>110</v>
      </c>
      <c r="O603" t="s">
        <v>74</v>
      </c>
      <c r="P603" t="s">
        <v>74</v>
      </c>
      <c r="Q603" t="s">
        <v>74</v>
      </c>
      <c r="R603" t="s">
        <v>74</v>
      </c>
      <c r="S603" t="s">
        <v>74</v>
      </c>
      <c r="T603" t="s">
        <v>9195</v>
      </c>
      <c r="U603" t="s">
        <v>9196</v>
      </c>
      <c r="V603" t="s">
        <v>9197</v>
      </c>
      <c r="W603" t="s">
        <v>9198</v>
      </c>
      <c r="X603" t="s">
        <v>9199</v>
      </c>
      <c r="Y603" t="s">
        <v>9200</v>
      </c>
      <c r="Z603" t="s">
        <v>9201</v>
      </c>
      <c r="AA603" t="s">
        <v>9202</v>
      </c>
      <c r="AB603" t="s">
        <v>9203</v>
      </c>
      <c r="AC603" t="s">
        <v>74</v>
      </c>
      <c r="AD603" t="s">
        <v>74</v>
      </c>
      <c r="AE603" t="s">
        <v>74</v>
      </c>
      <c r="AF603" t="s">
        <v>74</v>
      </c>
      <c r="AG603">
        <v>268</v>
      </c>
      <c r="AH603">
        <v>13</v>
      </c>
      <c r="AI603">
        <v>13</v>
      </c>
      <c r="AJ603">
        <v>4</v>
      </c>
      <c r="AK603">
        <v>38</v>
      </c>
      <c r="AL603" t="s">
        <v>1982</v>
      </c>
      <c r="AM603" t="s">
        <v>1983</v>
      </c>
      <c r="AN603" t="s">
        <v>2573</v>
      </c>
      <c r="AO603" t="s">
        <v>9204</v>
      </c>
      <c r="AP603" t="s">
        <v>9205</v>
      </c>
      <c r="AQ603" t="s">
        <v>74</v>
      </c>
      <c r="AR603" t="s">
        <v>9206</v>
      </c>
      <c r="AS603" t="s">
        <v>9207</v>
      </c>
      <c r="AT603" t="s">
        <v>74</v>
      </c>
      <c r="AU603">
        <v>2019</v>
      </c>
      <c r="AV603">
        <v>34</v>
      </c>
      <c r="AW603">
        <v>1</v>
      </c>
      <c r="AX603" t="s">
        <v>74</v>
      </c>
      <c r="AY603" t="s">
        <v>74</v>
      </c>
      <c r="AZ603" t="s">
        <v>74</v>
      </c>
      <c r="BA603" t="s">
        <v>74</v>
      </c>
      <c r="BB603">
        <v>205</v>
      </c>
      <c r="BC603">
        <v>229</v>
      </c>
      <c r="BD603" t="s">
        <v>74</v>
      </c>
      <c r="BE603" t="s">
        <v>9208</v>
      </c>
      <c r="BF603" t="str">
        <f>HYPERLINK("http://dx.doi.org/10.1108/JBIM-02-2018-0077","http://dx.doi.org/10.1108/JBIM-02-2018-0077")</f>
        <v>http://dx.doi.org/10.1108/JBIM-02-2018-0077</v>
      </c>
      <c r="BG603" t="s">
        <v>74</v>
      </c>
      <c r="BH603" t="s">
        <v>74</v>
      </c>
      <c r="BI603">
        <v>25</v>
      </c>
      <c r="BJ603" t="s">
        <v>153</v>
      </c>
      <c r="BK603" t="s">
        <v>101</v>
      </c>
      <c r="BL603" t="s">
        <v>154</v>
      </c>
      <c r="BM603" t="s">
        <v>9209</v>
      </c>
      <c r="BN603" t="s">
        <v>74</v>
      </c>
      <c r="BO603" t="s">
        <v>74</v>
      </c>
      <c r="BP603" t="s">
        <v>74</v>
      </c>
      <c r="BQ603" t="s">
        <v>74</v>
      </c>
      <c r="BR603" t="s">
        <v>6098</v>
      </c>
      <c r="BS603" t="s">
        <v>9210</v>
      </c>
      <c r="BT603" t="str">
        <f>HYPERLINK("https%3A%2F%2Fwww.webofscience.com%2Fwos%2Fwoscc%2Ffull-record%2FWOS:000461721700015","View Full Record in Web of Science")</f>
        <v>View Full Record in Web of Science</v>
      </c>
      <c r="BU603" t="s">
        <v>6100</v>
      </c>
      <c r="BV603" s="1" t="s">
        <v>6080</v>
      </c>
      <c r="BW603" s="1" t="s">
        <v>10653</v>
      </c>
    </row>
    <row r="604" spans="1:75" x14ac:dyDescent="0.35">
      <c r="A604" t="s">
        <v>72</v>
      </c>
      <c r="B604" t="s">
        <v>6081</v>
      </c>
      <c r="C604" t="s">
        <v>74</v>
      </c>
      <c r="D604" t="s">
        <v>74</v>
      </c>
      <c r="E604" t="s">
        <v>74</v>
      </c>
      <c r="F604" t="s">
        <v>6082</v>
      </c>
      <c r="G604" t="s">
        <v>74</v>
      </c>
      <c r="H604" t="s">
        <v>74</v>
      </c>
      <c r="I604" t="s">
        <v>6083</v>
      </c>
      <c r="J604" t="s">
        <v>6084</v>
      </c>
      <c r="K604" t="s">
        <v>74</v>
      </c>
      <c r="L604" t="s">
        <v>74</v>
      </c>
      <c r="M604" t="s">
        <v>78</v>
      </c>
      <c r="N604" t="s">
        <v>79</v>
      </c>
      <c r="O604" t="s">
        <v>74</v>
      </c>
      <c r="P604" t="s">
        <v>74</v>
      </c>
      <c r="Q604" t="s">
        <v>74</v>
      </c>
      <c r="R604" t="s">
        <v>74</v>
      </c>
      <c r="S604" t="s">
        <v>74</v>
      </c>
      <c r="T604" t="s">
        <v>6085</v>
      </c>
      <c r="U604" t="s">
        <v>6086</v>
      </c>
      <c r="V604" t="s">
        <v>6087</v>
      </c>
      <c r="W604" t="s">
        <v>6088</v>
      </c>
      <c r="X604" t="s">
        <v>6089</v>
      </c>
      <c r="Y604" t="s">
        <v>6090</v>
      </c>
      <c r="Z604" t="s">
        <v>6091</v>
      </c>
      <c r="AA604" t="s">
        <v>74</v>
      </c>
      <c r="AB604" t="s">
        <v>74</v>
      </c>
      <c r="AC604" t="s">
        <v>74</v>
      </c>
      <c r="AD604" t="s">
        <v>74</v>
      </c>
      <c r="AE604" t="s">
        <v>74</v>
      </c>
      <c r="AF604" t="s">
        <v>74</v>
      </c>
      <c r="AG604">
        <v>107</v>
      </c>
      <c r="AH604">
        <v>0</v>
      </c>
      <c r="AI604">
        <v>0</v>
      </c>
      <c r="AJ604">
        <v>3</v>
      </c>
      <c r="AK604">
        <v>3</v>
      </c>
      <c r="AL604" t="s">
        <v>324</v>
      </c>
      <c r="AM604" t="s">
        <v>325</v>
      </c>
      <c r="AN604" t="s">
        <v>2004</v>
      </c>
      <c r="AO604" t="s">
        <v>6092</v>
      </c>
      <c r="AP604" t="s">
        <v>6093</v>
      </c>
      <c r="AQ604" t="s">
        <v>74</v>
      </c>
      <c r="AR604" t="s">
        <v>6094</v>
      </c>
      <c r="AS604" t="s">
        <v>6095</v>
      </c>
      <c r="AT604" t="s">
        <v>258</v>
      </c>
      <c r="AU604">
        <v>2022</v>
      </c>
      <c r="AV604">
        <v>107</v>
      </c>
      <c r="AW604" t="s">
        <v>74</v>
      </c>
      <c r="AX604" t="s">
        <v>74</v>
      </c>
      <c r="AY604" t="s">
        <v>74</v>
      </c>
      <c r="AZ604" t="s">
        <v>74</v>
      </c>
      <c r="BA604" t="s">
        <v>74</v>
      </c>
      <c r="BB604">
        <v>204</v>
      </c>
      <c r="BC604">
        <v>211</v>
      </c>
      <c r="BD604" t="s">
        <v>74</v>
      </c>
      <c r="BE604" t="s">
        <v>6096</v>
      </c>
      <c r="BF604" t="str">
        <f>HYPERLINK("http://dx.doi.org/10.1016/j.indmarman.2022.10.001","http://dx.doi.org/10.1016/j.indmarman.2022.10.001")</f>
        <v>http://dx.doi.org/10.1016/j.indmarman.2022.10.001</v>
      </c>
      <c r="BG604" t="s">
        <v>74</v>
      </c>
      <c r="BH604" t="s">
        <v>74</v>
      </c>
      <c r="BI604">
        <v>8</v>
      </c>
      <c r="BJ604" t="s">
        <v>877</v>
      </c>
      <c r="BK604" t="s">
        <v>101</v>
      </c>
      <c r="BL604" t="s">
        <v>154</v>
      </c>
      <c r="BM604" t="s">
        <v>6097</v>
      </c>
      <c r="BN604" t="s">
        <v>74</v>
      </c>
      <c r="BO604" t="s">
        <v>74</v>
      </c>
      <c r="BP604" t="s">
        <v>74</v>
      </c>
      <c r="BQ604" t="s">
        <v>74</v>
      </c>
      <c r="BR604" t="s">
        <v>6098</v>
      </c>
      <c r="BS604" t="s">
        <v>6099</v>
      </c>
      <c r="BT604" t="str">
        <f>HYPERLINK("https%3A%2F%2Fwww.webofscience.com%2Fwos%2Fwoscc%2Ffull-record%2FWOS:000933592800006","View Full Record in Web of Science")</f>
        <v>View Full Record in Web of Science</v>
      </c>
      <c r="BU604" t="s">
        <v>6100</v>
      </c>
      <c r="BV604" s="1" t="s">
        <v>6080</v>
      </c>
      <c r="BW604" s="1" t="s">
        <v>6080</v>
      </c>
    </row>
    <row r="605" spans="1:75" x14ac:dyDescent="0.35">
      <c r="A605" t="s">
        <v>72</v>
      </c>
      <c r="B605" t="s">
        <v>6164</v>
      </c>
      <c r="C605" t="s">
        <v>74</v>
      </c>
      <c r="D605" t="s">
        <v>74</v>
      </c>
      <c r="E605" t="s">
        <v>74</v>
      </c>
      <c r="F605" t="s">
        <v>5893</v>
      </c>
      <c r="G605" t="s">
        <v>74</v>
      </c>
      <c r="H605" t="s">
        <v>74</v>
      </c>
      <c r="I605" t="s">
        <v>5941</v>
      </c>
      <c r="J605" t="s">
        <v>4018</v>
      </c>
      <c r="K605" t="s">
        <v>74</v>
      </c>
      <c r="L605" t="s">
        <v>74</v>
      </c>
      <c r="M605" t="s">
        <v>78</v>
      </c>
      <c r="N605" t="s">
        <v>79</v>
      </c>
      <c r="O605" t="s">
        <v>74</v>
      </c>
      <c r="P605" t="s">
        <v>74</v>
      </c>
      <c r="Q605" t="s">
        <v>74</v>
      </c>
      <c r="R605" t="s">
        <v>74</v>
      </c>
      <c r="S605" t="s">
        <v>74</v>
      </c>
      <c r="T605" t="s">
        <v>6165</v>
      </c>
      <c r="U605" t="s">
        <v>6166</v>
      </c>
      <c r="V605" t="s">
        <v>6046</v>
      </c>
      <c r="W605" t="s">
        <v>6167</v>
      </c>
      <c r="X605" t="s">
        <v>6168</v>
      </c>
      <c r="Y605" t="s">
        <v>6169</v>
      </c>
      <c r="Z605" t="s">
        <v>6170</v>
      </c>
      <c r="AA605" t="s">
        <v>74</v>
      </c>
      <c r="AB605" t="s">
        <v>6171</v>
      </c>
      <c r="AC605" t="s">
        <v>74</v>
      </c>
      <c r="AD605" t="s">
        <v>74</v>
      </c>
      <c r="AE605" t="s">
        <v>74</v>
      </c>
      <c r="AF605" t="s">
        <v>74</v>
      </c>
      <c r="AG605">
        <v>62</v>
      </c>
      <c r="AH605">
        <v>0</v>
      </c>
      <c r="AI605">
        <v>0</v>
      </c>
      <c r="AJ605">
        <v>17</v>
      </c>
      <c r="AK605">
        <v>31</v>
      </c>
      <c r="AL605" t="s">
        <v>1886</v>
      </c>
      <c r="AM605" t="s">
        <v>121</v>
      </c>
      <c r="AN605" t="s">
        <v>1887</v>
      </c>
      <c r="AO605" t="s">
        <v>4027</v>
      </c>
      <c r="AP605" t="s">
        <v>4028</v>
      </c>
      <c r="AQ605" t="s">
        <v>74</v>
      </c>
      <c r="AR605" t="s">
        <v>4029</v>
      </c>
      <c r="AS605" t="s">
        <v>4030</v>
      </c>
      <c r="AT605" t="s">
        <v>517</v>
      </c>
      <c r="AU605">
        <v>2022</v>
      </c>
      <c r="AV605">
        <v>64</v>
      </c>
      <c r="AW605">
        <v>5</v>
      </c>
      <c r="AX605" t="s">
        <v>74</v>
      </c>
      <c r="AY605" t="s">
        <v>74</v>
      </c>
      <c r="AZ605" t="s">
        <v>74</v>
      </c>
      <c r="BA605" t="s">
        <v>74</v>
      </c>
      <c r="BB605">
        <v>611</v>
      </c>
      <c r="BC605">
        <v>629</v>
      </c>
      <c r="BD605">
        <v>1.4707853221101564E+16</v>
      </c>
      <c r="BE605" t="s">
        <v>6172</v>
      </c>
      <c r="BF605" t="str">
        <f>HYPERLINK("http://dx.doi.org/10.1177/14707853221101565","http://dx.doi.org/10.1177/14707853221101565")</f>
        <v>http://dx.doi.org/10.1177/14707853221101565</v>
      </c>
      <c r="BG605" t="s">
        <v>74</v>
      </c>
      <c r="BH605" t="s">
        <v>6173</v>
      </c>
      <c r="BI605">
        <v>19</v>
      </c>
      <c r="BJ605" t="s">
        <v>153</v>
      </c>
      <c r="BK605" t="s">
        <v>101</v>
      </c>
      <c r="BL605" t="s">
        <v>154</v>
      </c>
      <c r="BM605" t="s">
        <v>6174</v>
      </c>
      <c r="BN605" t="s">
        <v>74</v>
      </c>
      <c r="BO605" t="s">
        <v>74</v>
      </c>
      <c r="BP605" t="s">
        <v>74</v>
      </c>
      <c r="BQ605" t="s">
        <v>74</v>
      </c>
      <c r="BR605" t="s">
        <v>6098</v>
      </c>
      <c r="BS605" t="s">
        <v>6175</v>
      </c>
      <c r="BT605" t="str">
        <f>HYPERLINK("https%3A%2F%2Fwww.webofscience.com%2Fwos%2Fwoscc%2Ffull-record%2FWOS:000798240400001","View Full Record in Web of Science")</f>
        <v>View Full Record in Web of Science</v>
      </c>
      <c r="BU605" t="s">
        <v>6100</v>
      </c>
      <c r="BV605" s="1" t="s">
        <v>6080</v>
      </c>
      <c r="BW605" s="1" t="s">
        <v>6080</v>
      </c>
    </row>
    <row r="606" spans="1:75" x14ac:dyDescent="0.35">
      <c r="A606" t="s">
        <v>72</v>
      </c>
      <c r="B606" t="s">
        <v>6176</v>
      </c>
      <c r="C606" t="s">
        <v>74</v>
      </c>
      <c r="D606" t="s">
        <v>74</v>
      </c>
      <c r="E606" t="s">
        <v>74</v>
      </c>
      <c r="F606" t="s">
        <v>6177</v>
      </c>
      <c r="G606" t="s">
        <v>74</v>
      </c>
      <c r="H606" t="s">
        <v>74</v>
      </c>
      <c r="I606" t="s">
        <v>6178</v>
      </c>
      <c r="J606" t="s">
        <v>6179</v>
      </c>
      <c r="K606" t="s">
        <v>74</v>
      </c>
      <c r="L606" t="s">
        <v>74</v>
      </c>
      <c r="M606" t="s">
        <v>78</v>
      </c>
      <c r="N606" t="s">
        <v>79</v>
      </c>
      <c r="O606" t="s">
        <v>74</v>
      </c>
      <c r="P606" t="s">
        <v>74</v>
      </c>
      <c r="Q606" t="s">
        <v>74</v>
      </c>
      <c r="R606" t="s">
        <v>74</v>
      </c>
      <c r="S606" t="s">
        <v>74</v>
      </c>
      <c r="T606" t="s">
        <v>6180</v>
      </c>
      <c r="U606" t="s">
        <v>6181</v>
      </c>
      <c r="V606" t="s">
        <v>6182</v>
      </c>
      <c r="W606" t="s">
        <v>6183</v>
      </c>
      <c r="X606" t="s">
        <v>6184</v>
      </c>
      <c r="Y606" t="s">
        <v>6185</v>
      </c>
      <c r="Z606" t="s">
        <v>6186</v>
      </c>
      <c r="AA606" t="s">
        <v>6187</v>
      </c>
      <c r="AB606" t="s">
        <v>6188</v>
      </c>
      <c r="AC606" t="s">
        <v>74</v>
      </c>
      <c r="AD606" t="s">
        <v>74</v>
      </c>
      <c r="AE606" t="s">
        <v>74</v>
      </c>
      <c r="AF606" t="s">
        <v>74</v>
      </c>
      <c r="AG606">
        <v>34</v>
      </c>
      <c r="AH606">
        <v>1</v>
      </c>
      <c r="AI606">
        <v>1</v>
      </c>
      <c r="AJ606">
        <v>7</v>
      </c>
      <c r="AK606">
        <v>41</v>
      </c>
      <c r="AL606" t="s">
        <v>1982</v>
      </c>
      <c r="AM606" t="s">
        <v>1983</v>
      </c>
      <c r="AN606" t="s">
        <v>2573</v>
      </c>
      <c r="AO606" t="s">
        <v>6189</v>
      </c>
      <c r="AP606" t="s">
        <v>74</v>
      </c>
      <c r="AQ606" t="s">
        <v>74</v>
      </c>
      <c r="AR606" t="s">
        <v>6190</v>
      </c>
      <c r="AS606" t="s">
        <v>6191</v>
      </c>
      <c r="AT606" t="s">
        <v>6192</v>
      </c>
      <c r="AU606">
        <v>2022</v>
      </c>
      <c r="AV606">
        <v>32</v>
      </c>
      <c r="AW606">
        <v>3</v>
      </c>
      <c r="AX606" t="s">
        <v>74</v>
      </c>
      <c r="AY606" t="s">
        <v>74</v>
      </c>
      <c r="AZ606" t="s">
        <v>74</v>
      </c>
      <c r="BA606" t="s">
        <v>74</v>
      </c>
      <c r="BB606">
        <v>1023</v>
      </c>
      <c r="BC606">
        <v>1040</v>
      </c>
      <c r="BD606" t="s">
        <v>74</v>
      </c>
      <c r="BE606" t="s">
        <v>6193</v>
      </c>
      <c r="BF606" t="str">
        <f>HYPERLINK("http://dx.doi.org/10.1108/INTR-11-2020-0649","http://dx.doi.org/10.1108/INTR-11-2020-0649")</f>
        <v>http://dx.doi.org/10.1108/INTR-11-2020-0649</v>
      </c>
      <c r="BG606" t="s">
        <v>74</v>
      </c>
      <c r="BH606" t="s">
        <v>6194</v>
      </c>
      <c r="BI606">
        <v>18</v>
      </c>
      <c r="BJ606" t="s">
        <v>6195</v>
      </c>
      <c r="BK606" t="s">
        <v>520</v>
      </c>
      <c r="BL606" t="s">
        <v>6196</v>
      </c>
      <c r="BM606" t="s">
        <v>6197</v>
      </c>
      <c r="BN606" t="s">
        <v>74</v>
      </c>
      <c r="BO606" t="s">
        <v>74</v>
      </c>
      <c r="BP606" t="s">
        <v>74</v>
      </c>
      <c r="BQ606" t="s">
        <v>74</v>
      </c>
      <c r="BR606" t="s">
        <v>6098</v>
      </c>
      <c r="BS606" t="s">
        <v>6198</v>
      </c>
      <c r="BT606" t="str">
        <f>HYPERLINK("https%3A%2F%2Fwww.webofscience.com%2Fwos%2Fwoscc%2Ffull-record%2FWOS:000679421500001","View Full Record in Web of Science")</f>
        <v>View Full Record in Web of Science</v>
      </c>
      <c r="BU606" t="s">
        <v>6100</v>
      </c>
      <c r="BV606" s="1" t="s">
        <v>10653</v>
      </c>
    </row>
    <row r="607" spans="1:75" x14ac:dyDescent="0.35">
      <c r="A607" t="s">
        <v>72</v>
      </c>
      <c r="B607" t="s">
        <v>6278</v>
      </c>
      <c r="C607" t="s">
        <v>74</v>
      </c>
      <c r="D607" t="s">
        <v>74</v>
      </c>
      <c r="E607" t="s">
        <v>74</v>
      </c>
      <c r="F607" t="s">
        <v>6279</v>
      </c>
      <c r="G607" t="s">
        <v>74</v>
      </c>
      <c r="H607" t="s">
        <v>74</v>
      </c>
      <c r="I607" t="s">
        <v>6280</v>
      </c>
      <c r="J607" t="s">
        <v>6281</v>
      </c>
      <c r="K607" t="s">
        <v>74</v>
      </c>
      <c r="L607" t="s">
        <v>74</v>
      </c>
      <c r="M607" t="s">
        <v>78</v>
      </c>
      <c r="N607" t="s">
        <v>79</v>
      </c>
      <c r="O607" t="s">
        <v>74</v>
      </c>
      <c r="P607" t="s">
        <v>74</v>
      </c>
      <c r="Q607" t="s">
        <v>74</v>
      </c>
      <c r="R607" t="s">
        <v>74</v>
      </c>
      <c r="S607" t="s">
        <v>74</v>
      </c>
      <c r="T607" t="s">
        <v>6282</v>
      </c>
      <c r="U607" t="s">
        <v>6283</v>
      </c>
      <c r="V607" t="s">
        <v>6284</v>
      </c>
      <c r="W607" t="s">
        <v>6285</v>
      </c>
      <c r="X607" t="s">
        <v>6286</v>
      </c>
      <c r="Y607" t="s">
        <v>6287</v>
      </c>
      <c r="Z607" t="s">
        <v>6288</v>
      </c>
      <c r="AA607" t="s">
        <v>6289</v>
      </c>
      <c r="AB607" t="s">
        <v>6290</v>
      </c>
      <c r="AC607" t="s">
        <v>6291</v>
      </c>
      <c r="AD607" t="s">
        <v>6292</v>
      </c>
      <c r="AE607" t="s">
        <v>6293</v>
      </c>
      <c r="AF607" t="s">
        <v>74</v>
      </c>
      <c r="AG607">
        <v>107</v>
      </c>
      <c r="AH607">
        <v>6</v>
      </c>
      <c r="AI607">
        <v>6</v>
      </c>
      <c r="AJ607">
        <v>46</v>
      </c>
      <c r="AK607">
        <v>82</v>
      </c>
      <c r="AL607" t="s">
        <v>652</v>
      </c>
      <c r="AM607" t="s">
        <v>653</v>
      </c>
      <c r="AN607" t="s">
        <v>654</v>
      </c>
      <c r="AO607" t="s">
        <v>6294</v>
      </c>
      <c r="AP607" t="s">
        <v>6295</v>
      </c>
      <c r="AQ607" t="s">
        <v>74</v>
      </c>
      <c r="AR607" t="s">
        <v>6296</v>
      </c>
      <c r="AS607" t="s">
        <v>6297</v>
      </c>
      <c r="AT607" t="s">
        <v>98</v>
      </c>
      <c r="AU607">
        <v>2022</v>
      </c>
      <c r="AV607">
        <v>67</v>
      </c>
      <c r="AW607" t="s">
        <v>74</v>
      </c>
      <c r="AX607" t="s">
        <v>74</v>
      </c>
      <c r="AY607" t="s">
        <v>74</v>
      </c>
      <c r="AZ607" t="s">
        <v>74</v>
      </c>
      <c r="BA607" t="s">
        <v>74</v>
      </c>
      <c r="BB607" t="s">
        <v>74</v>
      </c>
      <c r="BC607" t="s">
        <v>74</v>
      </c>
      <c r="BD607">
        <v>102989</v>
      </c>
      <c r="BE607" t="s">
        <v>6298</v>
      </c>
      <c r="BF607" t="str">
        <f>HYPERLINK("http://dx.doi.org/10.1016/j.jretconser.2022.102989","http://dx.doi.org/10.1016/j.jretconser.2022.102989")</f>
        <v>http://dx.doi.org/10.1016/j.jretconser.2022.102989</v>
      </c>
      <c r="BG607" t="s">
        <v>74</v>
      </c>
      <c r="BH607" t="s">
        <v>4441</v>
      </c>
      <c r="BI607">
        <v>29</v>
      </c>
      <c r="BJ607" t="s">
        <v>153</v>
      </c>
      <c r="BK607" t="s">
        <v>101</v>
      </c>
      <c r="BL607" t="s">
        <v>154</v>
      </c>
      <c r="BM607" t="s">
        <v>6299</v>
      </c>
      <c r="BN607" t="s">
        <v>74</v>
      </c>
      <c r="BO607" t="s">
        <v>131</v>
      </c>
      <c r="BP607" t="s">
        <v>74</v>
      </c>
      <c r="BQ607" t="s">
        <v>74</v>
      </c>
      <c r="BR607" t="s">
        <v>6098</v>
      </c>
      <c r="BS607" t="s">
        <v>6300</v>
      </c>
      <c r="BT607" t="str">
        <f>HYPERLINK("https%3A%2F%2Fwww.webofscience.com%2Fwos%2Fwoscc%2Ffull-record%2FWOS:000793665600001","View Full Record in Web of Science")</f>
        <v>View Full Record in Web of Science</v>
      </c>
      <c r="BU607" t="s">
        <v>6100</v>
      </c>
      <c r="BV607" s="1" t="s">
        <v>6080</v>
      </c>
      <c r="BW607" s="1" t="s">
        <v>6080</v>
      </c>
    </row>
    <row r="608" spans="1:75" ht="290" x14ac:dyDescent="0.35">
      <c r="A608" t="s">
        <v>72</v>
      </c>
      <c r="B608" t="s">
        <v>6329</v>
      </c>
      <c r="C608" t="s">
        <v>74</v>
      </c>
      <c r="D608" t="s">
        <v>74</v>
      </c>
      <c r="E608" t="s">
        <v>74</v>
      </c>
      <c r="F608" t="s">
        <v>5889</v>
      </c>
      <c r="G608" t="s">
        <v>74</v>
      </c>
      <c r="H608" t="s">
        <v>74</v>
      </c>
      <c r="I608" t="s">
        <v>5921</v>
      </c>
      <c r="J608" t="s">
        <v>6330</v>
      </c>
      <c r="K608" t="s">
        <v>74</v>
      </c>
      <c r="L608" t="s">
        <v>74</v>
      </c>
      <c r="M608" t="s">
        <v>78</v>
      </c>
      <c r="N608" t="s">
        <v>79</v>
      </c>
      <c r="O608" t="s">
        <v>74</v>
      </c>
      <c r="P608" t="s">
        <v>74</v>
      </c>
      <c r="Q608" t="s">
        <v>74</v>
      </c>
      <c r="R608" t="s">
        <v>74</v>
      </c>
      <c r="S608" t="s">
        <v>74</v>
      </c>
      <c r="T608" t="s">
        <v>6331</v>
      </c>
      <c r="U608" t="s">
        <v>6332</v>
      </c>
      <c r="V608" s="1" t="s">
        <v>6333</v>
      </c>
      <c r="W608" t="s">
        <v>6334</v>
      </c>
      <c r="X608" t="s">
        <v>6335</v>
      </c>
      <c r="Y608" t="s">
        <v>6336</v>
      </c>
      <c r="Z608" t="s">
        <v>6337</v>
      </c>
      <c r="AA608" t="s">
        <v>74</v>
      </c>
      <c r="AB608" t="s">
        <v>6338</v>
      </c>
      <c r="AC608" t="s">
        <v>74</v>
      </c>
      <c r="AD608" t="s">
        <v>74</v>
      </c>
      <c r="AE608" t="s">
        <v>74</v>
      </c>
      <c r="AF608" t="s">
        <v>74</v>
      </c>
      <c r="AG608">
        <v>54</v>
      </c>
      <c r="AH608">
        <v>4</v>
      </c>
      <c r="AI608">
        <v>4</v>
      </c>
      <c r="AJ608">
        <v>21</v>
      </c>
      <c r="AK608">
        <v>28</v>
      </c>
      <c r="AL608" t="s">
        <v>1180</v>
      </c>
      <c r="AM608" t="s">
        <v>1181</v>
      </c>
      <c r="AN608" t="s">
        <v>1182</v>
      </c>
      <c r="AO608" t="s">
        <v>6339</v>
      </c>
      <c r="AP608" t="s">
        <v>6340</v>
      </c>
      <c r="AQ608" t="s">
        <v>74</v>
      </c>
      <c r="AR608" t="s">
        <v>6341</v>
      </c>
      <c r="AS608" t="s">
        <v>6342</v>
      </c>
      <c r="AT608" t="s">
        <v>6343</v>
      </c>
      <c r="AU608">
        <v>2022</v>
      </c>
      <c r="AV608">
        <v>41</v>
      </c>
      <c r="AW608">
        <v>4</v>
      </c>
      <c r="AX608" t="s">
        <v>74</v>
      </c>
      <c r="AY608" t="s">
        <v>74</v>
      </c>
      <c r="AZ608" t="s">
        <v>74</v>
      </c>
      <c r="BA608" t="s">
        <v>74</v>
      </c>
      <c r="BB608">
        <v>685</v>
      </c>
      <c r="BC608">
        <v>702</v>
      </c>
      <c r="BD608" t="s">
        <v>74</v>
      </c>
      <c r="BE608" t="s">
        <v>6344</v>
      </c>
      <c r="BF608" t="str">
        <f>HYPERLINK("http://dx.doi.org/10.1080/02650487.2021.1920218","http://dx.doi.org/10.1080/02650487.2021.1920218")</f>
        <v>http://dx.doi.org/10.1080/02650487.2021.1920218</v>
      </c>
      <c r="BG608" t="s">
        <v>74</v>
      </c>
      <c r="BH608" t="s">
        <v>4777</v>
      </c>
      <c r="BI608">
        <v>18</v>
      </c>
      <c r="BJ608" t="s">
        <v>2010</v>
      </c>
      <c r="BK608" t="s">
        <v>101</v>
      </c>
      <c r="BL608" t="s">
        <v>2011</v>
      </c>
      <c r="BM608" t="s">
        <v>6345</v>
      </c>
      <c r="BN608" t="s">
        <v>74</v>
      </c>
      <c r="BO608" t="s">
        <v>74</v>
      </c>
      <c r="BP608" t="s">
        <v>74</v>
      </c>
      <c r="BQ608" t="s">
        <v>74</v>
      </c>
      <c r="BR608" t="s">
        <v>6098</v>
      </c>
      <c r="BS608" t="s">
        <v>6346</v>
      </c>
      <c r="BT608" t="str">
        <f>HYPERLINK("https%3A%2F%2Fwww.webofscience.com%2Fwos%2Fwoscc%2Ffull-record%2FWOS:000648460300001","View Full Record in Web of Science")</f>
        <v>View Full Record in Web of Science</v>
      </c>
      <c r="BU608" t="s">
        <v>6100</v>
      </c>
      <c r="BV608" s="1" t="s">
        <v>6080</v>
      </c>
      <c r="BW608" s="1" t="s">
        <v>6080</v>
      </c>
    </row>
    <row r="609" spans="1:75" ht="409.5" x14ac:dyDescent="0.35">
      <c r="A609" t="s">
        <v>72</v>
      </c>
      <c r="B609" t="s">
        <v>6347</v>
      </c>
      <c r="C609" t="s">
        <v>74</v>
      </c>
      <c r="D609" t="s">
        <v>74</v>
      </c>
      <c r="E609" t="s">
        <v>74</v>
      </c>
      <c r="F609" t="s">
        <v>6348</v>
      </c>
      <c r="G609" t="s">
        <v>74</v>
      </c>
      <c r="H609" t="s">
        <v>74</v>
      </c>
      <c r="I609" t="s">
        <v>6349</v>
      </c>
      <c r="J609" t="s">
        <v>6350</v>
      </c>
      <c r="K609" t="s">
        <v>74</v>
      </c>
      <c r="L609" t="s">
        <v>74</v>
      </c>
      <c r="M609" t="s">
        <v>78</v>
      </c>
      <c r="N609" t="s">
        <v>79</v>
      </c>
      <c r="O609" t="s">
        <v>74</v>
      </c>
      <c r="P609" t="s">
        <v>74</v>
      </c>
      <c r="Q609" t="s">
        <v>74</v>
      </c>
      <c r="R609" t="s">
        <v>74</v>
      </c>
      <c r="S609" t="s">
        <v>74</v>
      </c>
      <c r="T609" t="s">
        <v>6351</v>
      </c>
      <c r="U609" t="s">
        <v>6352</v>
      </c>
      <c r="V609" s="1" t="s">
        <v>6353</v>
      </c>
      <c r="W609" t="s">
        <v>6354</v>
      </c>
      <c r="X609" t="s">
        <v>6355</v>
      </c>
      <c r="Y609" t="s">
        <v>6356</v>
      </c>
      <c r="Z609" t="s">
        <v>6357</v>
      </c>
      <c r="AA609" t="s">
        <v>74</v>
      </c>
      <c r="AB609" t="s">
        <v>74</v>
      </c>
      <c r="AC609" t="s">
        <v>74</v>
      </c>
      <c r="AD609" t="s">
        <v>74</v>
      </c>
      <c r="AE609" t="s">
        <v>74</v>
      </c>
      <c r="AF609" t="s">
        <v>74</v>
      </c>
      <c r="AG609">
        <v>40</v>
      </c>
      <c r="AH609">
        <v>3</v>
      </c>
      <c r="AI609">
        <v>3</v>
      </c>
      <c r="AJ609">
        <v>4</v>
      </c>
      <c r="AK609">
        <v>18</v>
      </c>
      <c r="AL609" t="s">
        <v>6358</v>
      </c>
      <c r="AM609" t="s">
        <v>6359</v>
      </c>
      <c r="AN609" t="s">
        <v>6360</v>
      </c>
      <c r="AO609" t="s">
        <v>6361</v>
      </c>
      <c r="AP609" t="s">
        <v>6362</v>
      </c>
      <c r="AQ609" t="s">
        <v>74</v>
      </c>
      <c r="AR609" t="s">
        <v>6363</v>
      </c>
      <c r="AS609" t="s">
        <v>6364</v>
      </c>
      <c r="AT609" t="s">
        <v>151</v>
      </c>
      <c r="AU609">
        <v>2022</v>
      </c>
      <c r="AV609">
        <v>10</v>
      </c>
      <c r="AW609">
        <v>2</v>
      </c>
      <c r="AX609" t="s">
        <v>74</v>
      </c>
      <c r="AY609" t="s">
        <v>74</v>
      </c>
      <c r="AZ609" t="s">
        <v>259</v>
      </c>
      <c r="BA609" t="s">
        <v>74</v>
      </c>
      <c r="BB609">
        <v>173</v>
      </c>
      <c r="BC609">
        <v>183</v>
      </c>
      <c r="BD609" t="s">
        <v>74</v>
      </c>
      <c r="BE609" t="s">
        <v>6365</v>
      </c>
      <c r="BF609" t="str">
        <f>HYPERLINK("http://dx.doi.org/10.1057/s41270-021-00138-3","http://dx.doi.org/10.1057/s41270-021-00138-3")</f>
        <v>http://dx.doi.org/10.1057/s41270-021-00138-3</v>
      </c>
      <c r="BG609" t="s">
        <v>74</v>
      </c>
      <c r="BH609" t="s">
        <v>6366</v>
      </c>
      <c r="BI609">
        <v>11</v>
      </c>
      <c r="BJ609" t="s">
        <v>153</v>
      </c>
      <c r="BK609" t="s">
        <v>3880</v>
      </c>
      <c r="BL609" t="s">
        <v>154</v>
      </c>
      <c r="BM609" t="s">
        <v>6367</v>
      </c>
      <c r="BN609" t="s">
        <v>74</v>
      </c>
      <c r="BO609" t="s">
        <v>334</v>
      </c>
      <c r="BP609" t="s">
        <v>74</v>
      </c>
      <c r="BQ609" t="s">
        <v>74</v>
      </c>
      <c r="BR609" t="s">
        <v>6098</v>
      </c>
      <c r="BS609" t="s">
        <v>6368</v>
      </c>
      <c r="BT609" t="str">
        <f>HYPERLINK("https%3A%2F%2Fwww.webofscience.com%2Fwos%2Fwoscc%2Ffull-record%2FWOS:000716233500001","View Full Record in Web of Science")</f>
        <v>View Full Record in Web of Science</v>
      </c>
      <c r="BU609" t="s">
        <v>6100</v>
      </c>
      <c r="BV609" s="1" t="s">
        <v>6080</v>
      </c>
      <c r="BW609" s="1" t="s">
        <v>6080</v>
      </c>
    </row>
    <row r="610" spans="1:75" x14ac:dyDescent="0.35">
      <c r="A610" t="s">
        <v>72</v>
      </c>
      <c r="B610" t="s">
        <v>6432</v>
      </c>
      <c r="C610" t="s">
        <v>74</v>
      </c>
      <c r="D610" t="s">
        <v>74</v>
      </c>
      <c r="E610" t="s">
        <v>74</v>
      </c>
      <c r="F610" t="s">
        <v>6433</v>
      </c>
      <c r="G610" t="s">
        <v>74</v>
      </c>
      <c r="H610" t="s">
        <v>74</v>
      </c>
      <c r="I610" t="s">
        <v>6434</v>
      </c>
      <c r="J610" t="s">
        <v>3737</v>
      </c>
      <c r="K610" t="s">
        <v>74</v>
      </c>
      <c r="L610" t="s">
        <v>74</v>
      </c>
      <c r="M610" t="s">
        <v>78</v>
      </c>
      <c r="N610" t="s">
        <v>79</v>
      </c>
      <c r="O610" t="s">
        <v>74</v>
      </c>
      <c r="P610" t="s">
        <v>74</v>
      </c>
      <c r="Q610" t="s">
        <v>74</v>
      </c>
      <c r="R610" t="s">
        <v>74</v>
      </c>
      <c r="S610" t="s">
        <v>74</v>
      </c>
      <c r="T610" t="s">
        <v>6435</v>
      </c>
      <c r="U610" t="s">
        <v>6436</v>
      </c>
      <c r="V610" t="s">
        <v>6437</v>
      </c>
      <c r="W610" t="s">
        <v>6438</v>
      </c>
      <c r="X610" t="s">
        <v>6439</v>
      </c>
      <c r="Y610" t="s">
        <v>6440</v>
      </c>
      <c r="Z610" t="s">
        <v>6441</v>
      </c>
      <c r="AA610" t="s">
        <v>74</v>
      </c>
      <c r="AB610" t="s">
        <v>6442</v>
      </c>
      <c r="AC610" t="s">
        <v>74</v>
      </c>
      <c r="AD610" t="s">
        <v>74</v>
      </c>
      <c r="AE610" t="s">
        <v>74</v>
      </c>
      <c r="AF610" t="s">
        <v>74</v>
      </c>
      <c r="AG610">
        <v>89</v>
      </c>
      <c r="AH610">
        <v>7</v>
      </c>
      <c r="AI610">
        <v>7</v>
      </c>
      <c r="AJ610">
        <v>19</v>
      </c>
      <c r="AK610">
        <v>49</v>
      </c>
      <c r="AL610" t="s">
        <v>324</v>
      </c>
      <c r="AM610" t="s">
        <v>325</v>
      </c>
      <c r="AN610" t="s">
        <v>2004</v>
      </c>
      <c r="AO610" t="s">
        <v>3743</v>
      </c>
      <c r="AP610" t="s">
        <v>3831</v>
      </c>
      <c r="AQ610" t="s">
        <v>74</v>
      </c>
      <c r="AR610" t="s">
        <v>3744</v>
      </c>
      <c r="AS610" t="s">
        <v>3745</v>
      </c>
      <c r="AT610" t="s">
        <v>177</v>
      </c>
      <c r="AU610">
        <v>2022</v>
      </c>
      <c r="AV610">
        <v>139</v>
      </c>
      <c r="AW610" t="s">
        <v>74</v>
      </c>
      <c r="AX610" t="s">
        <v>74</v>
      </c>
      <c r="AY610" t="s">
        <v>74</v>
      </c>
      <c r="AZ610" t="s">
        <v>74</v>
      </c>
      <c r="BA610" t="s">
        <v>74</v>
      </c>
      <c r="BB610">
        <v>1366</v>
      </c>
      <c r="BC610">
        <v>1377</v>
      </c>
      <c r="BD610" t="s">
        <v>74</v>
      </c>
      <c r="BE610" t="s">
        <v>6443</v>
      </c>
      <c r="BF610" t="str">
        <f>HYPERLINK("http://dx.doi.org/10.1016/j.jbusres.2021.08.025","http://dx.doi.org/10.1016/j.jbusres.2021.08.025")</f>
        <v>http://dx.doi.org/10.1016/j.jbusres.2021.08.025</v>
      </c>
      <c r="BG610" t="s">
        <v>74</v>
      </c>
      <c r="BH610" t="s">
        <v>74</v>
      </c>
      <c r="BI610">
        <v>12</v>
      </c>
      <c r="BJ610" t="s">
        <v>153</v>
      </c>
      <c r="BK610" t="s">
        <v>101</v>
      </c>
      <c r="BL610" t="s">
        <v>154</v>
      </c>
      <c r="BM610" t="s">
        <v>6444</v>
      </c>
      <c r="BN610" t="s">
        <v>74</v>
      </c>
      <c r="BO610" t="s">
        <v>74</v>
      </c>
      <c r="BP610" t="s">
        <v>74</v>
      </c>
      <c r="BQ610" t="s">
        <v>74</v>
      </c>
      <c r="BR610" t="s">
        <v>6098</v>
      </c>
      <c r="BS610" t="s">
        <v>6445</v>
      </c>
      <c r="BT610" t="str">
        <f>HYPERLINK("https%3A%2F%2Fwww.webofscience.com%2Fwos%2Fwoscc%2Ffull-record%2FWOS:000780197800002","View Full Record in Web of Science")</f>
        <v>View Full Record in Web of Science</v>
      </c>
      <c r="BU610" t="s">
        <v>6100</v>
      </c>
      <c r="BV610" s="1" t="s">
        <v>10653</v>
      </c>
    </row>
    <row r="611" spans="1:75" ht="409.5" x14ac:dyDescent="0.35">
      <c r="A611" t="s">
        <v>72</v>
      </c>
      <c r="B611" t="s">
        <v>6515</v>
      </c>
      <c r="C611" t="s">
        <v>74</v>
      </c>
      <c r="D611" t="s">
        <v>74</v>
      </c>
      <c r="E611" t="s">
        <v>74</v>
      </c>
      <c r="F611" t="s">
        <v>6516</v>
      </c>
      <c r="G611" t="s">
        <v>74</v>
      </c>
      <c r="H611" t="s">
        <v>74</v>
      </c>
      <c r="I611" t="s">
        <v>6517</v>
      </c>
      <c r="J611" t="s">
        <v>5066</v>
      </c>
      <c r="K611" t="s">
        <v>74</v>
      </c>
      <c r="L611" t="s">
        <v>74</v>
      </c>
      <c r="M611" t="s">
        <v>78</v>
      </c>
      <c r="N611" t="s">
        <v>79</v>
      </c>
      <c r="O611" t="s">
        <v>74</v>
      </c>
      <c r="P611" t="s">
        <v>74</v>
      </c>
      <c r="Q611" t="s">
        <v>74</v>
      </c>
      <c r="R611" t="s">
        <v>74</v>
      </c>
      <c r="S611" t="s">
        <v>74</v>
      </c>
      <c r="T611" t="s">
        <v>6518</v>
      </c>
      <c r="U611" t="s">
        <v>6519</v>
      </c>
      <c r="V611" s="1" t="s">
        <v>6520</v>
      </c>
      <c r="W611" t="s">
        <v>6521</v>
      </c>
      <c r="X611" t="s">
        <v>6522</v>
      </c>
      <c r="Y611" t="s">
        <v>6523</v>
      </c>
      <c r="Z611" t="s">
        <v>6524</v>
      </c>
      <c r="AA611" t="s">
        <v>74</v>
      </c>
      <c r="AB611" t="s">
        <v>74</v>
      </c>
      <c r="AC611" t="s">
        <v>74</v>
      </c>
      <c r="AD611" t="s">
        <v>74</v>
      </c>
      <c r="AE611" t="s">
        <v>74</v>
      </c>
      <c r="AF611" t="s">
        <v>74</v>
      </c>
      <c r="AG611">
        <v>84</v>
      </c>
      <c r="AH611">
        <v>4</v>
      </c>
      <c r="AI611">
        <v>4</v>
      </c>
      <c r="AJ611">
        <v>19</v>
      </c>
      <c r="AK611">
        <v>77</v>
      </c>
      <c r="AL611" t="s">
        <v>1982</v>
      </c>
      <c r="AM611" t="s">
        <v>1983</v>
      </c>
      <c r="AN611" t="s">
        <v>2573</v>
      </c>
      <c r="AO611" t="s">
        <v>5076</v>
      </c>
      <c r="AP611" t="s">
        <v>5077</v>
      </c>
      <c r="AQ611" t="s">
        <v>74</v>
      </c>
      <c r="AR611" t="s">
        <v>5078</v>
      </c>
      <c r="AS611" t="s">
        <v>5079</v>
      </c>
      <c r="AT611" t="s">
        <v>6525</v>
      </c>
      <c r="AU611">
        <v>2022</v>
      </c>
      <c r="AV611">
        <v>56</v>
      </c>
      <c r="AW611">
        <v>6</v>
      </c>
      <c r="AX611" t="s">
        <v>74</v>
      </c>
      <c r="AY611" t="s">
        <v>74</v>
      </c>
      <c r="AZ611" t="s">
        <v>259</v>
      </c>
      <c r="BA611" t="s">
        <v>74</v>
      </c>
      <c r="BB611">
        <v>1590</v>
      </c>
      <c r="BC611">
        <v>1609</v>
      </c>
      <c r="BD611" t="s">
        <v>74</v>
      </c>
      <c r="BE611" t="s">
        <v>6526</v>
      </c>
      <c r="BF611" t="str">
        <f>HYPERLINK("http://dx.doi.org/10.1108/EJM-12-2019-0941","http://dx.doi.org/10.1108/EJM-12-2019-0941")</f>
        <v>http://dx.doi.org/10.1108/EJM-12-2019-0941</v>
      </c>
      <c r="BG611" t="s">
        <v>74</v>
      </c>
      <c r="BH611" t="s">
        <v>4777</v>
      </c>
      <c r="BI611">
        <v>20</v>
      </c>
      <c r="BJ611" t="s">
        <v>153</v>
      </c>
      <c r="BK611" t="s">
        <v>101</v>
      </c>
      <c r="BL611" t="s">
        <v>154</v>
      </c>
      <c r="BM611" t="s">
        <v>6527</v>
      </c>
      <c r="BN611" t="s">
        <v>74</v>
      </c>
      <c r="BO611" t="s">
        <v>828</v>
      </c>
      <c r="BP611" t="s">
        <v>74</v>
      </c>
      <c r="BQ611" t="s">
        <v>74</v>
      </c>
      <c r="BR611" t="s">
        <v>6098</v>
      </c>
      <c r="BS611" t="s">
        <v>6528</v>
      </c>
      <c r="BT611" t="str">
        <f>HYPERLINK("https%3A%2F%2Fwww.webofscience.com%2Fwos%2Fwoscc%2Ffull-record%2FWOS:000637811700001","View Full Record in Web of Science")</f>
        <v>View Full Record in Web of Science</v>
      </c>
      <c r="BU611" t="s">
        <v>6100</v>
      </c>
      <c r="BV611" s="1" t="s">
        <v>6080</v>
      </c>
      <c r="BW611" s="1" t="s">
        <v>6080</v>
      </c>
    </row>
    <row r="612" spans="1:75" x14ac:dyDescent="0.35">
      <c r="A612" t="s">
        <v>72</v>
      </c>
      <c r="B612" t="s">
        <v>6761</v>
      </c>
      <c r="C612" t="s">
        <v>74</v>
      </c>
      <c r="D612" t="s">
        <v>74</v>
      </c>
      <c r="E612" t="s">
        <v>74</v>
      </c>
      <c r="F612" t="s">
        <v>6762</v>
      </c>
      <c r="G612" t="s">
        <v>74</v>
      </c>
      <c r="H612" t="s">
        <v>74</v>
      </c>
      <c r="I612" t="s">
        <v>6763</v>
      </c>
      <c r="J612" t="s">
        <v>5386</v>
      </c>
      <c r="K612" t="s">
        <v>74</v>
      </c>
      <c r="L612" t="s">
        <v>74</v>
      </c>
      <c r="M612" t="s">
        <v>78</v>
      </c>
      <c r="N612" t="s">
        <v>79</v>
      </c>
      <c r="O612" t="s">
        <v>74</v>
      </c>
      <c r="P612" t="s">
        <v>74</v>
      </c>
      <c r="Q612" t="s">
        <v>74</v>
      </c>
      <c r="R612" t="s">
        <v>74</v>
      </c>
      <c r="S612" t="s">
        <v>74</v>
      </c>
      <c r="T612" t="s">
        <v>6764</v>
      </c>
      <c r="U612" t="s">
        <v>6765</v>
      </c>
      <c r="V612" t="s">
        <v>6766</v>
      </c>
      <c r="W612" t="s">
        <v>6767</v>
      </c>
      <c r="X612" t="s">
        <v>6768</v>
      </c>
      <c r="Y612" t="s">
        <v>6769</v>
      </c>
      <c r="Z612" t="s">
        <v>6770</v>
      </c>
      <c r="AA612" t="s">
        <v>6771</v>
      </c>
      <c r="AB612" t="s">
        <v>6772</v>
      </c>
      <c r="AC612" t="s">
        <v>74</v>
      </c>
      <c r="AD612" t="s">
        <v>74</v>
      </c>
      <c r="AE612" t="s">
        <v>74</v>
      </c>
      <c r="AF612" t="s">
        <v>74</v>
      </c>
      <c r="AG612">
        <v>79</v>
      </c>
      <c r="AH612">
        <v>0</v>
      </c>
      <c r="AI612">
        <v>0</v>
      </c>
      <c r="AJ612">
        <v>5</v>
      </c>
      <c r="AK612">
        <v>20</v>
      </c>
      <c r="AL612" t="s">
        <v>1982</v>
      </c>
      <c r="AM612" t="s">
        <v>1983</v>
      </c>
      <c r="AN612" t="s">
        <v>2573</v>
      </c>
      <c r="AO612" t="s">
        <v>5394</v>
      </c>
      <c r="AP612" t="s">
        <v>5395</v>
      </c>
      <c r="AQ612" t="s">
        <v>74</v>
      </c>
      <c r="AR612" t="s">
        <v>5396</v>
      </c>
      <c r="AS612" t="s">
        <v>5397</v>
      </c>
      <c r="AT612" t="s">
        <v>6773</v>
      </c>
      <c r="AU612">
        <v>2022</v>
      </c>
      <c r="AV612">
        <v>16</v>
      </c>
      <c r="AW612">
        <v>4</v>
      </c>
      <c r="AX612" t="s">
        <v>74</v>
      </c>
      <c r="AY612" t="s">
        <v>74</v>
      </c>
      <c r="AZ612" t="s">
        <v>74</v>
      </c>
      <c r="BA612" t="s">
        <v>74</v>
      </c>
      <c r="BB612">
        <v>601</v>
      </c>
      <c r="BC612">
        <v>614</v>
      </c>
      <c r="BD612" t="s">
        <v>74</v>
      </c>
      <c r="BE612" t="s">
        <v>6774</v>
      </c>
      <c r="BF612" t="str">
        <f>HYPERLINK("http://dx.doi.org/10.1108/JRIM-04-2021-0106","http://dx.doi.org/10.1108/JRIM-04-2021-0106")</f>
        <v>http://dx.doi.org/10.1108/JRIM-04-2021-0106</v>
      </c>
      <c r="BG612" t="s">
        <v>74</v>
      </c>
      <c r="BH612" t="s">
        <v>4552</v>
      </c>
      <c r="BI612">
        <v>14</v>
      </c>
      <c r="BJ612" t="s">
        <v>153</v>
      </c>
      <c r="BK612" t="s">
        <v>101</v>
      </c>
      <c r="BL612" t="s">
        <v>154</v>
      </c>
      <c r="BM612" t="s">
        <v>6775</v>
      </c>
      <c r="BN612" t="s">
        <v>74</v>
      </c>
      <c r="BO612" t="s">
        <v>74</v>
      </c>
      <c r="BP612" t="s">
        <v>74</v>
      </c>
      <c r="BQ612" t="s">
        <v>74</v>
      </c>
      <c r="BR612" t="s">
        <v>6098</v>
      </c>
      <c r="BS612" t="s">
        <v>6776</v>
      </c>
      <c r="BT612" t="str">
        <f>HYPERLINK("https%3A%2F%2Fwww.webofscience.com%2Fwos%2Fwoscc%2Ffull-record%2FWOS:000727933000001","View Full Record in Web of Science")</f>
        <v>View Full Record in Web of Science</v>
      </c>
      <c r="BU612" t="s">
        <v>6100</v>
      </c>
      <c r="BV612" s="1" t="s">
        <v>6080</v>
      </c>
      <c r="BW612" s="1" t="s">
        <v>6080</v>
      </c>
    </row>
    <row r="613" spans="1:75" x14ac:dyDescent="0.35">
      <c r="A613" t="s">
        <v>72</v>
      </c>
      <c r="B613" t="s">
        <v>6918</v>
      </c>
      <c r="C613" t="s">
        <v>74</v>
      </c>
      <c r="D613" t="s">
        <v>74</v>
      </c>
      <c r="E613" t="s">
        <v>74</v>
      </c>
      <c r="F613" t="s">
        <v>6919</v>
      </c>
      <c r="G613" t="s">
        <v>74</v>
      </c>
      <c r="H613" t="s">
        <v>74</v>
      </c>
      <c r="I613" t="s">
        <v>6920</v>
      </c>
      <c r="J613" t="s">
        <v>3737</v>
      </c>
      <c r="K613" t="s">
        <v>74</v>
      </c>
      <c r="L613" t="s">
        <v>74</v>
      </c>
      <c r="M613" t="s">
        <v>78</v>
      </c>
      <c r="N613" t="s">
        <v>110</v>
      </c>
      <c r="O613" t="s">
        <v>74</v>
      </c>
      <c r="P613" t="s">
        <v>74</v>
      </c>
      <c r="Q613" t="s">
        <v>74</v>
      </c>
      <c r="R613" t="s">
        <v>74</v>
      </c>
      <c r="S613" t="s">
        <v>74</v>
      </c>
      <c r="T613" t="s">
        <v>6921</v>
      </c>
      <c r="U613" t="s">
        <v>6922</v>
      </c>
      <c r="V613" t="s">
        <v>6923</v>
      </c>
      <c r="W613" t="s">
        <v>6924</v>
      </c>
      <c r="X613" t="s">
        <v>6925</v>
      </c>
      <c r="Y613" t="s">
        <v>6926</v>
      </c>
      <c r="Z613" t="s">
        <v>6927</v>
      </c>
      <c r="AA613" t="s">
        <v>74</v>
      </c>
      <c r="AB613" t="s">
        <v>74</v>
      </c>
      <c r="AC613" t="s">
        <v>74</v>
      </c>
      <c r="AD613" t="s">
        <v>74</v>
      </c>
      <c r="AE613" t="s">
        <v>74</v>
      </c>
      <c r="AF613" t="s">
        <v>74</v>
      </c>
      <c r="AG613">
        <v>195</v>
      </c>
      <c r="AH613">
        <v>1</v>
      </c>
      <c r="AI613">
        <v>1</v>
      </c>
      <c r="AJ613">
        <v>35</v>
      </c>
      <c r="AK613">
        <v>35</v>
      </c>
      <c r="AL613" t="s">
        <v>324</v>
      </c>
      <c r="AM613" t="s">
        <v>325</v>
      </c>
      <c r="AN613" t="s">
        <v>2004</v>
      </c>
      <c r="AO613" t="s">
        <v>3743</v>
      </c>
      <c r="AP613" t="s">
        <v>3831</v>
      </c>
      <c r="AQ613" t="s">
        <v>74</v>
      </c>
      <c r="AR613" t="s">
        <v>3744</v>
      </c>
      <c r="AS613" t="s">
        <v>3745</v>
      </c>
      <c r="AT613" t="s">
        <v>348</v>
      </c>
      <c r="AU613">
        <v>2022</v>
      </c>
      <c r="AV613">
        <v>153</v>
      </c>
      <c r="AW613" t="s">
        <v>74</v>
      </c>
      <c r="AX613" t="s">
        <v>74</v>
      </c>
      <c r="AY613" t="s">
        <v>74</v>
      </c>
      <c r="AZ613" t="s">
        <v>74</v>
      </c>
      <c r="BA613" t="s">
        <v>74</v>
      </c>
      <c r="BB613">
        <v>235</v>
      </c>
      <c r="BC613">
        <v>250</v>
      </c>
      <c r="BD613" t="s">
        <v>74</v>
      </c>
      <c r="BE613" t="s">
        <v>6928</v>
      </c>
      <c r="BF613" t="str">
        <f>HYPERLINK("http://dx.doi.org/10.1016/j.jbusres.2022.08.033","http://dx.doi.org/10.1016/j.jbusres.2022.08.033")</f>
        <v>http://dx.doi.org/10.1016/j.jbusres.2022.08.033</v>
      </c>
      <c r="BG613" t="s">
        <v>74</v>
      </c>
      <c r="BH613" t="s">
        <v>4383</v>
      </c>
      <c r="BI613">
        <v>16</v>
      </c>
      <c r="BJ613" t="s">
        <v>153</v>
      </c>
      <c r="BK613" t="s">
        <v>101</v>
      </c>
      <c r="BL613" t="s">
        <v>154</v>
      </c>
      <c r="BM613" t="s">
        <v>6929</v>
      </c>
      <c r="BN613" t="s">
        <v>74</v>
      </c>
      <c r="BO613" t="s">
        <v>6930</v>
      </c>
      <c r="BP613" t="s">
        <v>74</v>
      </c>
      <c r="BQ613" t="s">
        <v>74</v>
      </c>
      <c r="BR613" t="s">
        <v>6098</v>
      </c>
      <c r="BS613" t="s">
        <v>6931</v>
      </c>
      <c r="BT613" t="str">
        <f>HYPERLINK("https%3A%2F%2Fwww.webofscience.com%2Fwos%2Fwoscc%2Ffull-record%2FWOS:000863232400010","View Full Record in Web of Science")</f>
        <v>View Full Record in Web of Science</v>
      </c>
      <c r="BU613" t="s">
        <v>6100</v>
      </c>
      <c r="BV613" s="1" t="s">
        <v>10653</v>
      </c>
    </row>
    <row r="614" spans="1:75" x14ac:dyDescent="0.35">
      <c r="A614" t="s">
        <v>72</v>
      </c>
      <c r="B614" t="s">
        <v>7327</v>
      </c>
      <c r="C614" t="s">
        <v>74</v>
      </c>
      <c r="D614" t="s">
        <v>74</v>
      </c>
      <c r="E614" t="s">
        <v>74</v>
      </c>
      <c r="F614" t="s">
        <v>5880</v>
      </c>
      <c r="G614" t="s">
        <v>74</v>
      </c>
      <c r="H614" t="s">
        <v>74</v>
      </c>
      <c r="I614" t="s">
        <v>5902</v>
      </c>
      <c r="J614" t="s">
        <v>810</v>
      </c>
      <c r="K614" t="s">
        <v>74</v>
      </c>
      <c r="L614" t="s">
        <v>74</v>
      </c>
      <c r="M614" t="s">
        <v>78</v>
      </c>
      <c r="N614" t="s">
        <v>79</v>
      </c>
      <c r="O614" t="s">
        <v>74</v>
      </c>
      <c r="P614" t="s">
        <v>74</v>
      </c>
      <c r="Q614" t="s">
        <v>74</v>
      </c>
      <c r="R614" t="s">
        <v>74</v>
      </c>
      <c r="S614" t="s">
        <v>74</v>
      </c>
      <c r="T614" t="s">
        <v>7328</v>
      </c>
      <c r="U614" t="s">
        <v>7329</v>
      </c>
      <c r="V614" t="s">
        <v>5994</v>
      </c>
      <c r="W614" t="s">
        <v>7330</v>
      </c>
      <c r="X614" t="s">
        <v>7331</v>
      </c>
      <c r="Y614" t="s">
        <v>7332</v>
      </c>
      <c r="Z614" t="s">
        <v>7333</v>
      </c>
      <c r="AA614" t="s">
        <v>74</v>
      </c>
      <c r="AB614" t="s">
        <v>4225</v>
      </c>
      <c r="AC614" t="s">
        <v>74</v>
      </c>
      <c r="AD614" t="s">
        <v>74</v>
      </c>
      <c r="AE614" t="s">
        <v>74</v>
      </c>
      <c r="AF614" t="s">
        <v>74</v>
      </c>
      <c r="AG614">
        <v>88</v>
      </c>
      <c r="AH614">
        <v>6</v>
      </c>
      <c r="AI614">
        <v>6</v>
      </c>
      <c r="AJ614">
        <v>27</v>
      </c>
      <c r="AK614">
        <v>71</v>
      </c>
      <c r="AL614" t="s">
        <v>820</v>
      </c>
      <c r="AM614" t="s">
        <v>325</v>
      </c>
      <c r="AN614" t="s">
        <v>1604</v>
      </c>
      <c r="AO614" t="s">
        <v>822</v>
      </c>
      <c r="AP614" t="s">
        <v>823</v>
      </c>
      <c r="AQ614" t="s">
        <v>74</v>
      </c>
      <c r="AR614" t="s">
        <v>824</v>
      </c>
      <c r="AS614" t="s">
        <v>825</v>
      </c>
      <c r="AT614" t="s">
        <v>258</v>
      </c>
      <c r="AU614">
        <v>2022</v>
      </c>
      <c r="AV614">
        <v>50</v>
      </c>
      <c r="AW614">
        <v>6</v>
      </c>
      <c r="AX614" t="s">
        <v>74</v>
      </c>
      <c r="AY614" t="s">
        <v>74</v>
      </c>
      <c r="AZ614" t="s">
        <v>259</v>
      </c>
      <c r="BA614" t="s">
        <v>74</v>
      </c>
      <c r="BB614">
        <v>1324</v>
      </c>
      <c r="BC614">
        <v>1350</v>
      </c>
      <c r="BD614" t="s">
        <v>74</v>
      </c>
      <c r="BE614" t="s">
        <v>7334</v>
      </c>
      <c r="BF614" t="str">
        <f>HYPERLINK("http://dx.doi.org/10.1007/s11747-022-00840-3","http://dx.doi.org/10.1007/s11747-022-00840-3")</f>
        <v>http://dx.doi.org/10.1007/s11747-022-00840-3</v>
      </c>
      <c r="BG614" t="s">
        <v>74</v>
      </c>
      <c r="BH614" t="s">
        <v>6723</v>
      </c>
      <c r="BI614">
        <v>27</v>
      </c>
      <c r="BJ614" t="s">
        <v>153</v>
      </c>
      <c r="BK614" t="s">
        <v>101</v>
      </c>
      <c r="BL614" t="s">
        <v>154</v>
      </c>
      <c r="BM614" t="s">
        <v>7335</v>
      </c>
      <c r="BN614" t="s">
        <v>74</v>
      </c>
      <c r="BO614" t="s">
        <v>74</v>
      </c>
      <c r="BP614" t="s">
        <v>74</v>
      </c>
      <c r="BQ614" t="s">
        <v>74</v>
      </c>
      <c r="BR614" t="s">
        <v>6098</v>
      </c>
      <c r="BS614" t="s">
        <v>7336</v>
      </c>
      <c r="BT614" t="str">
        <f>HYPERLINK("https%3A%2F%2Fwww.webofscience.com%2Fwos%2Fwoscc%2Ffull-record%2FWOS:000764453500001","View Full Record in Web of Science")</f>
        <v>View Full Record in Web of Science</v>
      </c>
      <c r="BU614" t="s">
        <v>6100</v>
      </c>
      <c r="BV614" s="1" t="s">
        <v>6080</v>
      </c>
      <c r="BW614" s="1" t="s">
        <v>6080</v>
      </c>
    </row>
    <row r="615" spans="1:75" x14ac:dyDescent="0.35">
      <c r="A615" t="s">
        <v>72</v>
      </c>
      <c r="B615" t="s">
        <v>7372</v>
      </c>
      <c r="C615" t="s">
        <v>74</v>
      </c>
      <c r="D615" t="s">
        <v>74</v>
      </c>
      <c r="E615" t="s">
        <v>74</v>
      </c>
      <c r="F615" t="s">
        <v>5879</v>
      </c>
      <c r="G615" t="s">
        <v>74</v>
      </c>
      <c r="H615" t="s">
        <v>74</v>
      </c>
      <c r="I615" t="s">
        <v>5900</v>
      </c>
      <c r="J615" t="s">
        <v>6149</v>
      </c>
      <c r="K615" t="s">
        <v>74</v>
      </c>
      <c r="L615" t="s">
        <v>74</v>
      </c>
      <c r="M615" t="s">
        <v>78</v>
      </c>
      <c r="N615" t="s">
        <v>79</v>
      </c>
      <c r="O615" t="s">
        <v>74</v>
      </c>
      <c r="P615" t="s">
        <v>74</v>
      </c>
      <c r="Q615" t="s">
        <v>74</v>
      </c>
      <c r="R615" t="s">
        <v>74</v>
      </c>
      <c r="S615" t="s">
        <v>74</v>
      </c>
      <c r="T615" t="s">
        <v>7373</v>
      </c>
      <c r="U615" t="s">
        <v>7374</v>
      </c>
      <c r="V615" t="s">
        <v>5992</v>
      </c>
      <c r="W615" t="s">
        <v>7375</v>
      </c>
      <c r="X615" t="s">
        <v>7376</v>
      </c>
      <c r="Y615" t="s">
        <v>292</v>
      </c>
      <c r="Z615" t="s">
        <v>273</v>
      </c>
      <c r="AA615" t="s">
        <v>74</v>
      </c>
      <c r="AB615" t="s">
        <v>74</v>
      </c>
      <c r="AC615" t="s">
        <v>74</v>
      </c>
      <c r="AD615" t="s">
        <v>74</v>
      </c>
      <c r="AE615" t="s">
        <v>74</v>
      </c>
      <c r="AF615" t="s">
        <v>74</v>
      </c>
      <c r="AG615">
        <v>69</v>
      </c>
      <c r="AH615">
        <v>3</v>
      </c>
      <c r="AI615">
        <v>3</v>
      </c>
      <c r="AJ615">
        <v>15</v>
      </c>
      <c r="AK615">
        <v>25</v>
      </c>
      <c r="AL615" t="s">
        <v>820</v>
      </c>
      <c r="AM615" t="s">
        <v>2119</v>
      </c>
      <c r="AN615" t="s">
        <v>2120</v>
      </c>
      <c r="AO615" t="s">
        <v>6157</v>
      </c>
      <c r="AP615" t="s">
        <v>6158</v>
      </c>
      <c r="AQ615" t="s">
        <v>74</v>
      </c>
      <c r="AR615" t="s">
        <v>6159</v>
      </c>
      <c r="AS615" t="s">
        <v>6160</v>
      </c>
      <c r="AT615" t="s">
        <v>517</v>
      </c>
      <c r="AU615">
        <v>2022</v>
      </c>
      <c r="AV615">
        <v>33</v>
      </c>
      <c r="AW615">
        <v>3</v>
      </c>
      <c r="AX615" t="s">
        <v>74</v>
      </c>
      <c r="AY615" t="s">
        <v>74</v>
      </c>
      <c r="AZ615" t="s">
        <v>74</v>
      </c>
      <c r="BA615" t="s">
        <v>74</v>
      </c>
      <c r="BB615">
        <v>365</v>
      </c>
      <c r="BC615">
        <v>377</v>
      </c>
      <c r="BD615" t="s">
        <v>74</v>
      </c>
      <c r="BE615" t="s">
        <v>7377</v>
      </c>
      <c r="BF615" t="str">
        <f>HYPERLINK("http://dx.doi.org/10.1007/s11002-022-09635-6","http://dx.doi.org/10.1007/s11002-022-09635-6")</f>
        <v>http://dx.doi.org/10.1007/s11002-022-09635-6</v>
      </c>
      <c r="BG615" t="s">
        <v>74</v>
      </c>
      <c r="BH615" t="s">
        <v>7234</v>
      </c>
      <c r="BI615">
        <v>13</v>
      </c>
      <c r="BJ615" t="s">
        <v>153</v>
      </c>
      <c r="BK615" t="s">
        <v>101</v>
      </c>
      <c r="BL615" t="s">
        <v>154</v>
      </c>
      <c r="BM615" t="s">
        <v>7378</v>
      </c>
      <c r="BN615" t="s">
        <v>74</v>
      </c>
      <c r="BO615" t="s">
        <v>74</v>
      </c>
      <c r="BP615" t="s">
        <v>74</v>
      </c>
      <c r="BQ615" t="s">
        <v>74</v>
      </c>
      <c r="BR615" t="s">
        <v>6098</v>
      </c>
      <c r="BS615" t="s">
        <v>7379</v>
      </c>
      <c r="BT615" t="str">
        <f>HYPERLINK("https%3A%2F%2Fwww.webofscience.com%2Fwos%2Fwoscc%2Ffull-record%2FWOS:000809285100001","View Full Record in Web of Science")</f>
        <v>View Full Record in Web of Science</v>
      </c>
      <c r="BU615" t="s">
        <v>6100</v>
      </c>
      <c r="BV615" s="1" t="s">
        <v>6080</v>
      </c>
      <c r="BW615" s="1" t="s">
        <v>10653</v>
      </c>
    </row>
    <row r="616" spans="1:75" x14ac:dyDescent="0.35">
      <c r="A616" t="s">
        <v>72</v>
      </c>
      <c r="B616" t="s">
        <v>7424</v>
      </c>
      <c r="C616" t="s">
        <v>74</v>
      </c>
      <c r="D616" t="s">
        <v>74</v>
      </c>
      <c r="E616" t="s">
        <v>74</v>
      </c>
      <c r="F616" t="s">
        <v>7425</v>
      </c>
      <c r="G616" t="s">
        <v>74</v>
      </c>
      <c r="H616" t="s">
        <v>74</v>
      </c>
      <c r="I616" t="s">
        <v>7426</v>
      </c>
      <c r="J616" t="s">
        <v>7427</v>
      </c>
      <c r="K616" t="s">
        <v>74</v>
      </c>
      <c r="L616" t="s">
        <v>74</v>
      </c>
      <c r="M616" t="s">
        <v>78</v>
      </c>
      <c r="N616" t="s">
        <v>110</v>
      </c>
      <c r="O616" t="s">
        <v>74</v>
      </c>
      <c r="P616" t="s">
        <v>74</v>
      </c>
      <c r="Q616" t="s">
        <v>74</v>
      </c>
      <c r="R616" t="s">
        <v>74</v>
      </c>
      <c r="S616" t="s">
        <v>74</v>
      </c>
      <c r="T616" t="s">
        <v>7428</v>
      </c>
      <c r="U616" t="s">
        <v>7429</v>
      </c>
      <c r="V616" t="s">
        <v>7430</v>
      </c>
      <c r="W616" t="s">
        <v>7431</v>
      </c>
      <c r="X616" t="s">
        <v>7432</v>
      </c>
      <c r="Y616" t="s">
        <v>7433</v>
      </c>
      <c r="Z616" t="s">
        <v>7434</v>
      </c>
      <c r="AA616" t="s">
        <v>7435</v>
      </c>
      <c r="AB616" t="s">
        <v>7436</v>
      </c>
      <c r="AC616" t="s">
        <v>74</v>
      </c>
      <c r="AD616" t="s">
        <v>74</v>
      </c>
      <c r="AE616" t="s">
        <v>74</v>
      </c>
      <c r="AF616" t="s">
        <v>74</v>
      </c>
      <c r="AG616">
        <v>59</v>
      </c>
      <c r="AH616">
        <v>13</v>
      </c>
      <c r="AI616">
        <v>13</v>
      </c>
      <c r="AJ616">
        <v>3</v>
      </c>
      <c r="AK616">
        <v>31</v>
      </c>
      <c r="AL616" t="s">
        <v>1982</v>
      </c>
      <c r="AM616" t="s">
        <v>1983</v>
      </c>
      <c r="AN616" t="s">
        <v>2573</v>
      </c>
      <c r="AO616" t="s">
        <v>7437</v>
      </c>
      <c r="AP616" t="s">
        <v>74</v>
      </c>
      <c r="AQ616" t="s">
        <v>74</v>
      </c>
      <c r="AR616" t="s">
        <v>7438</v>
      </c>
      <c r="AS616" t="s">
        <v>7439</v>
      </c>
      <c r="AT616" t="s">
        <v>7440</v>
      </c>
      <c r="AU616">
        <v>2022</v>
      </c>
      <c r="AV616">
        <v>36</v>
      </c>
      <c r="AW616">
        <v>2</v>
      </c>
      <c r="AX616" t="s">
        <v>74</v>
      </c>
      <c r="AY616" t="s">
        <v>74</v>
      </c>
      <c r="AZ616" t="s">
        <v>74</v>
      </c>
      <c r="BA616" t="s">
        <v>74</v>
      </c>
      <c r="BB616">
        <v>110</v>
      </c>
      <c r="BC616">
        <v>128</v>
      </c>
      <c r="BD616" t="s">
        <v>74</v>
      </c>
      <c r="BE616" t="s">
        <v>7441</v>
      </c>
      <c r="BF616" t="str">
        <f>HYPERLINK("http://dx.doi.org/10.1108/JSM-12-2020-0496","http://dx.doi.org/10.1108/JSM-12-2020-0496")</f>
        <v>http://dx.doi.org/10.1108/JSM-12-2020-0496</v>
      </c>
      <c r="BG616" t="s">
        <v>74</v>
      </c>
      <c r="BH616" t="s">
        <v>4652</v>
      </c>
      <c r="BI616">
        <v>19</v>
      </c>
      <c r="BJ616" t="s">
        <v>153</v>
      </c>
      <c r="BK616" t="s">
        <v>101</v>
      </c>
      <c r="BL616" t="s">
        <v>154</v>
      </c>
      <c r="BM616" t="s">
        <v>7442</v>
      </c>
      <c r="BN616" t="s">
        <v>74</v>
      </c>
      <c r="BO616" t="s">
        <v>74</v>
      </c>
      <c r="BP616" t="s">
        <v>74</v>
      </c>
      <c r="BQ616" t="s">
        <v>74</v>
      </c>
      <c r="BR616" t="s">
        <v>6098</v>
      </c>
      <c r="BS616" t="s">
        <v>7443</v>
      </c>
      <c r="BT616" t="str">
        <f>HYPERLINK("https%3A%2F%2Fwww.webofscience.com%2Fwos%2Fwoscc%2Ffull-record%2FWOS:000683763600001","View Full Record in Web of Science")</f>
        <v>View Full Record in Web of Science</v>
      </c>
      <c r="BU616" t="s">
        <v>6100</v>
      </c>
      <c r="BV616" s="1" t="s">
        <v>6080</v>
      </c>
      <c r="BW616" s="1" t="s">
        <v>10653</v>
      </c>
    </row>
    <row r="617" spans="1:75" x14ac:dyDescent="0.35">
      <c r="A617" t="s">
        <v>72</v>
      </c>
      <c r="B617" t="s">
        <v>9406</v>
      </c>
      <c r="C617" t="s">
        <v>74</v>
      </c>
      <c r="D617" t="s">
        <v>74</v>
      </c>
      <c r="E617" t="s">
        <v>74</v>
      </c>
      <c r="F617" t="s">
        <v>9407</v>
      </c>
      <c r="G617" t="s">
        <v>74</v>
      </c>
      <c r="H617" t="s">
        <v>74</v>
      </c>
      <c r="I617" t="s">
        <v>9408</v>
      </c>
      <c r="J617" t="s">
        <v>8297</v>
      </c>
      <c r="K617" t="s">
        <v>74</v>
      </c>
      <c r="L617" t="s">
        <v>74</v>
      </c>
      <c r="M617" t="s">
        <v>78</v>
      </c>
      <c r="N617" t="s">
        <v>79</v>
      </c>
      <c r="O617" t="s">
        <v>74</v>
      </c>
      <c r="P617" t="s">
        <v>74</v>
      </c>
      <c r="Q617" t="s">
        <v>74</v>
      </c>
      <c r="R617" t="s">
        <v>74</v>
      </c>
      <c r="S617" t="s">
        <v>74</v>
      </c>
      <c r="T617" t="s">
        <v>9409</v>
      </c>
      <c r="U617" t="s">
        <v>9410</v>
      </c>
      <c r="V617" t="s">
        <v>9411</v>
      </c>
      <c r="W617" t="s">
        <v>9412</v>
      </c>
      <c r="X617" t="s">
        <v>9413</v>
      </c>
      <c r="Y617" t="s">
        <v>9414</v>
      </c>
      <c r="Z617" t="s">
        <v>9415</v>
      </c>
      <c r="AA617" t="s">
        <v>9416</v>
      </c>
      <c r="AB617" t="s">
        <v>9417</v>
      </c>
      <c r="AC617" t="s">
        <v>9418</v>
      </c>
      <c r="AD617" t="s">
        <v>9419</v>
      </c>
      <c r="AE617" t="s">
        <v>9420</v>
      </c>
      <c r="AF617" t="s">
        <v>74</v>
      </c>
      <c r="AG617">
        <v>93</v>
      </c>
      <c r="AH617">
        <v>0</v>
      </c>
      <c r="AI617">
        <v>0</v>
      </c>
      <c r="AJ617">
        <v>13</v>
      </c>
      <c r="AK617">
        <v>17</v>
      </c>
      <c r="AL617" t="s">
        <v>324</v>
      </c>
      <c r="AM617" t="s">
        <v>325</v>
      </c>
      <c r="AN617" t="s">
        <v>2004</v>
      </c>
      <c r="AO617" t="s">
        <v>8304</v>
      </c>
      <c r="AP617" t="s">
        <v>8305</v>
      </c>
      <c r="AQ617" t="s">
        <v>74</v>
      </c>
      <c r="AR617" t="s">
        <v>8306</v>
      </c>
      <c r="AS617" t="s">
        <v>8307</v>
      </c>
      <c r="AT617" t="s">
        <v>517</v>
      </c>
      <c r="AU617">
        <v>2022</v>
      </c>
      <c r="AV617">
        <v>182</v>
      </c>
      <c r="AW617" t="s">
        <v>74</v>
      </c>
      <c r="AX617" t="s">
        <v>74</v>
      </c>
      <c r="AY617" t="s">
        <v>74</v>
      </c>
      <c r="AZ617" t="s">
        <v>74</v>
      </c>
      <c r="BA617" t="s">
        <v>74</v>
      </c>
      <c r="BB617" t="s">
        <v>74</v>
      </c>
      <c r="BC617" t="s">
        <v>74</v>
      </c>
      <c r="BD617">
        <v>121869</v>
      </c>
      <c r="BE617" t="s">
        <v>9421</v>
      </c>
      <c r="BF617" t="str">
        <f>HYPERLINK("http://dx.doi.org/10.1016/j.techfore.2022.121869","http://dx.doi.org/10.1016/j.techfore.2022.121869")</f>
        <v>http://dx.doi.org/10.1016/j.techfore.2022.121869</v>
      </c>
      <c r="BG617" t="s">
        <v>74</v>
      </c>
      <c r="BH617" t="s">
        <v>7369</v>
      </c>
      <c r="BI617">
        <v>14</v>
      </c>
      <c r="BJ617" t="s">
        <v>8309</v>
      </c>
      <c r="BK617" t="s">
        <v>101</v>
      </c>
      <c r="BL617" t="s">
        <v>8310</v>
      </c>
      <c r="BM617" t="s">
        <v>9422</v>
      </c>
      <c r="BN617" t="s">
        <v>74</v>
      </c>
      <c r="BO617" t="s">
        <v>74</v>
      </c>
      <c r="BP617" t="s">
        <v>74</v>
      </c>
      <c r="BQ617" t="s">
        <v>74</v>
      </c>
      <c r="BR617" t="s">
        <v>6098</v>
      </c>
      <c r="BS617" t="s">
        <v>9423</v>
      </c>
      <c r="BT617" t="str">
        <f>HYPERLINK("https%3A%2F%2Fwww.webofscience.com%2Fwos%2Fwoscc%2Ffull-record%2FWOS:000838036600005","View Full Record in Web of Science")</f>
        <v>View Full Record in Web of Science</v>
      </c>
      <c r="BU617" t="s">
        <v>6100</v>
      </c>
      <c r="BV617" s="1" t="s">
        <v>6080</v>
      </c>
      <c r="BW617" s="1" t="s">
        <v>10653</v>
      </c>
    </row>
    <row r="618" spans="1:75" x14ac:dyDescent="0.35">
      <c r="A618" t="s">
        <v>72</v>
      </c>
      <c r="B618" t="s">
        <v>7596</v>
      </c>
      <c r="C618" t="s">
        <v>74</v>
      </c>
      <c r="D618" t="s">
        <v>74</v>
      </c>
      <c r="E618" t="s">
        <v>74</v>
      </c>
      <c r="F618" t="s">
        <v>7597</v>
      </c>
      <c r="G618" t="s">
        <v>74</v>
      </c>
      <c r="H618" t="s">
        <v>74</v>
      </c>
      <c r="I618" t="s">
        <v>7598</v>
      </c>
      <c r="J618" t="s">
        <v>6084</v>
      </c>
      <c r="K618" t="s">
        <v>74</v>
      </c>
      <c r="L618" t="s">
        <v>74</v>
      </c>
      <c r="M618" t="s">
        <v>78</v>
      </c>
      <c r="N618" t="s">
        <v>79</v>
      </c>
      <c r="O618" t="s">
        <v>74</v>
      </c>
      <c r="P618" t="s">
        <v>74</v>
      </c>
      <c r="Q618" t="s">
        <v>74</v>
      </c>
      <c r="R618" t="s">
        <v>74</v>
      </c>
      <c r="S618" t="s">
        <v>74</v>
      </c>
      <c r="T618" t="s">
        <v>7599</v>
      </c>
      <c r="U618" t="s">
        <v>7600</v>
      </c>
      <c r="V618" t="s">
        <v>7601</v>
      </c>
      <c r="W618" t="s">
        <v>7602</v>
      </c>
      <c r="X618" t="s">
        <v>7603</v>
      </c>
      <c r="Y618" t="s">
        <v>7604</v>
      </c>
      <c r="Z618" t="s">
        <v>7605</v>
      </c>
      <c r="AA618" t="s">
        <v>7606</v>
      </c>
      <c r="AB618" t="s">
        <v>74</v>
      </c>
      <c r="AC618" t="s">
        <v>74</v>
      </c>
      <c r="AD618" t="s">
        <v>74</v>
      </c>
      <c r="AE618" t="s">
        <v>74</v>
      </c>
      <c r="AF618" t="s">
        <v>74</v>
      </c>
      <c r="AG618">
        <v>61</v>
      </c>
      <c r="AH618">
        <v>1</v>
      </c>
      <c r="AI618">
        <v>1</v>
      </c>
      <c r="AJ618">
        <v>11</v>
      </c>
      <c r="AK618">
        <v>11</v>
      </c>
      <c r="AL618" t="s">
        <v>324</v>
      </c>
      <c r="AM618" t="s">
        <v>325</v>
      </c>
      <c r="AN618" t="s">
        <v>2004</v>
      </c>
      <c r="AO618" t="s">
        <v>6092</v>
      </c>
      <c r="AP618" t="s">
        <v>6093</v>
      </c>
      <c r="AQ618" t="s">
        <v>74</v>
      </c>
      <c r="AR618" t="s">
        <v>6094</v>
      </c>
      <c r="AS618" t="s">
        <v>6095</v>
      </c>
      <c r="AT618" t="s">
        <v>281</v>
      </c>
      <c r="AU618">
        <v>2022</v>
      </c>
      <c r="AV618">
        <v>106</v>
      </c>
      <c r="AW618" t="s">
        <v>74</v>
      </c>
      <c r="AX618" t="s">
        <v>74</v>
      </c>
      <c r="AY618" t="s">
        <v>74</v>
      </c>
      <c r="AZ618" t="s">
        <v>74</v>
      </c>
      <c r="BA618" t="s">
        <v>74</v>
      </c>
      <c r="BB618">
        <v>90</v>
      </c>
      <c r="BC618">
        <v>98</v>
      </c>
      <c r="BD618" t="s">
        <v>74</v>
      </c>
      <c r="BE618" t="s">
        <v>7607</v>
      </c>
      <c r="BF618" t="str">
        <f>HYPERLINK("http://dx.doi.org/10.1016/j.indmarman.2022.08.007","http://dx.doi.org/10.1016/j.indmarman.2022.08.007")</f>
        <v>http://dx.doi.org/10.1016/j.indmarman.2022.08.007</v>
      </c>
      <c r="BG618" t="s">
        <v>74</v>
      </c>
      <c r="BH618" t="s">
        <v>4383</v>
      </c>
      <c r="BI618">
        <v>9</v>
      </c>
      <c r="BJ618" t="s">
        <v>877</v>
      </c>
      <c r="BK618" t="s">
        <v>101</v>
      </c>
      <c r="BL618" t="s">
        <v>154</v>
      </c>
      <c r="BM618" t="s">
        <v>7608</v>
      </c>
      <c r="BN618" t="s">
        <v>74</v>
      </c>
      <c r="BO618" t="s">
        <v>74</v>
      </c>
      <c r="BP618" t="s">
        <v>74</v>
      </c>
      <c r="BQ618" t="s">
        <v>74</v>
      </c>
      <c r="BR618" t="s">
        <v>6098</v>
      </c>
      <c r="BS618" t="s">
        <v>7609</v>
      </c>
      <c r="BT618" t="str">
        <f>HYPERLINK("https%3A%2F%2Fwww.webofscience.com%2Fwos%2Fwoscc%2Ffull-record%2FWOS:000859481000003","View Full Record in Web of Science")</f>
        <v>View Full Record in Web of Science</v>
      </c>
      <c r="BU618" t="s">
        <v>6100</v>
      </c>
      <c r="BV618" s="1" t="s">
        <v>6080</v>
      </c>
      <c r="BW618" s="1" t="s">
        <v>6080</v>
      </c>
    </row>
    <row r="619" spans="1:75" x14ac:dyDescent="0.35">
      <c r="A619" t="s">
        <v>72</v>
      </c>
      <c r="B619" t="s">
        <v>7708</v>
      </c>
      <c r="C619" t="s">
        <v>74</v>
      </c>
      <c r="D619" t="s">
        <v>74</v>
      </c>
      <c r="E619" t="s">
        <v>74</v>
      </c>
      <c r="F619" t="s">
        <v>7709</v>
      </c>
      <c r="G619" t="s">
        <v>74</v>
      </c>
      <c r="H619" t="s">
        <v>74</v>
      </c>
      <c r="I619" t="s">
        <v>7710</v>
      </c>
      <c r="J619" t="s">
        <v>7711</v>
      </c>
      <c r="K619" t="s">
        <v>74</v>
      </c>
      <c r="L619" t="s">
        <v>74</v>
      </c>
      <c r="M619" t="s">
        <v>78</v>
      </c>
      <c r="N619" t="s">
        <v>79</v>
      </c>
      <c r="O619" t="s">
        <v>74</v>
      </c>
      <c r="P619" t="s">
        <v>74</v>
      </c>
      <c r="Q619" t="s">
        <v>74</v>
      </c>
      <c r="R619" t="s">
        <v>74</v>
      </c>
      <c r="S619" t="s">
        <v>74</v>
      </c>
      <c r="T619" t="s">
        <v>7712</v>
      </c>
      <c r="U619" t="s">
        <v>7713</v>
      </c>
      <c r="V619" t="s">
        <v>7714</v>
      </c>
      <c r="W619" t="s">
        <v>7715</v>
      </c>
      <c r="X619" t="s">
        <v>7716</v>
      </c>
      <c r="Y619" t="s">
        <v>7717</v>
      </c>
      <c r="Z619" t="s">
        <v>7718</v>
      </c>
      <c r="AA619" t="s">
        <v>74</v>
      </c>
      <c r="AB619" t="s">
        <v>7719</v>
      </c>
      <c r="AC619" t="s">
        <v>7720</v>
      </c>
      <c r="AD619" t="s">
        <v>7720</v>
      </c>
      <c r="AE619" t="s">
        <v>7721</v>
      </c>
      <c r="AF619" t="s">
        <v>74</v>
      </c>
      <c r="AG619">
        <v>49</v>
      </c>
      <c r="AH619">
        <v>0</v>
      </c>
      <c r="AI619">
        <v>0</v>
      </c>
      <c r="AJ619">
        <v>3</v>
      </c>
      <c r="AK619">
        <v>8</v>
      </c>
      <c r="AL619" t="s">
        <v>1982</v>
      </c>
      <c r="AM619" t="s">
        <v>1983</v>
      </c>
      <c r="AN619" t="s">
        <v>2573</v>
      </c>
      <c r="AO619" t="s">
        <v>7722</v>
      </c>
      <c r="AP619" t="s">
        <v>7723</v>
      </c>
      <c r="AQ619" t="s">
        <v>74</v>
      </c>
      <c r="AR619" t="s">
        <v>7724</v>
      </c>
      <c r="AS619" t="s">
        <v>7725</v>
      </c>
      <c r="AT619" t="s">
        <v>7141</v>
      </c>
      <c r="AU619">
        <v>2022</v>
      </c>
      <c r="AV619">
        <v>34</v>
      </c>
      <c r="AW619">
        <v>6</v>
      </c>
      <c r="AX619" t="s">
        <v>74</v>
      </c>
      <c r="AY619" t="s">
        <v>74</v>
      </c>
      <c r="AZ619" t="s">
        <v>74</v>
      </c>
      <c r="BA619" t="s">
        <v>74</v>
      </c>
      <c r="BB619">
        <v>2056</v>
      </c>
      <c r="BC619">
        <v>2068</v>
      </c>
      <c r="BD619" t="s">
        <v>74</v>
      </c>
      <c r="BE619" t="s">
        <v>7726</v>
      </c>
      <c r="BF619" t="str">
        <f>HYPERLINK("http://dx.doi.org/10.1108/TQM-05-2021-0145","http://dx.doi.org/10.1108/TQM-05-2021-0145")</f>
        <v>http://dx.doi.org/10.1108/TQM-05-2021-0145</v>
      </c>
      <c r="BG619" t="s">
        <v>74</v>
      </c>
      <c r="BH619" t="s">
        <v>6366</v>
      </c>
      <c r="BI619">
        <v>13</v>
      </c>
      <c r="BJ619" t="s">
        <v>2493</v>
      </c>
      <c r="BK619" t="s">
        <v>3880</v>
      </c>
      <c r="BL619" t="s">
        <v>154</v>
      </c>
      <c r="BM619" t="s">
        <v>7727</v>
      </c>
      <c r="BN619" t="s">
        <v>74</v>
      </c>
      <c r="BO619" t="s">
        <v>74</v>
      </c>
      <c r="BP619" t="s">
        <v>74</v>
      </c>
      <c r="BQ619" t="s">
        <v>74</v>
      </c>
      <c r="BR619" t="s">
        <v>6098</v>
      </c>
      <c r="BS619" t="s">
        <v>7728</v>
      </c>
      <c r="BT619" t="str">
        <f>HYPERLINK("https%3A%2F%2Fwww.webofscience.com%2Fwos%2Fwoscc%2Ffull-record%2FWOS:000715330400001","View Full Record in Web of Science")</f>
        <v>View Full Record in Web of Science</v>
      </c>
      <c r="BU619" t="s">
        <v>6100</v>
      </c>
      <c r="BV619" s="1" t="s">
        <v>10653</v>
      </c>
    </row>
    <row r="620" spans="1:75" x14ac:dyDescent="0.35">
      <c r="A620" t="s">
        <v>72</v>
      </c>
      <c r="B620" t="s">
        <v>7729</v>
      </c>
      <c r="C620" t="s">
        <v>74</v>
      </c>
      <c r="D620" t="s">
        <v>74</v>
      </c>
      <c r="E620" t="s">
        <v>74</v>
      </c>
      <c r="F620" t="s">
        <v>7730</v>
      </c>
      <c r="G620" t="s">
        <v>74</v>
      </c>
      <c r="H620" t="s">
        <v>74</v>
      </c>
      <c r="I620" t="s">
        <v>7731</v>
      </c>
      <c r="J620" t="s">
        <v>6202</v>
      </c>
      <c r="K620" t="s">
        <v>74</v>
      </c>
      <c r="L620" t="s">
        <v>74</v>
      </c>
      <c r="M620" t="s">
        <v>78</v>
      </c>
      <c r="N620" t="s">
        <v>110</v>
      </c>
      <c r="O620" t="s">
        <v>74</v>
      </c>
      <c r="P620" t="s">
        <v>74</v>
      </c>
      <c r="Q620" t="s">
        <v>74</v>
      </c>
      <c r="R620" t="s">
        <v>74</v>
      </c>
      <c r="S620" t="s">
        <v>74</v>
      </c>
      <c r="T620" t="s">
        <v>7732</v>
      </c>
      <c r="U620" t="s">
        <v>7733</v>
      </c>
      <c r="V620" t="s">
        <v>7734</v>
      </c>
      <c r="W620" t="s">
        <v>7735</v>
      </c>
      <c r="X620" t="s">
        <v>7736</v>
      </c>
      <c r="Y620" t="s">
        <v>7737</v>
      </c>
      <c r="Z620" t="s">
        <v>7738</v>
      </c>
      <c r="AA620" t="s">
        <v>74</v>
      </c>
      <c r="AB620" t="s">
        <v>7739</v>
      </c>
      <c r="AC620" t="s">
        <v>7740</v>
      </c>
      <c r="AD620" t="s">
        <v>4261</v>
      </c>
      <c r="AE620" t="s">
        <v>7741</v>
      </c>
      <c r="AF620" t="s">
        <v>74</v>
      </c>
      <c r="AG620">
        <v>75</v>
      </c>
      <c r="AH620">
        <v>2</v>
      </c>
      <c r="AI620">
        <v>2</v>
      </c>
      <c r="AJ620">
        <v>15</v>
      </c>
      <c r="AK620">
        <v>33</v>
      </c>
      <c r="AL620" t="s">
        <v>820</v>
      </c>
      <c r="AM620" t="s">
        <v>2119</v>
      </c>
      <c r="AN620" t="s">
        <v>2120</v>
      </c>
      <c r="AO620" t="s">
        <v>6211</v>
      </c>
      <c r="AP620" t="s">
        <v>6212</v>
      </c>
      <c r="AQ620" t="s">
        <v>74</v>
      </c>
      <c r="AR620" t="s">
        <v>6213</v>
      </c>
      <c r="AS620" t="s">
        <v>6214</v>
      </c>
      <c r="AT620" t="s">
        <v>348</v>
      </c>
      <c r="AU620">
        <v>2022</v>
      </c>
      <c r="AV620">
        <v>22</v>
      </c>
      <c r="AW620">
        <v>4</v>
      </c>
      <c r="AX620" t="s">
        <v>74</v>
      </c>
      <c r="AY620" t="s">
        <v>74</v>
      </c>
      <c r="AZ620" t="s">
        <v>74</v>
      </c>
      <c r="BA620" t="s">
        <v>74</v>
      </c>
      <c r="BB620">
        <v>1035</v>
      </c>
      <c r="BC620">
        <v>1058</v>
      </c>
      <c r="BD620" t="s">
        <v>74</v>
      </c>
      <c r="BE620" t="s">
        <v>7742</v>
      </c>
      <c r="BF620" t="str">
        <f>HYPERLINK("http://dx.doi.org/10.1007/s10660-020-09445-w","http://dx.doi.org/10.1007/s10660-020-09445-w")</f>
        <v>http://dx.doi.org/10.1007/s10660-020-09445-w</v>
      </c>
      <c r="BG620" t="s">
        <v>74</v>
      </c>
      <c r="BH620" t="s">
        <v>7743</v>
      </c>
      <c r="BI620">
        <v>24</v>
      </c>
      <c r="BJ620" t="s">
        <v>877</v>
      </c>
      <c r="BK620" t="s">
        <v>101</v>
      </c>
      <c r="BL620" t="s">
        <v>154</v>
      </c>
      <c r="BM620" t="s">
        <v>7744</v>
      </c>
      <c r="BN620" t="s">
        <v>74</v>
      </c>
      <c r="BO620" t="s">
        <v>74</v>
      </c>
      <c r="BP620" t="s">
        <v>74</v>
      </c>
      <c r="BQ620" t="s">
        <v>74</v>
      </c>
      <c r="BR620" t="s">
        <v>6098</v>
      </c>
      <c r="BS620" t="s">
        <v>7745</v>
      </c>
      <c r="BT620" t="str">
        <f>HYPERLINK("https%3A%2F%2Fwww.webofscience.com%2Fwos%2Fwoscc%2Ffull-record%2FWOS:000589577500003","View Full Record in Web of Science")</f>
        <v>View Full Record in Web of Science</v>
      </c>
      <c r="BU620" t="s">
        <v>6100</v>
      </c>
      <c r="BV620" s="1" t="s">
        <v>10653</v>
      </c>
    </row>
    <row r="621" spans="1:75" x14ac:dyDescent="0.35">
      <c r="A621" t="s">
        <v>72</v>
      </c>
      <c r="B621" t="s">
        <v>7804</v>
      </c>
      <c r="C621" t="s">
        <v>74</v>
      </c>
      <c r="D621" t="s">
        <v>74</v>
      </c>
      <c r="E621" t="s">
        <v>74</v>
      </c>
      <c r="F621" t="s">
        <v>7805</v>
      </c>
      <c r="G621" t="s">
        <v>74</v>
      </c>
      <c r="H621" t="s">
        <v>74</v>
      </c>
      <c r="I621" t="s">
        <v>7806</v>
      </c>
      <c r="J621" t="s">
        <v>6705</v>
      </c>
      <c r="K621" t="s">
        <v>74</v>
      </c>
      <c r="L621" t="s">
        <v>74</v>
      </c>
      <c r="M621" t="s">
        <v>78</v>
      </c>
      <c r="N621" t="s">
        <v>79</v>
      </c>
      <c r="O621" t="s">
        <v>74</v>
      </c>
      <c r="P621" t="s">
        <v>74</v>
      </c>
      <c r="Q621" t="s">
        <v>74</v>
      </c>
      <c r="R621" t="s">
        <v>74</v>
      </c>
      <c r="S621" t="s">
        <v>74</v>
      </c>
      <c r="T621" t="s">
        <v>7807</v>
      </c>
      <c r="U621" t="s">
        <v>7808</v>
      </c>
      <c r="V621" t="s">
        <v>7809</v>
      </c>
      <c r="W621" t="s">
        <v>7810</v>
      </c>
      <c r="X621" t="s">
        <v>7811</v>
      </c>
      <c r="Y621" t="s">
        <v>7812</v>
      </c>
      <c r="Z621" t="s">
        <v>7813</v>
      </c>
      <c r="AA621" t="s">
        <v>7814</v>
      </c>
      <c r="AB621" t="s">
        <v>7815</v>
      </c>
      <c r="AC621" t="s">
        <v>7816</v>
      </c>
      <c r="AD621" t="s">
        <v>7816</v>
      </c>
      <c r="AE621" t="s">
        <v>7817</v>
      </c>
      <c r="AF621" t="s">
        <v>74</v>
      </c>
      <c r="AG621">
        <v>90</v>
      </c>
      <c r="AH621">
        <v>4</v>
      </c>
      <c r="AI621">
        <v>4</v>
      </c>
      <c r="AJ621">
        <v>8</v>
      </c>
      <c r="AK621">
        <v>29</v>
      </c>
      <c r="AL621" t="s">
        <v>206</v>
      </c>
      <c r="AM621" t="s">
        <v>207</v>
      </c>
      <c r="AN621" t="s">
        <v>208</v>
      </c>
      <c r="AO621" t="s">
        <v>6718</v>
      </c>
      <c r="AP621" t="s">
        <v>6719</v>
      </c>
      <c r="AQ621" t="s">
        <v>74</v>
      </c>
      <c r="AR621" t="s">
        <v>6720</v>
      </c>
      <c r="AS621" t="s">
        <v>6721</v>
      </c>
      <c r="AT621" t="s">
        <v>704</v>
      </c>
      <c r="AU621">
        <v>2022</v>
      </c>
      <c r="AV621">
        <v>46</v>
      </c>
      <c r="AW621">
        <v>3</v>
      </c>
      <c r="AX621" t="s">
        <v>74</v>
      </c>
      <c r="AY621" t="s">
        <v>74</v>
      </c>
      <c r="AZ621" t="s">
        <v>74</v>
      </c>
      <c r="BA621" t="s">
        <v>74</v>
      </c>
      <c r="BB621">
        <v>850</v>
      </c>
      <c r="BC621">
        <v>869</v>
      </c>
      <c r="BD621" t="s">
        <v>74</v>
      </c>
      <c r="BE621" t="s">
        <v>7818</v>
      </c>
      <c r="BF621" t="str">
        <f>HYPERLINK("http://dx.doi.org/10.1111/ijcs.12732","http://dx.doi.org/10.1111/ijcs.12732")</f>
        <v>http://dx.doi.org/10.1111/ijcs.12732</v>
      </c>
      <c r="BG621" t="s">
        <v>74</v>
      </c>
      <c r="BH621" t="s">
        <v>6194</v>
      </c>
      <c r="BI621">
        <v>20</v>
      </c>
      <c r="BJ621" t="s">
        <v>153</v>
      </c>
      <c r="BK621" t="s">
        <v>101</v>
      </c>
      <c r="BL621" t="s">
        <v>154</v>
      </c>
      <c r="BM621" t="s">
        <v>7819</v>
      </c>
      <c r="BN621" t="s">
        <v>74</v>
      </c>
      <c r="BO621" t="s">
        <v>367</v>
      </c>
      <c r="BP621" t="s">
        <v>74</v>
      </c>
      <c r="BQ621" t="s">
        <v>74</v>
      </c>
      <c r="BR621" t="s">
        <v>6098</v>
      </c>
      <c r="BS621" t="s">
        <v>7820</v>
      </c>
      <c r="BT621" t="str">
        <f>HYPERLINK("https%3A%2F%2Fwww.webofscience.com%2Fwos%2Fwoscc%2Ffull-record%2FWOS:000672361100001","View Full Record in Web of Science")</f>
        <v>View Full Record in Web of Science</v>
      </c>
      <c r="BU621" t="s">
        <v>6100</v>
      </c>
      <c r="BV621" s="1" t="s">
        <v>6080</v>
      </c>
      <c r="BW621" s="1" t="s">
        <v>6080</v>
      </c>
    </row>
    <row r="622" spans="1:75" x14ac:dyDescent="0.35">
      <c r="A622" t="s">
        <v>72</v>
      </c>
      <c r="B622" t="s">
        <v>7888</v>
      </c>
      <c r="C622" t="s">
        <v>74</v>
      </c>
      <c r="D622" t="s">
        <v>74</v>
      </c>
      <c r="E622" t="s">
        <v>74</v>
      </c>
      <c r="F622" t="s">
        <v>7889</v>
      </c>
      <c r="G622" t="s">
        <v>74</v>
      </c>
      <c r="H622" t="s">
        <v>74</v>
      </c>
      <c r="I622" t="s">
        <v>7890</v>
      </c>
      <c r="J622" t="s">
        <v>3737</v>
      </c>
      <c r="K622" t="s">
        <v>74</v>
      </c>
      <c r="L622" t="s">
        <v>74</v>
      </c>
      <c r="M622" t="s">
        <v>78</v>
      </c>
      <c r="N622" t="s">
        <v>79</v>
      </c>
      <c r="O622" t="s">
        <v>74</v>
      </c>
      <c r="P622" t="s">
        <v>74</v>
      </c>
      <c r="Q622" t="s">
        <v>74</v>
      </c>
      <c r="R622" t="s">
        <v>74</v>
      </c>
      <c r="S622" t="s">
        <v>74</v>
      </c>
      <c r="T622" t="s">
        <v>7891</v>
      </c>
      <c r="U622" t="s">
        <v>7892</v>
      </c>
      <c r="V622" t="s">
        <v>7893</v>
      </c>
      <c r="W622" t="s">
        <v>7894</v>
      </c>
      <c r="X622" t="s">
        <v>7895</v>
      </c>
      <c r="Y622" t="s">
        <v>7896</v>
      </c>
      <c r="Z622" t="s">
        <v>7897</v>
      </c>
      <c r="AA622" t="s">
        <v>74</v>
      </c>
      <c r="AB622" t="s">
        <v>7898</v>
      </c>
      <c r="AC622" t="s">
        <v>74</v>
      </c>
      <c r="AD622" t="s">
        <v>74</v>
      </c>
      <c r="AE622" t="s">
        <v>74</v>
      </c>
      <c r="AF622" t="s">
        <v>74</v>
      </c>
      <c r="AG622">
        <v>64</v>
      </c>
      <c r="AH622">
        <v>2</v>
      </c>
      <c r="AI622">
        <v>2</v>
      </c>
      <c r="AJ622">
        <v>19</v>
      </c>
      <c r="AK622">
        <v>61</v>
      </c>
      <c r="AL622" t="s">
        <v>324</v>
      </c>
      <c r="AM622" t="s">
        <v>325</v>
      </c>
      <c r="AN622" t="s">
        <v>2004</v>
      </c>
      <c r="AO622" t="s">
        <v>3743</v>
      </c>
      <c r="AP622" t="s">
        <v>3831</v>
      </c>
      <c r="AQ622" t="s">
        <v>74</v>
      </c>
      <c r="AR622" t="s">
        <v>3744</v>
      </c>
      <c r="AS622" t="s">
        <v>3745</v>
      </c>
      <c r="AT622" t="s">
        <v>177</v>
      </c>
      <c r="AU622">
        <v>2022</v>
      </c>
      <c r="AV622">
        <v>139</v>
      </c>
      <c r="AW622" t="s">
        <v>74</v>
      </c>
      <c r="AX622" t="s">
        <v>74</v>
      </c>
      <c r="AY622" t="s">
        <v>74</v>
      </c>
      <c r="AZ622" t="s">
        <v>74</v>
      </c>
      <c r="BA622" t="s">
        <v>74</v>
      </c>
      <c r="BB622">
        <v>44</v>
      </c>
      <c r="BC622">
        <v>55</v>
      </c>
      <c r="BD622" t="s">
        <v>74</v>
      </c>
      <c r="BE622" t="s">
        <v>7899</v>
      </c>
      <c r="BF622" t="str">
        <f>HYPERLINK("http://dx.doi.org/10.1016/j.jbusres.2021.09.041","http://dx.doi.org/10.1016/j.jbusres.2021.09.041")</f>
        <v>http://dx.doi.org/10.1016/j.jbusres.2021.09.041</v>
      </c>
      <c r="BG622" t="s">
        <v>74</v>
      </c>
      <c r="BH622" t="s">
        <v>7900</v>
      </c>
      <c r="BI622">
        <v>12</v>
      </c>
      <c r="BJ622" t="s">
        <v>153</v>
      </c>
      <c r="BK622" t="s">
        <v>101</v>
      </c>
      <c r="BL622" t="s">
        <v>154</v>
      </c>
      <c r="BM622" t="s">
        <v>7901</v>
      </c>
      <c r="BN622" t="s">
        <v>74</v>
      </c>
      <c r="BO622" t="s">
        <v>74</v>
      </c>
      <c r="BP622" t="s">
        <v>74</v>
      </c>
      <c r="BQ622" t="s">
        <v>74</v>
      </c>
      <c r="BR622" t="s">
        <v>6098</v>
      </c>
      <c r="BS622" t="s">
        <v>7902</v>
      </c>
      <c r="BT622" t="str">
        <f>HYPERLINK("https%3A%2F%2Fwww.webofscience.com%2Fwos%2Fwoscc%2Ffull-record%2FWOS:000709543300004","View Full Record in Web of Science")</f>
        <v>View Full Record in Web of Science</v>
      </c>
      <c r="BU622" t="s">
        <v>6100</v>
      </c>
      <c r="BV622" s="1" t="s">
        <v>10653</v>
      </c>
    </row>
    <row r="623" spans="1:75" x14ac:dyDescent="0.35">
      <c r="A623" t="s">
        <v>72</v>
      </c>
      <c r="B623" t="s">
        <v>4638</v>
      </c>
      <c r="C623" t="s">
        <v>74</v>
      </c>
      <c r="D623" t="s">
        <v>74</v>
      </c>
      <c r="E623" t="s">
        <v>74</v>
      </c>
      <c r="F623" t="s">
        <v>4639</v>
      </c>
      <c r="G623" t="s">
        <v>74</v>
      </c>
      <c r="H623" t="s">
        <v>74</v>
      </c>
      <c r="I623" t="s">
        <v>4640</v>
      </c>
      <c r="J623" t="s">
        <v>161</v>
      </c>
      <c r="K623" t="s">
        <v>74</v>
      </c>
      <c r="L623" t="s">
        <v>74</v>
      </c>
      <c r="M623" t="s">
        <v>78</v>
      </c>
      <c r="N623" t="s">
        <v>79</v>
      </c>
      <c r="O623" t="s">
        <v>74</v>
      </c>
      <c r="P623" t="s">
        <v>74</v>
      </c>
      <c r="Q623" t="s">
        <v>74</v>
      </c>
      <c r="R623" t="s">
        <v>74</v>
      </c>
      <c r="S623" t="s">
        <v>74</v>
      </c>
      <c r="T623" t="s">
        <v>4641</v>
      </c>
      <c r="U623" t="s">
        <v>4642</v>
      </c>
      <c r="V623" t="s">
        <v>4643</v>
      </c>
      <c r="W623" t="s">
        <v>4644</v>
      </c>
      <c r="X623" t="s">
        <v>4645</v>
      </c>
      <c r="Y623" t="s">
        <v>4646</v>
      </c>
      <c r="Z623" t="s">
        <v>4647</v>
      </c>
      <c r="AA623" t="s">
        <v>74</v>
      </c>
      <c r="AB623" t="s">
        <v>74</v>
      </c>
      <c r="AC623" t="s">
        <v>4648</v>
      </c>
      <c r="AD623" t="s">
        <v>4648</v>
      </c>
      <c r="AE623" t="s">
        <v>4649</v>
      </c>
      <c r="AF623" t="s">
        <v>74</v>
      </c>
      <c r="AG623">
        <v>98</v>
      </c>
      <c r="AH623">
        <v>7</v>
      </c>
      <c r="AI623">
        <v>7</v>
      </c>
      <c r="AJ623">
        <v>39</v>
      </c>
      <c r="AK623">
        <v>86</v>
      </c>
      <c r="AL623" t="s">
        <v>170</v>
      </c>
      <c r="AM623" t="s">
        <v>171</v>
      </c>
      <c r="AN623" t="s">
        <v>172</v>
      </c>
      <c r="AO623" t="s">
        <v>173</v>
      </c>
      <c r="AP623" t="s">
        <v>174</v>
      </c>
      <c r="AQ623" t="s">
        <v>74</v>
      </c>
      <c r="AR623" t="s">
        <v>175</v>
      </c>
      <c r="AS623" t="s">
        <v>176</v>
      </c>
      <c r="AT623" t="s">
        <v>4650</v>
      </c>
      <c r="AU623">
        <v>2022</v>
      </c>
      <c r="AV623">
        <v>48</v>
      </c>
      <c r="AW623">
        <v>5</v>
      </c>
      <c r="AX623" t="s">
        <v>74</v>
      </c>
      <c r="AY623" t="s">
        <v>74</v>
      </c>
      <c r="AZ623" t="s">
        <v>74</v>
      </c>
      <c r="BA623" t="s">
        <v>74</v>
      </c>
      <c r="BB623">
        <v>817</v>
      </c>
      <c r="BC623">
        <v>838</v>
      </c>
      <c r="BD623" t="s">
        <v>74</v>
      </c>
      <c r="BE623" t="s">
        <v>4651</v>
      </c>
      <c r="BF623" t="str">
        <f>HYPERLINK("http://dx.doi.org/10.1093/jcr/ucab034","http://dx.doi.org/10.1093/jcr/ucab034")</f>
        <v>http://dx.doi.org/10.1093/jcr/ucab034</v>
      </c>
      <c r="BG623" t="s">
        <v>74</v>
      </c>
      <c r="BH623" t="s">
        <v>4652</v>
      </c>
      <c r="BI623">
        <v>22</v>
      </c>
      <c r="BJ623" t="s">
        <v>153</v>
      </c>
      <c r="BK623" t="s">
        <v>101</v>
      </c>
      <c r="BL623" t="s">
        <v>154</v>
      </c>
      <c r="BM623" t="s">
        <v>4653</v>
      </c>
      <c r="BN623" t="s">
        <v>74</v>
      </c>
      <c r="BO623" t="s">
        <v>74</v>
      </c>
      <c r="BP623" t="s">
        <v>74</v>
      </c>
      <c r="BQ623" t="s">
        <v>74</v>
      </c>
      <c r="BR623" t="s">
        <v>6098</v>
      </c>
      <c r="BS623" t="s">
        <v>4654</v>
      </c>
      <c r="BT623" t="str">
        <f>HYPERLINK("https%3A%2F%2Fwww.webofscience.com%2Fwos%2Fwoscc%2Ffull-record%2FWOS:000761445300005","View Full Record in Web of Science")</f>
        <v>View Full Record in Web of Science</v>
      </c>
      <c r="BU623" t="s">
        <v>6100</v>
      </c>
      <c r="BV623" s="1" t="s">
        <v>6080</v>
      </c>
      <c r="BW623" s="1" t="s">
        <v>6080</v>
      </c>
    </row>
    <row r="624" spans="1:75" x14ac:dyDescent="0.35">
      <c r="A624" t="s">
        <v>72</v>
      </c>
      <c r="B624" t="s">
        <v>8074</v>
      </c>
      <c r="C624" t="s">
        <v>74</v>
      </c>
      <c r="D624" t="s">
        <v>74</v>
      </c>
      <c r="E624" t="s">
        <v>74</v>
      </c>
      <c r="F624" t="s">
        <v>8075</v>
      </c>
      <c r="G624" t="s">
        <v>74</v>
      </c>
      <c r="H624" t="s">
        <v>74</v>
      </c>
      <c r="I624" t="s">
        <v>8076</v>
      </c>
      <c r="J624" t="s">
        <v>198</v>
      </c>
      <c r="K624" t="s">
        <v>74</v>
      </c>
      <c r="L624" t="s">
        <v>74</v>
      </c>
      <c r="M624" t="s">
        <v>78</v>
      </c>
      <c r="N624" t="s">
        <v>79</v>
      </c>
      <c r="O624" t="s">
        <v>74</v>
      </c>
      <c r="P624" t="s">
        <v>74</v>
      </c>
      <c r="Q624" t="s">
        <v>74</v>
      </c>
      <c r="R624" t="s">
        <v>74</v>
      </c>
      <c r="S624" t="s">
        <v>74</v>
      </c>
      <c r="T624" t="s">
        <v>8077</v>
      </c>
      <c r="U624" t="s">
        <v>8078</v>
      </c>
      <c r="V624" t="s">
        <v>8079</v>
      </c>
      <c r="W624" t="s">
        <v>8080</v>
      </c>
      <c r="X624" t="s">
        <v>8081</v>
      </c>
      <c r="Y624" t="s">
        <v>8082</v>
      </c>
      <c r="Z624" t="s">
        <v>8083</v>
      </c>
      <c r="AA624" t="s">
        <v>74</v>
      </c>
      <c r="AB624" t="s">
        <v>8084</v>
      </c>
      <c r="AC624" t="s">
        <v>8085</v>
      </c>
      <c r="AD624" t="s">
        <v>8086</v>
      </c>
      <c r="AE624" t="s">
        <v>8085</v>
      </c>
      <c r="AF624" t="s">
        <v>74</v>
      </c>
      <c r="AG624">
        <v>56</v>
      </c>
      <c r="AH624">
        <v>0</v>
      </c>
      <c r="AI624">
        <v>0</v>
      </c>
      <c r="AJ624">
        <v>10</v>
      </c>
      <c r="AK624">
        <v>10</v>
      </c>
      <c r="AL624" t="s">
        <v>206</v>
      </c>
      <c r="AM624" t="s">
        <v>207</v>
      </c>
      <c r="AN624" t="s">
        <v>208</v>
      </c>
      <c r="AO624" t="s">
        <v>209</v>
      </c>
      <c r="AP624" t="s">
        <v>210</v>
      </c>
      <c r="AQ624" t="s">
        <v>74</v>
      </c>
      <c r="AR624" t="s">
        <v>211</v>
      </c>
      <c r="AS624" t="s">
        <v>212</v>
      </c>
      <c r="AT624" t="s">
        <v>348</v>
      </c>
      <c r="AU624">
        <v>2022</v>
      </c>
      <c r="AV624">
        <v>39</v>
      </c>
      <c r="AW624">
        <v>12</v>
      </c>
      <c r="AX624" t="s">
        <v>74</v>
      </c>
      <c r="AY624" t="s">
        <v>74</v>
      </c>
      <c r="AZ624" t="s">
        <v>74</v>
      </c>
      <c r="BA624" t="s">
        <v>74</v>
      </c>
      <c r="BB624">
        <v>2273</v>
      </c>
      <c r="BC624">
        <v>2283</v>
      </c>
      <c r="BD624" t="s">
        <v>74</v>
      </c>
      <c r="BE624" t="s">
        <v>8087</v>
      </c>
      <c r="BF624" t="str">
        <f>HYPERLINK("http://dx.doi.org/10.1002/mar.21735","http://dx.doi.org/10.1002/mar.21735")</f>
        <v>http://dx.doi.org/10.1002/mar.21735</v>
      </c>
      <c r="BG624" t="s">
        <v>74</v>
      </c>
      <c r="BH624" t="s">
        <v>7885</v>
      </c>
      <c r="BI624">
        <v>11</v>
      </c>
      <c r="BJ624" t="s">
        <v>215</v>
      </c>
      <c r="BK624" t="s">
        <v>101</v>
      </c>
      <c r="BL624" t="s">
        <v>216</v>
      </c>
      <c r="BM624" t="s">
        <v>8088</v>
      </c>
      <c r="BN624" t="s">
        <v>74</v>
      </c>
      <c r="BO624" t="s">
        <v>131</v>
      </c>
      <c r="BP624" t="s">
        <v>74</v>
      </c>
      <c r="BQ624" t="s">
        <v>74</v>
      </c>
      <c r="BR624" t="s">
        <v>6098</v>
      </c>
      <c r="BS624" t="s">
        <v>8089</v>
      </c>
      <c r="BT624" t="str">
        <f>HYPERLINK("https%3A%2F%2Fwww.webofscience.com%2Fwos%2Fwoscc%2Ffull-record%2FWOS:000864375300001","View Full Record in Web of Science")</f>
        <v>View Full Record in Web of Science</v>
      </c>
      <c r="BU624" t="s">
        <v>6100</v>
      </c>
      <c r="BV624" s="1" t="s">
        <v>6080</v>
      </c>
      <c r="BW624" s="1" t="s">
        <v>6080</v>
      </c>
    </row>
    <row r="625" spans="1:75" x14ac:dyDescent="0.35">
      <c r="A625" t="s">
        <v>72</v>
      </c>
      <c r="B625" t="s">
        <v>8294</v>
      </c>
      <c r="C625" t="s">
        <v>74</v>
      </c>
      <c r="D625" t="s">
        <v>74</v>
      </c>
      <c r="E625" t="s">
        <v>74</v>
      </c>
      <c r="F625" t="s">
        <v>8295</v>
      </c>
      <c r="G625" t="s">
        <v>74</v>
      </c>
      <c r="H625" t="s">
        <v>74</v>
      </c>
      <c r="I625" t="s">
        <v>8296</v>
      </c>
      <c r="J625" t="s">
        <v>8297</v>
      </c>
      <c r="K625" t="s">
        <v>74</v>
      </c>
      <c r="L625" t="s">
        <v>74</v>
      </c>
      <c r="M625" t="s">
        <v>78</v>
      </c>
      <c r="N625" t="s">
        <v>79</v>
      </c>
      <c r="O625" t="s">
        <v>74</v>
      </c>
      <c r="P625" t="s">
        <v>74</v>
      </c>
      <c r="Q625" t="s">
        <v>74</v>
      </c>
      <c r="R625" t="s">
        <v>74</v>
      </c>
      <c r="S625" t="s">
        <v>74</v>
      </c>
      <c r="T625" t="s">
        <v>8298</v>
      </c>
      <c r="U625" t="s">
        <v>8299</v>
      </c>
      <c r="V625" t="s">
        <v>8300</v>
      </c>
      <c r="W625" t="s">
        <v>8301</v>
      </c>
      <c r="X625" t="s">
        <v>74</v>
      </c>
      <c r="Y625" t="s">
        <v>8302</v>
      </c>
      <c r="Z625" t="s">
        <v>8303</v>
      </c>
      <c r="AA625" t="s">
        <v>74</v>
      </c>
      <c r="AB625" t="s">
        <v>74</v>
      </c>
      <c r="AC625" t="s">
        <v>74</v>
      </c>
      <c r="AD625" t="s">
        <v>74</v>
      </c>
      <c r="AE625" t="s">
        <v>74</v>
      </c>
      <c r="AF625" t="s">
        <v>74</v>
      </c>
      <c r="AG625">
        <v>105</v>
      </c>
      <c r="AH625">
        <v>6</v>
      </c>
      <c r="AI625">
        <v>6</v>
      </c>
      <c r="AJ625">
        <v>13</v>
      </c>
      <c r="AK625">
        <v>45</v>
      </c>
      <c r="AL625" t="s">
        <v>324</v>
      </c>
      <c r="AM625" t="s">
        <v>325</v>
      </c>
      <c r="AN625" t="s">
        <v>2004</v>
      </c>
      <c r="AO625" t="s">
        <v>8304</v>
      </c>
      <c r="AP625" t="s">
        <v>8305</v>
      </c>
      <c r="AQ625" t="s">
        <v>74</v>
      </c>
      <c r="AR625" t="s">
        <v>8306</v>
      </c>
      <c r="AS625" t="s">
        <v>8307</v>
      </c>
      <c r="AT625" t="s">
        <v>213</v>
      </c>
      <c r="AU625">
        <v>2022</v>
      </c>
      <c r="AV625">
        <v>174</v>
      </c>
      <c r="AW625" t="s">
        <v>74</v>
      </c>
      <c r="AX625" t="s">
        <v>74</v>
      </c>
      <c r="AY625" t="s">
        <v>74</v>
      </c>
      <c r="AZ625" t="s">
        <v>74</v>
      </c>
      <c r="BA625" t="s">
        <v>74</v>
      </c>
      <c r="BB625" t="s">
        <v>74</v>
      </c>
      <c r="BC625" t="s">
        <v>74</v>
      </c>
      <c r="BD625">
        <v>121292</v>
      </c>
      <c r="BE625" t="s">
        <v>8308</v>
      </c>
      <c r="BF625" t="str">
        <f>HYPERLINK("http://dx.doi.org/10.1016/j.techfore.2021.121292","http://dx.doi.org/10.1016/j.techfore.2021.121292")</f>
        <v>http://dx.doi.org/10.1016/j.techfore.2021.121292</v>
      </c>
      <c r="BG625" t="s">
        <v>74</v>
      </c>
      <c r="BH625" t="s">
        <v>4579</v>
      </c>
      <c r="BI625">
        <v>12</v>
      </c>
      <c r="BJ625" t="s">
        <v>8309</v>
      </c>
      <c r="BK625" t="s">
        <v>101</v>
      </c>
      <c r="BL625" t="s">
        <v>8310</v>
      </c>
      <c r="BM625" t="s">
        <v>8311</v>
      </c>
      <c r="BN625" t="s">
        <v>74</v>
      </c>
      <c r="BO625" t="s">
        <v>334</v>
      </c>
      <c r="BP625" t="s">
        <v>74</v>
      </c>
      <c r="BQ625" t="s">
        <v>74</v>
      </c>
      <c r="BR625" t="s">
        <v>6098</v>
      </c>
      <c r="BS625" t="s">
        <v>8312</v>
      </c>
      <c r="BT625" t="str">
        <f>HYPERLINK("https%3A%2F%2Fwww.webofscience.com%2Fwos%2Fwoscc%2Ffull-record%2FWOS:000711381400002","View Full Record in Web of Science")</f>
        <v>View Full Record in Web of Science</v>
      </c>
      <c r="BU625" t="s">
        <v>6100</v>
      </c>
      <c r="BV625" s="1" t="s">
        <v>10653</v>
      </c>
    </row>
    <row r="626" spans="1:75" x14ac:dyDescent="0.35">
      <c r="A626" t="s">
        <v>72</v>
      </c>
      <c r="B626" t="s">
        <v>8330</v>
      </c>
      <c r="C626" t="s">
        <v>74</v>
      </c>
      <c r="D626" t="s">
        <v>74</v>
      </c>
      <c r="E626" t="s">
        <v>74</v>
      </c>
      <c r="F626" t="s">
        <v>8331</v>
      </c>
      <c r="G626" t="s">
        <v>74</v>
      </c>
      <c r="H626" t="s">
        <v>74</v>
      </c>
      <c r="I626" t="s">
        <v>8332</v>
      </c>
      <c r="J626" t="s">
        <v>8245</v>
      </c>
      <c r="K626" t="s">
        <v>74</v>
      </c>
      <c r="L626" t="s">
        <v>74</v>
      </c>
      <c r="M626" t="s">
        <v>78</v>
      </c>
      <c r="N626" t="s">
        <v>79</v>
      </c>
      <c r="O626" t="s">
        <v>74</v>
      </c>
      <c r="P626" t="s">
        <v>74</v>
      </c>
      <c r="Q626" t="s">
        <v>74</v>
      </c>
      <c r="R626" t="s">
        <v>74</v>
      </c>
      <c r="S626" t="s">
        <v>74</v>
      </c>
      <c r="T626" t="s">
        <v>8333</v>
      </c>
      <c r="U626" t="s">
        <v>8334</v>
      </c>
      <c r="V626" t="s">
        <v>8335</v>
      </c>
      <c r="W626" t="s">
        <v>8336</v>
      </c>
      <c r="X626" t="s">
        <v>8337</v>
      </c>
      <c r="Y626" t="s">
        <v>8338</v>
      </c>
      <c r="Z626" t="s">
        <v>8339</v>
      </c>
      <c r="AA626" t="s">
        <v>74</v>
      </c>
      <c r="AB626" t="s">
        <v>74</v>
      </c>
      <c r="AC626" t="s">
        <v>8340</v>
      </c>
      <c r="AD626" t="s">
        <v>8341</v>
      </c>
      <c r="AE626" t="s">
        <v>8342</v>
      </c>
      <c r="AF626" t="s">
        <v>74</v>
      </c>
      <c r="AG626">
        <v>77</v>
      </c>
      <c r="AH626">
        <v>3</v>
      </c>
      <c r="AI626">
        <v>3</v>
      </c>
      <c r="AJ626">
        <v>12</v>
      </c>
      <c r="AK626">
        <v>22</v>
      </c>
      <c r="AL626" t="s">
        <v>1982</v>
      </c>
      <c r="AM626" t="s">
        <v>1983</v>
      </c>
      <c r="AN626" t="s">
        <v>2573</v>
      </c>
      <c r="AO626" t="s">
        <v>8255</v>
      </c>
      <c r="AP626" t="s">
        <v>8256</v>
      </c>
      <c r="AQ626" t="s">
        <v>74</v>
      </c>
      <c r="AR626" t="s">
        <v>8257</v>
      </c>
      <c r="AS626" t="s">
        <v>8258</v>
      </c>
      <c r="AT626" t="s">
        <v>8343</v>
      </c>
      <c r="AU626">
        <v>2022</v>
      </c>
      <c r="AV626">
        <v>34</v>
      </c>
      <c r="AW626">
        <v>5</v>
      </c>
      <c r="AX626" t="s">
        <v>74</v>
      </c>
      <c r="AY626" t="s">
        <v>74</v>
      </c>
      <c r="AZ626" t="s">
        <v>74</v>
      </c>
      <c r="BA626" t="s">
        <v>74</v>
      </c>
      <c r="BB626">
        <v>1796</v>
      </c>
      <c r="BC626">
        <v>1822</v>
      </c>
      <c r="BD626" t="s">
        <v>74</v>
      </c>
      <c r="BE626" t="s">
        <v>8344</v>
      </c>
      <c r="BF626" t="str">
        <f>HYPERLINK("http://dx.doi.org/10.1108/IJCHM-04-2021-0491","http://dx.doi.org/10.1108/IJCHM-04-2021-0491")</f>
        <v>http://dx.doi.org/10.1108/IJCHM-04-2021-0491</v>
      </c>
      <c r="BG626" t="s">
        <v>74</v>
      </c>
      <c r="BH626" t="s">
        <v>4501</v>
      </c>
      <c r="BI626">
        <v>27</v>
      </c>
      <c r="BJ626" t="s">
        <v>6387</v>
      </c>
      <c r="BK626" t="s">
        <v>101</v>
      </c>
      <c r="BL626" t="s">
        <v>6388</v>
      </c>
      <c r="BM626" t="s">
        <v>8345</v>
      </c>
      <c r="BN626" t="s">
        <v>74</v>
      </c>
      <c r="BO626" t="s">
        <v>74</v>
      </c>
      <c r="BP626" t="s">
        <v>74</v>
      </c>
      <c r="BQ626" t="s">
        <v>74</v>
      </c>
      <c r="BR626" t="s">
        <v>6098</v>
      </c>
      <c r="BS626" t="s">
        <v>8346</v>
      </c>
      <c r="BT626" t="str">
        <f>HYPERLINK("https%3A%2F%2Fwww.webofscience.com%2Fwos%2Fwoscc%2Ffull-record%2FWOS:000759633500001","View Full Record in Web of Science")</f>
        <v>View Full Record in Web of Science</v>
      </c>
      <c r="BU626" t="s">
        <v>6100</v>
      </c>
      <c r="BV626" s="1" t="s">
        <v>10653</v>
      </c>
    </row>
    <row r="627" spans="1:75" x14ac:dyDescent="0.35">
      <c r="A627" t="s">
        <v>72</v>
      </c>
      <c r="B627" t="s">
        <v>8532</v>
      </c>
      <c r="C627" t="s">
        <v>74</v>
      </c>
      <c r="D627" t="s">
        <v>74</v>
      </c>
      <c r="E627" t="s">
        <v>74</v>
      </c>
      <c r="F627" t="s">
        <v>8533</v>
      </c>
      <c r="G627" t="s">
        <v>74</v>
      </c>
      <c r="H627" t="s">
        <v>74</v>
      </c>
      <c r="I627" t="s">
        <v>8534</v>
      </c>
      <c r="J627" t="s">
        <v>6976</v>
      </c>
      <c r="K627" t="s">
        <v>74</v>
      </c>
      <c r="L627" t="s">
        <v>74</v>
      </c>
      <c r="M627" t="s">
        <v>78</v>
      </c>
      <c r="N627" t="s">
        <v>79</v>
      </c>
      <c r="O627" t="s">
        <v>74</v>
      </c>
      <c r="P627" t="s">
        <v>74</v>
      </c>
      <c r="Q627" t="s">
        <v>74</v>
      </c>
      <c r="R627" t="s">
        <v>74</v>
      </c>
      <c r="S627" t="s">
        <v>74</v>
      </c>
      <c r="T627" t="s">
        <v>8535</v>
      </c>
      <c r="U627" t="s">
        <v>8536</v>
      </c>
      <c r="V627" t="s">
        <v>8537</v>
      </c>
      <c r="W627" t="s">
        <v>8538</v>
      </c>
      <c r="X627" t="s">
        <v>8539</v>
      </c>
      <c r="Y627" t="s">
        <v>8540</v>
      </c>
      <c r="Z627" t="s">
        <v>8541</v>
      </c>
      <c r="AA627" t="s">
        <v>74</v>
      </c>
      <c r="AB627" t="s">
        <v>8542</v>
      </c>
      <c r="AC627" t="s">
        <v>74</v>
      </c>
      <c r="AD627" t="s">
        <v>74</v>
      </c>
      <c r="AE627" t="s">
        <v>74</v>
      </c>
      <c r="AF627" t="s">
        <v>74</v>
      </c>
      <c r="AG627">
        <v>47</v>
      </c>
      <c r="AH627">
        <v>0</v>
      </c>
      <c r="AI627">
        <v>0</v>
      </c>
      <c r="AJ627">
        <v>13</v>
      </c>
      <c r="AK627">
        <v>13</v>
      </c>
      <c r="AL627" t="s">
        <v>4737</v>
      </c>
      <c r="AM627" t="s">
        <v>4738</v>
      </c>
      <c r="AN627" t="s">
        <v>4739</v>
      </c>
      <c r="AO627" t="s">
        <v>6985</v>
      </c>
      <c r="AP627" t="s">
        <v>74</v>
      </c>
      <c r="AQ627" t="s">
        <v>74</v>
      </c>
      <c r="AR627" t="s">
        <v>6986</v>
      </c>
      <c r="AS627" t="s">
        <v>6987</v>
      </c>
      <c r="AT627" t="s">
        <v>348</v>
      </c>
      <c r="AU627">
        <v>2022</v>
      </c>
      <c r="AV627">
        <v>17</v>
      </c>
      <c r="AW627">
        <v>4</v>
      </c>
      <c r="AX627" t="s">
        <v>74</v>
      </c>
      <c r="AY627" t="s">
        <v>74</v>
      </c>
      <c r="AZ627" t="s">
        <v>74</v>
      </c>
      <c r="BA627" t="s">
        <v>74</v>
      </c>
      <c r="BB627">
        <v>1493</v>
      </c>
      <c r="BC627">
        <v>1511</v>
      </c>
      <c r="BD627" t="s">
        <v>74</v>
      </c>
      <c r="BE627" t="s">
        <v>8543</v>
      </c>
      <c r="BF627" t="str">
        <f>HYPERLINK("http://dx.doi.org/10.3390/jtaer17040075","http://dx.doi.org/10.3390/jtaer17040075")</f>
        <v>http://dx.doi.org/10.3390/jtaer17040075</v>
      </c>
      <c r="BG627" t="s">
        <v>74</v>
      </c>
      <c r="BH627" t="s">
        <v>74</v>
      </c>
      <c r="BI627">
        <v>19</v>
      </c>
      <c r="BJ627" t="s">
        <v>153</v>
      </c>
      <c r="BK627" t="s">
        <v>101</v>
      </c>
      <c r="BL627" t="s">
        <v>154</v>
      </c>
      <c r="BM627" t="s">
        <v>8544</v>
      </c>
      <c r="BN627" t="s">
        <v>74</v>
      </c>
      <c r="BO627" t="s">
        <v>4746</v>
      </c>
      <c r="BP627" t="s">
        <v>74</v>
      </c>
      <c r="BQ627" t="s">
        <v>74</v>
      </c>
      <c r="BR627" t="s">
        <v>6098</v>
      </c>
      <c r="BS627" t="s">
        <v>8545</v>
      </c>
      <c r="BT627" t="str">
        <f>HYPERLINK("https%3A%2F%2Fwww.webofscience.com%2Fwos%2Fwoscc%2Ffull-record%2FWOS:000900832700001","View Full Record in Web of Science")</f>
        <v>View Full Record in Web of Science</v>
      </c>
      <c r="BU627" t="s">
        <v>6100</v>
      </c>
      <c r="BV627" s="1" t="s">
        <v>10653</v>
      </c>
    </row>
    <row r="628" spans="1:75" x14ac:dyDescent="0.35">
      <c r="A628" t="s">
        <v>72</v>
      </c>
      <c r="B628" t="s">
        <v>8563</v>
      </c>
      <c r="C628" t="s">
        <v>74</v>
      </c>
      <c r="D628" t="s">
        <v>74</v>
      </c>
      <c r="E628" t="s">
        <v>74</v>
      </c>
      <c r="F628" t="s">
        <v>8564</v>
      </c>
      <c r="G628" t="s">
        <v>74</v>
      </c>
      <c r="H628" t="s">
        <v>74</v>
      </c>
      <c r="I628" t="s">
        <v>8565</v>
      </c>
      <c r="J628" t="s">
        <v>8566</v>
      </c>
      <c r="K628" t="s">
        <v>74</v>
      </c>
      <c r="L628" t="s">
        <v>74</v>
      </c>
      <c r="M628" t="s">
        <v>78</v>
      </c>
      <c r="N628" t="s">
        <v>79</v>
      </c>
      <c r="O628" t="s">
        <v>74</v>
      </c>
      <c r="P628" t="s">
        <v>74</v>
      </c>
      <c r="Q628" t="s">
        <v>74</v>
      </c>
      <c r="R628" t="s">
        <v>74</v>
      </c>
      <c r="S628" t="s">
        <v>74</v>
      </c>
      <c r="T628" t="s">
        <v>8567</v>
      </c>
      <c r="U628" t="s">
        <v>8568</v>
      </c>
      <c r="V628" t="s">
        <v>8569</v>
      </c>
      <c r="W628" t="s">
        <v>8570</v>
      </c>
      <c r="X628" t="s">
        <v>8571</v>
      </c>
      <c r="Y628" t="s">
        <v>8572</v>
      </c>
      <c r="Z628" t="s">
        <v>8573</v>
      </c>
      <c r="AA628" t="s">
        <v>74</v>
      </c>
      <c r="AB628" t="s">
        <v>74</v>
      </c>
      <c r="AC628" t="s">
        <v>74</v>
      </c>
      <c r="AD628" t="s">
        <v>74</v>
      </c>
      <c r="AE628" t="s">
        <v>74</v>
      </c>
      <c r="AF628" t="s">
        <v>74</v>
      </c>
      <c r="AG628">
        <v>58</v>
      </c>
      <c r="AH628">
        <v>1</v>
      </c>
      <c r="AI628">
        <v>1</v>
      </c>
      <c r="AJ628">
        <v>13</v>
      </c>
      <c r="AK628">
        <v>17</v>
      </c>
      <c r="AL628" t="s">
        <v>409</v>
      </c>
      <c r="AM628" t="s">
        <v>410</v>
      </c>
      <c r="AN628" t="s">
        <v>411</v>
      </c>
      <c r="AO628" t="s">
        <v>8574</v>
      </c>
      <c r="AP628" t="s">
        <v>8575</v>
      </c>
      <c r="AQ628" t="s">
        <v>74</v>
      </c>
      <c r="AR628" t="s">
        <v>8576</v>
      </c>
      <c r="AS628" t="s">
        <v>8577</v>
      </c>
      <c r="AT628" t="s">
        <v>760</v>
      </c>
      <c r="AU628">
        <v>2022</v>
      </c>
      <c r="AV628">
        <v>53</v>
      </c>
      <c r="AW628" t="s">
        <v>74</v>
      </c>
      <c r="AX628" t="s">
        <v>74</v>
      </c>
      <c r="AY628" t="s">
        <v>74</v>
      </c>
      <c r="AZ628" t="s">
        <v>74</v>
      </c>
      <c r="BA628" t="s">
        <v>74</v>
      </c>
      <c r="BB628" t="s">
        <v>74</v>
      </c>
      <c r="BC628" t="s">
        <v>74</v>
      </c>
      <c r="BD628">
        <v>101151</v>
      </c>
      <c r="BE628" t="s">
        <v>8578</v>
      </c>
      <c r="BF628" t="str">
        <f>HYPERLINK("http://dx.doi.org/10.1016/j.elerap.2022.101151","http://dx.doi.org/10.1016/j.elerap.2022.101151")</f>
        <v>http://dx.doi.org/10.1016/j.elerap.2022.101151</v>
      </c>
      <c r="BG628" t="s">
        <v>74</v>
      </c>
      <c r="BH628" t="s">
        <v>4441</v>
      </c>
      <c r="BI628">
        <v>17</v>
      </c>
      <c r="BJ628" t="s">
        <v>8579</v>
      </c>
      <c r="BK628" t="s">
        <v>520</v>
      </c>
      <c r="BL628" t="s">
        <v>3857</v>
      </c>
      <c r="BM628" t="s">
        <v>8580</v>
      </c>
      <c r="BN628" t="s">
        <v>74</v>
      </c>
      <c r="BO628" t="s">
        <v>74</v>
      </c>
      <c r="BP628" t="s">
        <v>74</v>
      </c>
      <c r="BQ628" t="s">
        <v>74</v>
      </c>
      <c r="BR628" t="s">
        <v>6098</v>
      </c>
      <c r="BS628" t="s">
        <v>8581</v>
      </c>
      <c r="BT628" t="str">
        <f>HYPERLINK("https%3A%2F%2Fwww.webofscience.com%2Fwos%2Fwoscc%2Ffull-record%2FWOS:000797711600001","View Full Record in Web of Science")</f>
        <v>View Full Record in Web of Science</v>
      </c>
      <c r="BU628" t="s">
        <v>6100</v>
      </c>
      <c r="BV628" s="1" t="s">
        <v>10653</v>
      </c>
    </row>
    <row r="629" spans="1:75" x14ac:dyDescent="0.35">
      <c r="A629" t="s">
        <v>72</v>
      </c>
      <c r="B629" t="s">
        <v>8582</v>
      </c>
      <c r="C629" t="s">
        <v>74</v>
      </c>
      <c r="D629" t="s">
        <v>74</v>
      </c>
      <c r="E629" t="s">
        <v>74</v>
      </c>
      <c r="F629" t="s">
        <v>8583</v>
      </c>
      <c r="G629" t="s">
        <v>74</v>
      </c>
      <c r="H629" t="s">
        <v>74</v>
      </c>
      <c r="I629" t="s">
        <v>8584</v>
      </c>
      <c r="J629" t="s">
        <v>6976</v>
      </c>
      <c r="K629" t="s">
        <v>74</v>
      </c>
      <c r="L629" t="s">
        <v>74</v>
      </c>
      <c r="M629" t="s">
        <v>78</v>
      </c>
      <c r="N629" t="s">
        <v>79</v>
      </c>
      <c r="O629" t="s">
        <v>74</v>
      </c>
      <c r="P629" t="s">
        <v>74</v>
      </c>
      <c r="Q629" t="s">
        <v>74</v>
      </c>
      <c r="R629" t="s">
        <v>74</v>
      </c>
      <c r="S629" t="s">
        <v>74</v>
      </c>
      <c r="T629" t="s">
        <v>8585</v>
      </c>
      <c r="U629" t="s">
        <v>8586</v>
      </c>
      <c r="V629" t="s">
        <v>8587</v>
      </c>
      <c r="W629" t="s">
        <v>8588</v>
      </c>
      <c r="X629" t="s">
        <v>8589</v>
      </c>
      <c r="Y629" t="s">
        <v>8590</v>
      </c>
      <c r="Z629" t="s">
        <v>8591</v>
      </c>
      <c r="AA629" t="s">
        <v>74</v>
      </c>
      <c r="AB629" t="s">
        <v>8592</v>
      </c>
      <c r="AC629" t="s">
        <v>74</v>
      </c>
      <c r="AD629" t="s">
        <v>74</v>
      </c>
      <c r="AE629" t="s">
        <v>74</v>
      </c>
      <c r="AF629" t="s">
        <v>74</v>
      </c>
      <c r="AG629">
        <v>71</v>
      </c>
      <c r="AH629">
        <v>0</v>
      </c>
      <c r="AI629">
        <v>0</v>
      </c>
      <c r="AJ629">
        <v>19</v>
      </c>
      <c r="AK629">
        <v>19</v>
      </c>
      <c r="AL629" t="s">
        <v>4737</v>
      </c>
      <c r="AM629" t="s">
        <v>4738</v>
      </c>
      <c r="AN629" t="s">
        <v>4739</v>
      </c>
      <c r="AO629" t="s">
        <v>6985</v>
      </c>
      <c r="AP629" t="s">
        <v>74</v>
      </c>
      <c r="AQ629" t="s">
        <v>74</v>
      </c>
      <c r="AR629" t="s">
        <v>6986</v>
      </c>
      <c r="AS629" t="s">
        <v>6987</v>
      </c>
      <c r="AT629" t="s">
        <v>517</v>
      </c>
      <c r="AU629">
        <v>2022</v>
      </c>
      <c r="AV629">
        <v>17</v>
      </c>
      <c r="AW629">
        <v>3</v>
      </c>
      <c r="AX629" t="s">
        <v>74</v>
      </c>
      <c r="AY629" t="s">
        <v>74</v>
      </c>
      <c r="AZ629" t="s">
        <v>74</v>
      </c>
      <c r="BA629" t="s">
        <v>74</v>
      </c>
      <c r="BB629">
        <v>949</v>
      </c>
      <c r="BC629">
        <v>983</v>
      </c>
      <c r="BD629" t="s">
        <v>74</v>
      </c>
      <c r="BE629" t="s">
        <v>8593</v>
      </c>
      <c r="BF629" t="str">
        <f>HYPERLINK("http://dx.doi.org/10.3390/jtaer17030049","http://dx.doi.org/10.3390/jtaer17030049")</f>
        <v>http://dx.doi.org/10.3390/jtaer17030049</v>
      </c>
      <c r="BG629" t="s">
        <v>74</v>
      </c>
      <c r="BH629" t="s">
        <v>74</v>
      </c>
      <c r="BI629">
        <v>35</v>
      </c>
      <c r="BJ629" t="s">
        <v>153</v>
      </c>
      <c r="BK629" t="s">
        <v>101</v>
      </c>
      <c r="BL629" t="s">
        <v>154</v>
      </c>
      <c r="BM629" t="s">
        <v>8594</v>
      </c>
      <c r="BN629" t="s">
        <v>74</v>
      </c>
      <c r="BO629" t="s">
        <v>4746</v>
      </c>
      <c r="BP629" t="s">
        <v>74</v>
      </c>
      <c r="BQ629" t="s">
        <v>74</v>
      </c>
      <c r="BR629" t="s">
        <v>6098</v>
      </c>
      <c r="BS629" t="s">
        <v>8595</v>
      </c>
      <c r="BT629" t="str">
        <f>HYPERLINK("https%3A%2F%2Fwww.webofscience.com%2Fwos%2Fwoscc%2Ffull-record%2FWOS:000856972100001","View Full Record in Web of Science")</f>
        <v>View Full Record in Web of Science</v>
      </c>
      <c r="BU629" t="s">
        <v>6100</v>
      </c>
      <c r="BV629" s="1" t="s">
        <v>10653</v>
      </c>
    </row>
    <row r="630" spans="1:75" x14ac:dyDescent="0.35">
      <c r="A630" t="s">
        <v>72</v>
      </c>
      <c r="B630" t="s">
        <v>8596</v>
      </c>
      <c r="C630" t="s">
        <v>74</v>
      </c>
      <c r="D630" t="s">
        <v>74</v>
      </c>
      <c r="E630" t="s">
        <v>74</v>
      </c>
      <c r="F630" t="s">
        <v>8597</v>
      </c>
      <c r="G630" t="s">
        <v>74</v>
      </c>
      <c r="H630" t="s">
        <v>74</v>
      </c>
      <c r="I630" t="s">
        <v>8598</v>
      </c>
      <c r="J630" t="s">
        <v>8245</v>
      </c>
      <c r="K630" t="s">
        <v>74</v>
      </c>
      <c r="L630" t="s">
        <v>74</v>
      </c>
      <c r="M630" t="s">
        <v>78</v>
      </c>
      <c r="N630" t="s">
        <v>79</v>
      </c>
      <c r="O630" t="s">
        <v>74</v>
      </c>
      <c r="P630" t="s">
        <v>74</v>
      </c>
      <c r="Q630" t="s">
        <v>74</v>
      </c>
      <c r="R630" t="s">
        <v>74</v>
      </c>
      <c r="S630" t="s">
        <v>74</v>
      </c>
      <c r="T630" t="s">
        <v>8599</v>
      </c>
      <c r="U630" t="s">
        <v>8600</v>
      </c>
      <c r="V630" t="s">
        <v>8601</v>
      </c>
      <c r="W630" t="s">
        <v>8602</v>
      </c>
      <c r="X630" t="s">
        <v>8603</v>
      </c>
      <c r="Y630" t="s">
        <v>8604</v>
      </c>
      <c r="Z630" t="s">
        <v>8605</v>
      </c>
      <c r="AA630" t="s">
        <v>74</v>
      </c>
      <c r="AB630" t="s">
        <v>8606</v>
      </c>
      <c r="AC630" t="s">
        <v>8607</v>
      </c>
      <c r="AD630" t="s">
        <v>8608</v>
      </c>
      <c r="AE630" t="s">
        <v>8609</v>
      </c>
      <c r="AF630" t="s">
        <v>74</v>
      </c>
      <c r="AG630">
        <v>65</v>
      </c>
      <c r="AH630">
        <v>22</v>
      </c>
      <c r="AI630">
        <v>22</v>
      </c>
      <c r="AJ630">
        <v>35</v>
      </c>
      <c r="AK630">
        <v>100</v>
      </c>
      <c r="AL630" t="s">
        <v>1982</v>
      </c>
      <c r="AM630" t="s">
        <v>1983</v>
      </c>
      <c r="AN630" t="s">
        <v>2573</v>
      </c>
      <c r="AO630" t="s">
        <v>8255</v>
      </c>
      <c r="AP630" t="s">
        <v>8256</v>
      </c>
      <c r="AQ630" t="s">
        <v>74</v>
      </c>
      <c r="AR630" t="s">
        <v>8257</v>
      </c>
      <c r="AS630" t="s">
        <v>8258</v>
      </c>
      <c r="AT630" t="s">
        <v>8610</v>
      </c>
      <c r="AU630">
        <v>2022</v>
      </c>
      <c r="AV630">
        <v>34</v>
      </c>
      <c r="AW630">
        <v>1</v>
      </c>
      <c r="AX630" t="s">
        <v>74</v>
      </c>
      <c r="AY630" t="s">
        <v>74</v>
      </c>
      <c r="AZ630" t="s">
        <v>74</v>
      </c>
      <c r="BA630" t="s">
        <v>74</v>
      </c>
      <c r="BB630">
        <v>382</v>
      </c>
      <c r="BC630">
        <v>406</v>
      </c>
      <c r="BD630" t="s">
        <v>74</v>
      </c>
      <c r="BE630" t="s">
        <v>8611</v>
      </c>
      <c r="BF630" t="str">
        <f>HYPERLINK("http://dx.doi.org/10.1108/IJCHM-03-2021-0356","http://dx.doi.org/10.1108/IJCHM-03-2021-0356")</f>
        <v>http://dx.doi.org/10.1108/IJCHM-03-2021-0356</v>
      </c>
      <c r="BG630" t="s">
        <v>74</v>
      </c>
      <c r="BH630" t="s">
        <v>6366</v>
      </c>
      <c r="BI630">
        <v>25</v>
      </c>
      <c r="BJ630" t="s">
        <v>6387</v>
      </c>
      <c r="BK630" t="s">
        <v>101</v>
      </c>
      <c r="BL630" t="s">
        <v>6388</v>
      </c>
      <c r="BM630" t="s">
        <v>8612</v>
      </c>
      <c r="BN630" t="s">
        <v>74</v>
      </c>
      <c r="BO630" t="s">
        <v>74</v>
      </c>
      <c r="BP630" t="s">
        <v>74</v>
      </c>
      <c r="BQ630" t="s">
        <v>74</v>
      </c>
      <c r="BR630" t="s">
        <v>6098</v>
      </c>
      <c r="BS630" t="s">
        <v>8613</v>
      </c>
      <c r="BT630" t="str">
        <f>HYPERLINK("https%3A%2F%2Fwww.webofscience.com%2Fwos%2Fwoscc%2Ffull-record%2FWOS:000720935400001","View Full Record in Web of Science")</f>
        <v>View Full Record in Web of Science</v>
      </c>
      <c r="BU630" t="s">
        <v>6100</v>
      </c>
      <c r="BV630" s="1" t="s">
        <v>10653</v>
      </c>
    </row>
    <row r="631" spans="1:75" x14ac:dyDescent="0.35">
      <c r="A631" t="s">
        <v>72</v>
      </c>
      <c r="B631" t="s">
        <v>8614</v>
      </c>
      <c r="C631" t="s">
        <v>74</v>
      </c>
      <c r="D631" t="s">
        <v>74</v>
      </c>
      <c r="E631" t="s">
        <v>74</v>
      </c>
      <c r="F631" t="s">
        <v>8615</v>
      </c>
      <c r="G631" t="s">
        <v>74</v>
      </c>
      <c r="H631" t="s">
        <v>74</v>
      </c>
      <c r="I631" t="s">
        <v>8616</v>
      </c>
      <c r="J631" t="s">
        <v>240</v>
      </c>
      <c r="K631" t="s">
        <v>74</v>
      </c>
      <c r="L631" t="s">
        <v>74</v>
      </c>
      <c r="M631" t="s">
        <v>78</v>
      </c>
      <c r="N631" t="s">
        <v>79</v>
      </c>
      <c r="O631" t="s">
        <v>74</v>
      </c>
      <c r="P631" t="s">
        <v>74</v>
      </c>
      <c r="Q631" t="s">
        <v>74</v>
      </c>
      <c r="R631" t="s">
        <v>74</v>
      </c>
      <c r="S631" t="s">
        <v>74</v>
      </c>
      <c r="T631" t="s">
        <v>8617</v>
      </c>
      <c r="U631" t="s">
        <v>8618</v>
      </c>
      <c r="V631" t="s">
        <v>8619</v>
      </c>
      <c r="W631" t="s">
        <v>8620</v>
      </c>
      <c r="X631" t="s">
        <v>8621</v>
      </c>
      <c r="Y631" t="s">
        <v>8622</v>
      </c>
      <c r="Z631" t="s">
        <v>8623</v>
      </c>
      <c r="AA631" t="s">
        <v>74</v>
      </c>
      <c r="AB631" t="s">
        <v>74</v>
      </c>
      <c r="AC631" t="s">
        <v>8624</v>
      </c>
      <c r="AD631" t="s">
        <v>8625</v>
      </c>
      <c r="AE631" t="s">
        <v>8626</v>
      </c>
      <c r="AF631" t="s">
        <v>74</v>
      </c>
      <c r="AG631">
        <v>96</v>
      </c>
      <c r="AH631">
        <v>4</v>
      </c>
      <c r="AI631">
        <v>4</v>
      </c>
      <c r="AJ631">
        <v>11</v>
      </c>
      <c r="AK631">
        <v>36</v>
      </c>
      <c r="AL631" t="s">
        <v>144</v>
      </c>
      <c r="AM631" t="s">
        <v>145</v>
      </c>
      <c r="AN631" t="s">
        <v>146</v>
      </c>
      <c r="AO631" t="s">
        <v>254</v>
      </c>
      <c r="AP631" t="s">
        <v>255</v>
      </c>
      <c r="AQ631" t="s">
        <v>74</v>
      </c>
      <c r="AR631" t="s">
        <v>256</v>
      </c>
      <c r="AS631" t="s">
        <v>257</v>
      </c>
      <c r="AT631" t="s">
        <v>704</v>
      </c>
      <c r="AU631">
        <v>2022</v>
      </c>
      <c r="AV631">
        <v>86</v>
      </c>
      <c r="AW631">
        <v>3</v>
      </c>
      <c r="AX631" t="s">
        <v>74</v>
      </c>
      <c r="AY631" t="s">
        <v>74</v>
      </c>
      <c r="AZ631" t="s">
        <v>74</v>
      </c>
      <c r="BA631" t="s">
        <v>74</v>
      </c>
      <c r="BB631">
        <v>79</v>
      </c>
      <c r="BC631">
        <v>97</v>
      </c>
      <c r="BD631">
        <v>222429211023040</v>
      </c>
      <c r="BE631" t="s">
        <v>8627</v>
      </c>
      <c r="BF631" t="str">
        <f>HYPERLINK("http://dx.doi.org/10.1177/00222429211023040","http://dx.doi.org/10.1177/00222429211023040")</f>
        <v>http://dx.doi.org/10.1177/00222429211023040</v>
      </c>
      <c r="BG631" t="s">
        <v>74</v>
      </c>
      <c r="BH631" t="s">
        <v>6408</v>
      </c>
      <c r="BI631">
        <v>19</v>
      </c>
      <c r="BJ631" t="s">
        <v>153</v>
      </c>
      <c r="BK631" t="s">
        <v>101</v>
      </c>
      <c r="BL631" t="s">
        <v>154</v>
      </c>
      <c r="BM631" t="s">
        <v>4415</v>
      </c>
      <c r="BN631" t="s">
        <v>74</v>
      </c>
      <c r="BO631" t="s">
        <v>74</v>
      </c>
      <c r="BP631" t="s">
        <v>74</v>
      </c>
      <c r="BQ631" t="s">
        <v>74</v>
      </c>
      <c r="BR631" t="s">
        <v>6098</v>
      </c>
      <c r="BS631" t="s">
        <v>8628</v>
      </c>
      <c r="BT631" t="str">
        <f>HYPERLINK("https%3A%2F%2Fwww.webofscience.com%2Fwos%2Fwoscc%2Ffull-record%2FWOS:000710660400001","View Full Record in Web of Science")</f>
        <v>View Full Record in Web of Science</v>
      </c>
      <c r="BU631" t="s">
        <v>6100</v>
      </c>
      <c r="BV631" s="1" t="s">
        <v>6080</v>
      </c>
      <c r="BW631" s="1" t="s">
        <v>10653</v>
      </c>
    </row>
    <row r="632" spans="1:75" x14ac:dyDescent="0.35">
      <c r="A632" t="s">
        <v>72</v>
      </c>
      <c r="B632" t="s">
        <v>8708</v>
      </c>
      <c r="C632" t="s">
        <v>74</v>
      </c>
      <c r="D632" t="s">
        <v>74</v>
      </c>
      <c r="E632" t="s">
        <v>74</v>
      </c>
      <c r="F632" t="s">
        <v>8709</v>
      </c>
      <c r="G632" t="s">
        <v>74</v>
      </c>
      <c r="H632" t="s">
        <v>74</v>
      </c>
      <c r="I632" t="s">
        <v>8710</v>
      </c>
      <c r="J632" t="s">
        <v>8711</v>
      </c>
      <c r="K632" t="s">
        <v>74</v>
      </c>
      <c r="L632" t="s">
        <v>74</v>
      </c>
      <c r="M632" t="s">
        <v>78</v>
      </c>
      <c r="N632" t="s">
        <v>79</v>
      </c>
      <c r="O632" t="s">
        <v>74</v>
      </c>
      <c r="P632" t="s">
        <v>74</v>
      </c>
      <c r="Q632" t="s">
        <v>74</v>
      </c>
      <c r="R632" t="s">
        <v>74</v>
      </c>
      <c r="S632" t="s">
        <v>74</v>
      </c>
      <c r="T632" t="s">
        <v>8712</v>
      </c>
      <c r="U632" t="s">
        <v>74</v>
      </c>
      <c r="V632" t="s">
        <v>8713</v>
      </c>
      <c r="W632" t="s">
        <v>8714</v>
      </c>
      <c r="X632" t="s">
        <v>8715</v>
      </c>
      <c r="Y632" t="s">
        <v>8716</v>
      </c>
      <c r="Z632" t="s">
        <v>8717</v>
      </c>
      <c r="AA632" t="s">
        <v>8718</v>
      </c>
      <c r="AB632" t="s">
        <v>8719</v>
      </c>
      <c r="AC632" t="s">
        <v>8720</v>
      </c>
      <c r="AD632" t="s">
        <v>8721</v>
      </c>
      <c r="AE632" t="s">
        <v>8722</v>
      </c>
      <c r="AF632" t="s">
        <v>74</v>
      </c>
      <c r="AG632">
        <v>76</v>
      </c>
      <c r="AH632">
        <v>2</v>
      </c>
      <c r="AI632">
        <v>2</v>
      </c>
      <c r="AJ632">
        <v>1</v>
      </c>
      <c r="AK632">
        <v>18</v>
      </c>
      <c r="AL632" t="s">
        <v>1180</v>
      </c>
      <c r="AM632" t="s">
        <v>1181</v>
      </c>
      <c r="AN632" t="s">
        <v>1182</v>
      </c>
      <c r="AO632" t="s">
        <v>8723</v>
      </c>
      <c r="AP632" t="s">
        <v>8724</v>
      </c>
      <c r="AQ632" t="s">
        <v>74</v>
      </c>
      <c r="AR632" t="s">
        <v>8725</v>
      </c>
      <c r="AS632" t="s">
        <v>8726</v>
      </c>
      <c r="AT632" t="s">
        <v>8727</v>
      </c>
      <c r="AU632">
        <v>2022</v>
      </c>
      <c r="AV632">
        <v>34</v>
      </c>
      <c r="AW632">
        <v>4</v>
      </c>
      <c r="AX632" t="s">
        <v>74</v>
      </c>
      <c r="AY632" t="s">
        <v>74</v>
      </c>
      <c r="AZ632" t="s">
        <v>74</v>
      </c>
      <c r="BA632" t="s">
        <v>74</v>
      </c>
      <c r="BB632">
        <v>421</v>
      </c>
      <c r="BC632">
        <v>450</v>
      </c>
      <c r="BD632" t="s">
        <v>74</v>
      </c>
      <c r="BE632" t="s">
        <v>8728</v>
      </c>
      <c r="BF632" t="str">
        <f>HYPERLINK("http://dx.doi.org/10.1080/10495142.2021.1874590","http://dx.doi.org/10.1080/10495142.2021.1874590")</f>
        <v>http://dx.doi.org/10.1080/10495142.2021.1874590</v>
      </c>
      <c r="BG632" t="s">
        <v>74</v>
      </c>
      <c r="BH632" t="s">
        <v>6326</v>
      </c>
      <c r="BI632">
        <v>30</v>
      </c>
      <c r="BJ632" t="s">
        <v>153</v>
      </c>
      <c r="BK632" t="s">
        <v>3880</v>
      </c>
      <c r="BL632" t="s">
        <v>154</v>
      </c>
      <c r="BM632" t="s">
        <v>8729</v>
      </c>
      <c r="BN632" t="s">
        <v>74</v>
      </c>
      <c r="BO632" t="s">
        <v>828</v>
      </c>
      <c r="BP632" t="s">
        <v>74</v>
      </c>
      <c r="BQ632" t="s">
        <v>74</v>
      </c>
      <c r="BR632" t="s">
        <v>6098</v>
      </c>
      <c r="BS632" t="s">
        <v>8730</v>
      </c>
      <c r="BT632" t="str">
        <f>HYPERLINK("https%3A%2F%2Fwww.webofscience.com%2Fwos%2Fwoscc%2Ffull-record%2FWOS:000613786000001","View Full Record in Web of Science")</f>
        <v>View Full Record in Web of Science</v>
      </c>
      <c r="BU632" t="s">
        <v>6100</v>
      </c>
      <c r="BV632" s="1" t="s">
        <v>6080</v>
      </c>
      <c r="BW632" s="1" t="s">
        <v>6080</v>
      </c>
    </row>
    <row r="633" spans="1:75" x14ac:dyDescent="0.35">
      <c r="A633" t="s">
        <v>72</v>
      </c>
      <c r="B633" t="s">
        <v>9656</v>
      </c>
      <c r="C633" t="s">
        <v>74</v>
      </c>
      <c r="D633" t="s">
        <v>74</v>
      </c>
      <c r="E633" t="s">
        <v>74</v>
      </c>
      <c r="F633" t="s">
        <v>9657</v>
      </c>
      <c r="G633" t="s">
        <v>74</v>
      </c>
      <c r="H633" t="s">
        <v>74</v>
      </c>
      <c r="I633" t="s">
        <v>9658</v>
      </c>
      <c r="J633" t="s">
        <v>9659</v>
      </c>
      <c r="K633" t="s">
        <v>74</v>
      </c>
      <c r="L633" t="s">
        <v>74</v>
      </c>
      <c r="M633" t="s">
        <v>78</v>
      </c>
      <c r="N633" t="s">
        <v>110</v>
      </c>
      <c r="O633" t="s">
        <v>74</v>
      </c>
      <c r="P633" t="s">
        <v>74</v>
      </c>
      <c r="Q633" t="s">
        <v>74</v>
      </c>
      <c r="R633" t="s">
        <v>74</v>
      </c>
      <c r="S633" t="s">
        <v>74</v>
      </c>
      <c r="T633" t="s">
        <v>9660</v>
      </c>
      <c r="U633" t="s">
        <v>9661</v>
      </c>
      <c r="V633" t="s">
        <v>9662</v>
      </c>
      <c r="W633" t="s">
        <v>9663</v>
      </c>
      <c r="X633" t="s">
        <v>9664</v>
      </c>
      <c r="Y633" t="s">
        <v>9665</v>
      </c>
      <c r="Z633" t="s">
        <v>9666</v>
      </c>
      <c r="AA633" t="s">
        <v>9667</v>
      </c>
      <c r="AB633" t="s">
        <v>74</v>
      </c>
      <c r="AC633" t="s">
        <v>9668</v>
      </c>
      <c r="AD633" t="s">
        <v>9668</v>
      </c>
      <c r="AE633" t="s">
        <v>9669</v>
      </c>
      <c r="AF633" t="s">
        <v>74</v>
      </c>
      <c r="AG633">
        <v>154</v>
      </c>
      <c r="AH633">
        <v>12</v>
      </c>
      <c r="AI633">
        <v>12</v>
      </c>
      <c r="AJ633">
        <v>2</v>
      </c>
      <c r="AK633">
        <v>24</v>
      </c>
      <c r="AL633" t="s">
        <v>1180</v>
      </c>
      <c r="AM633" t="s">
        <v>1181</v>
      </c>
      <c r="AN633" t="s">
        <v>1182</v>
      </c>
      <c r="AO633" t="s">
        <v>9670</v>
      </c>
      <c r="AP633" t="s">
        <v>9671</v>
      </c>
      <c r="AQ633" t="s">
        <v>74</v>
      </c>
      <c r="AR633" t="s">
        <v>9672</v>
      </c>
      <c r="AS633" t="s">
        <v>9673</v>
      </c>
      <c r="AT633" t="s">
        <v>74</v>
      </c>
      <c r="AU633">
        <v>2018</v>
      </c>
      <c r="AV633">
        <v>28</v>
      </c>
      <c r="AW633">
        <v>3</v>
      </c>
      <c r="AX633" t="s">
        <v>74</v>
      </c>
      <c r="AY633" t="s">
        <v>74</v>
      </c>
      <c r="AZ633" t="s">
        <v>74</v>
      </c>
      <c r="BA633" t="s">
        <v>74</v>
      </c>
      <c r="BB633">
        <v>231</v>
      </c>
      <c r="BC633">
        <v>258</v>
      </c>
      <c r="BD633" t="s">
        <v>74</v>
      </c>
      <c r="BE633" t="s">
        <v>9674</v>
      </c>
      <c r="BF633" t="str">
        <f>HYPERLINK("http://dx.doi.org/10.1080/09593969.2017.1380066","http://dx.doi.org/10.1080/09593969.2017.1380066")</f>
        <v>http://dx.doi.org/10.1080/09593969.2017.1380066</v>
      </c>
      <c r="BG633" t="s">
        <v>74</v>
      </c>
      <c r="BH633" t="s">
        <v>74</v>
      </c>
      <c r="BI633">
        <v>28</v>
      </c>
      <c r="BJ633" t="s">
        <v>153</v>
      </c>
      <c r="BK633" t="s">
        <v>3880</v>
      </c>
      <c r="BL633" t="s">
        <v>154</v>
      </c>
      <c r="BM633" t="s">
        <v>9675</v>
      </c>
      <c r="BN633" t="s">
        <v>74</v>
      </c>
      <c r="BO633" t="s">
        <v>74</v>
      </c>
      <c r="BP633" t="s">
        <v>74</v>
      </c>
      <c r="BQ633" t="s">
        <v>74</v>
      </c>
      <c r="BR633" t="s">
        <v>6098</v>
      </c>
      <c r="BS633" t="s">
        <v>9676</v>
      </c>
      <c r="BT633" t="str">
        <f>HYPERLINK("https%3A%2F%2Fwww.webofscience.com%2Fwos%2Fwoscc%2Ffull-record%2FWOS:000434776500001","View Full Record in Web of Science")</f>
        <v>View Full Record in Web of Science</v>
      </c>
      <c r="BU633" t="s">
        <v>6100</v>
      </c>
      <c r="BV633" s="1" t="s">
        <v>6080</v>
      </c>
      <c r="BW633" s="1" t="s">
        <v>10653</v>
      </c>
    </row>
    <row r="634" spans="1:75" x14ac:dyDescent="0.35">
      <c r="A634" t="s">
        <v>72</v>
      </c>
      <c r="B634" t="s">
        <v>8731</v>
      </c>
      <c r="C634" t="s">
        <v>74</v>
      </c>
      <c r="D634" t="s">
        <v>74</v>
      </c>
      <c r="E634" t="s">
        <v>74</v>
      </c>
      <c r="F634" t="s">
        <v>8732</v>
      </c>
      <c r="G634" t="s">
        <v>74</v>
      </c>
      <c r="H634" t="s">
        <v>74</v>
      </c>
      <c r="I634" t="s">
        <v>8733</v>
      </c>
      <c r="J634" t="s">
        <v>8566</v>
      </c>
      <c r="K634" t="s">
        <v>74</v>
      </c>
      <c r="L634" t="s">
        <v>74</v>
      </c>
      <c r="M634" t="s">
        <v>78</v>
      </c>
      <c r="N634" t="s">
        <v>79</v>
      </c>
      <c r="O634" t="s">
        <v>74</v>
      </c>
      <c r="P634" t="s">
        <v>74</v>
      </c>
      <c r="Q634" t="s">
        <v>74</v>
      </c>
      <c r="R634" t="s">
        <v>74</v>
      </c>
      <c r="S634" t="s">
        <v>74</v>
      </c>
      <c r="T634" t="s">
        <v>8734</v>
      </c>
      <c r="U634" t="s">
        <v>8735</v>
      </c>
      <c r="V634" t="s">
        <v>8736</v>
      </c>
      <c r="W634" t="s">
        <v>8737</v>
      </c>
      <c r="X634" t="s">
        <v>8738</v>
      </c>
      <c r="Y634" t="s">
        <v>8739</v>
      </c>
      <c r="Z634" t="s">
        <v>8740</v>
      </c>
      <c r="AA634" t="s">
        <v>205</v>
      </c>
      <c r="AB634" t="s">
        <v>74</v>
      </c>
      <c r="AC634" t="s">
        <v>8741</v>
      </c>
      <c r="AD634" t="s">
        <v>8742</v>
      </c>
      <c r="AE634" t="s">
        <v>8743</v>
      </c>
      <c r="AF634" t="s">
        <v>74</v>
      </c>
      <c r="AG634">
        <v>70</v>
      </c>
      <c r="AH634">
        <v>2</v>
      </c>
      <c r="AI634">
        <v>2</v>
      </c>
      <c r="AJ634">
        <v>20</v>
      </c>
      <c r="AK634">
        <v>20</v>
      </c>
      <c r="AL634" t="s">
        <v>409</v>
      </c>
      <c r="AM634" t="s">
        <v>410</v>
      </c>
      <c r="AN634" t="s">
        <v>411</v>
      </c>
      <c r="AO634" t="s">
        <v>8574</v>
      </c>
      <c r="AP634" t="s">
        <v>8575</v>
      </c>
      <c r="AQ634" t="s">
        <v>74</v>
      </c>
      <c r="AR634" t="s">
        <v>8576</v>
      </c>
      <c r="AS634" t="s">
        <v>8577</v>
      </c>
      <c r="AT634" t="s">
        <v>3397</v>
      </c>
      <c r="AU634">
        <v>2022</v>
      </c>
      <c r="AV634">
        <v>54</v>
      </c>
      <c r="AW634" t="s">
        <v>74</v>
      </c>
      <c r="AX634" t="s">
        <v>74</v>
      </c>
      <c r="AY634" t="s">
        <v>74</v>
      </c>
      <c r="AZ634" t="s">
        <v>74</v>
      </c>
      <c r="BA634" t="s">
        <v>74</v>
      </c>
      <c r="BB634" t="s">
        <v>74</v>
      </c>
      <c r="BC634" t="s">
        <v>74</v>
      </c>
      <c r="BD634">
        <v>101179</v>
      </c>
      <c r="BE634" t="s">
        <v>8744</v>
      </c>
      <c r="BF634" t="str">
        <f>HYPERLINK("http://dx.doi.org/10.1016/j.elerap.2022.101179","http://dx.doi.org/10.1016/j.elerap.2022.101179")</f>
        <v>http://dx.doi.org/10.1016/j.elerap.2022.101179</v>
      </c>
      <c r="BG634" t="s">
        <v>74</v>
      </c>
      <c r="BH634" t="s">
        <v>7369</v>
      </c>
      <c r="BI634">
        <v>12</v>
      </c>
      <c r="BJ634" t="s">
        <v>8579</v>
      </c>
      <c r="BK634" t="s">
        <v>520</v>
      </c>
      <c r="BL634" t="s">
        <v>3857</v>
      </c>
      <c r="BM634" t="s">
        <v>8745</v>
      </c>
      <c r="BN634" t="s">
        <v>74</v>
      </c>
      <c r="BO634" t="s">
        <v>74</v>
      </c>
      <c r="BP634" t="s">
        <v>74</v>
      </c>
      <c r="BQ634" t="s">
        <v>74</v>
      </c>
      <c r="BR634" t="s">
        <v>6098</v>
      </c>
      <c r="BS634" t="s">
        <v>8746</v>
      </c>
      <c r="BT634" t="str">
        <f>HYPERLINK("https%3A%2F%2Fwww.webofscience.com%2Fwos%2Fwoscc%2Ffull-record%2FWOS:000863065400005","View Full Record in Web of Science")</f>
        <v>View Full Record in Web of Science</v>
      </c>
      <c r="BU634" t="s">
        <v>6100</v>
      </c>
      <c r="BV634" s="1" t="s">
        <v>10653</v>
      </c>
    </row>
    <row r="635" spans="1:75" x14ac:dyDescent="0.35">
      <c r="A635" t="s">
        <v>72</v>
      </c>
      <c r="B635" t="s">
        <v>8782</v>
      </c>
      <c r="C635" t="s">
        <v>74</v>
      </c>
      <c r="D635" t="s">
        <v>74</v>
      </c>
      <c r="E635" t="s">
        <v>74</v>
      </c>
      <c r="F635" t="s">
        <v>8783</v>
      </c>
      <c r="G635" t="s">
        <v>74</v>
      </c>
      <c r="H635" t="s">
        <v>74</v>
      </c>
      <c r="I635" t="s">
        <v>8784</v>
      </c>
      <c r="J635" t="s">
        <v>8649</v>
      </c>
      <c r="K635" t="s">
        <v>74</v>
      </c>
      <c r="L635" t="s">
        <v>74</v>
      </c>
      <c r="M635" t="s">
        <v>78</v>
      </c>
      <c r="N635" t="s">
        <v>79</v>
      </c>
      <c r="O635" t="s">
        <v>74</v>
      </c>
      <c r="P635" t="s">
        <v>74</v>
      </c>
      <c r="Q635" t="s">
        <v>74</v>
      </c>
      <c r="R635" t="s">
        <v>74</v>
      </c>
      <c r="S635" t="s">
        <v>74</v>
      </c>
      <c r="T635" t="s">
        <v>8785</v>
      </c>
      <c r="U635" t="s">
        <v>8786</v>
      </c>
      <c r="V635" t="s">
        <v>8787</v>
      </c>
      <c r="W635" t="s">
        <v>8788</v>
      </c>
      <c r="X635" t="s">
        <v>8789</v>
      </c>
      <c r="Y635" t="s">
        <v>8790</v>
      </c>
      <c r="Z635" t="s">
        <v>8791</v>
      </c>
      <c r="AA635" t="s">
        <v>74</v>
      </c>
      <c r="AB635" t="s">
        <v>8792</v>
      </c>
      <c r="AC635" t="s">
        <v>74</v>
      </c>
      <c r="AD635" t="s">
        <v>74</v>
      </c>
      <c r="AE635" t="s">
        <v>74</v>
      </c>
      <c r="AF635" t="s">
        <v>74</v>
      </c>
      <c r="AG635">
        <v>52</v>
      </c>
      <c r="AH635">
        <v>4</v>
      </c>
      <c r="AI635">
        <v>4</v>
      </c>
      <c r="AJ635">
        <v>8</v>
      </c>
      <c r="AK635">
        <v>30</v>
      </c>
      <c r="AL635" t="s">
        <v>1982</v>
      </c>
      <c r="AM635" t="s">
        <v>1983</v>
      </c>
      <c r="AN635" t="s">
        <v>2573</v>
      </c>
      <c r="AO635" t="s">
        <v>8658</v>
      </c>
      <c r="AP635" t="s">
        <v>8659</v>
      </c>
      <c r="AQ635" t="s">
        <v>74</v>
      </c>
      <c r="AR635" t="s">
        <v>8660</v>
      </c>
      <c r="AS635" t="s">
        <v>8661</v>
      </c>
      <c r="AT635" t="s">
        <v>8610</v>
      </c>
      <c r="AU635">
        <v>2022</v>
      </c>
      <c r="AV635">
        <v>26</v>
      </c>
      <c r="AW635">
        <v>1</v>
      </c>
      <c r="AX635" t="s">
        <v>74</v>
      </c>
      <c r="AY635" t="s">
        <v>74</v>
      </c>
      <c r="AZ635" t="s">
        <v>74</v>
      </c>
      <c r="BA635" t="s">
        <v>74</v>
      </c>
      <c r="BB635">
        <v>67</v>
      </c>
      <c r="BC635">
        <v>87</v>
      </c>
      <c r="BD635" t="s">
        <v>74</v>
      </c>
      <c r="BE635" t="s">
        <v>8793</v>
      </c>
      <c r="BF635" t="str">
        <f>HYPERLINK("http://dx.doi.org/10.1108/JFMM-07-2020-0139","http://dx.doi.org/10.1108/JFMM-07-2020-0139")</f>
        <v>http://dx.doi.org/10.1108/JFMM-07-2020-0139</v>
      </c>
      <c r="BG635" t="s">
        <v>74</v>
      </c>
      <c r="BH635" t="s">
        <v>4777</v>
      </c>
      <c r="BI635">
        <v>21</v>
      </c>
      <c r="BJ635" t="s">
        <v>877</v>
      </c>
      <c r="BK635" t="s">
        <v>101</v>
      </c>
      <c r="BL635" t="s">
        <v>154</v>
      </c>
      <c r="BM635" t="s">
        <v>8794</v>
      </c>
      <c r="BN635" t="s">
        <v>74</v>
      </c>
      <c r="BO635" t="s">
        <v>74</v>
      </c>
      <c r="BP635" t="s">
        <v>74</v>
      </c>
      <c r="BQ635" t="s">
        <v>74</v>
      </c>
      <c r="BR635" t="s">
        <v>6098</v>
      </c>
      <c r="BS635" t="s">
        <v>8795</v>
      </c>
      <c r="BT635" t="str">
        <f>HYPERLINK("https%3A%2F%2Fwww.webofscience.com%2Fwos%2Fwoscc%2Ffull-record%2FWOS:000639107200001","View Full Record in Web of Science")</f>
        <v>View Full Record in Web of Science</v>
      </c>
      <c r="BU635" t="s">
        <v>6100</v>
      </c>
      <c r="BV635" s="1" t="s">
        <v>6080</v>
      </c>
      <c r="BW635" s="1" t="s">
        <v>6080</v>
      </c>
    </row>
    <row r="636" spans="1:75" x14ac:dyDescent="0.35">
      <c r="A636" t="s">
        <v>72</v>
      </c>
      <c r="B636" t="s">
        <v>8808</v>
      </c>
      <c r="C636" t="s">
        <v>74</v>
      </c>
      <c r="D636" t="s">
        <v>74</v>
      </c>
      <c r="E636" t="s">
        <v>74</v>
      </c>
      <c r="F636" t="s">
        <v>8809</v>
      </c>
      <c r="G636" t="s">
        <v>74</v>
      </c>
      <c r="H636" t="s">
        <v>74</v>
      </c>
      <c r="I636" t="s">
        <v>8810</v>
      </c>
      <c r="J636" t="s">
        <v>8811</v>
      </c>
      <c r="K636" t="s">
        <v>74</v>
      </c>
      <c r="L636" t="s">
        <v>74</v>
      </c>
      <c r="M636" t="s">
        <v>78</v>
      </c>
      <c r="N636" t="s">
        <v>79</v>
      </c>
      <c r="O636" t="s">
        <v>74</v>
      </c>
      <c r="P636" t="s">
        <v>74</v>
      </c>
      <c r="Q636" t="s">
        <v>74</v>
      </c>
      <c r="R636" t="s">
        <v>74</v>
      </c>
      <c r="S636" t="s">
        <v>74</v>
      </c>
      <c r="T636" t="s">
        <v>8812</v>
      </c>
      <c r="U636" t="s">
        <v>8813</v>
      </c>
      <c r="V636" t="s">
        <v>8814</v>
      </c>
      <c r="W636" t="s">
        <v>8815</v>
      </c>
      <c r="X636" t="s">
        <v>8816</v>
      </c>
      <c r="Y636" t="s">
        <v>8817</v>
      </c>
      <c r="Z636" t="s">
        <v>8818</v>
      </c>
      <c r="AA636" t="s">
        <v>8819</v>
      </c>
      <c r="AB636" t="s">
        <v>8820</v>
      </c>
      <c r="AC636" t="s">
        <v>74</v>
      </c>
      <c r="AD636" t="s">
        <v>74</v>
      </c>
      <c r="AE636" t="s">
        <v>74</v>
      </c>
      <c r="AF636" t="s">
        <v>74</v>
      </c>
      <c r="AG636">
        <v>133</v>
      </c>
      <c r="AH636">
        <v>0</v>
      </c>
      <c r="AI636">
        <v>0</v>
      </c>
      <c r="AJ636">
        <v>13</v>
      </c>
      <c r="AK636">
        <v>14</v>
      </c>
      <c r="AL636" t="s">
        <v>1180</v>
      </c>
      <c r="AM636" t="s">
        <v>1181</v>
      </c>
      <c r="AN636" t="s">
        <v>1182</v>
      </c>
      <c r="AO636" t="s">
        <v>8821</v>
      </c>
      <c r="AP636" t="s">
        <v>8822</v>
      </c>
      <c r="AQ636" t="s">
        <v>74</v>
      </c>
      <c r="AR636" t="s">
        <v>8823</v>
      </c>
      <c r="AS636" t="s">
        <v>8824</v>
      </c>
      <c r="AT636" t="s">
        <v>8825</v>
      </c>
      <c r="AU636">
        <v>2022</v>
      </c>
      <c r="AV636">
        <v>38</v>
      </c>
      <c r="AW636" t="s">
        <v>8826</v>
      </c>
      <c r="AX636" t="s">
        <v>74</v>
      </c>
      <c r="AY636" t="s">
        <v>74</v>
      </c>
      <c r="AZ636" t="s">
        <v>74</v>
      </c>
      <c r="BA636" t="s">
        <v>74</v>
      </c>
      <c r="BB636">
        <v>1461</v>
      </c>
      <c r="BC636">
        <v>1493</v>
      </c>
      <c r="BD636" t="s">
        <v>74</v>
      </c>
      <c r="BE636" t="s">
        <v>8827</v>
      </c>
      <c r="BF636" t="str">
        <f>HYPERLINK("http://dx.doi.org/10.1080/0267257X.2022.2105933","http://dx.doi.org/10.1080/0267257X.2022.2105933")</f>
        <v>http://dx.doi.org/10.1080/0267257X.2022.2105933</v>
      </c>
      <c r="BG636" t="s">
        <v>74</v>
      </c>
      <c r="BH636" t="s">
        <v>4383</v>
      </c>
      <c r="BI636">
        <v>33</v>
      </c>
      <c r="BJ636" t="s">
        <v>877</v>
      </c>
      <c r="BK636" t="s">
        <v>101</v>
      </c>
      <c r="BL636" t="s">
        <v>154</v>
      </c>
      <c r="BM636" t="s">
        <v>8828</v>
      </c>
      <c r="BN636" t="s">
        <v>74</v>
      </c>
      <c r="BO636" t="s">
        <v>74</v>
      </c>
      <c r="BP636" t="s">
        <v>74</v>
      </c>
      <c r="BQ636" t="s">
        <v>74</v>
      </c>
      <c r="BR636" t="s">
        <v>6098</v>
      </c>
      <c r="BS636" t="s">
        <v>8829</v>
      </c>
      <c r="BT636" t="str">
        <f>HYPERLINK("https%3A%2F%2Fwww.webofscience.com%2Fwos%2Fwoscc%2Ffull-record%2FWOS:000843585000001","View Full Record in Web of Science")</f>
        <v>View Full Record in Web of Science</v>
      </c>
      <c r="BU636" t="s">
        <v>6100</v>
      </c>
      <c r="BV636" s="1" t="s">
        <v>6080</v>
      </c>
      <c r="BW636" s="1" t="s">
        <v>6080</v>
      </c>
    </row>
    <row r="637" spans="1:75" x14ac:dyDescent="0.35">
      <c r="A637" t="s">
        <v>72</v>
      </c>
      <c r="B637" t="s">
        <v>8844</v>
      </c>
      <c r="C637" t="s">
        <v>74</v>
      </c>
      <c r="D637" t="s">
        <v>74</v>
      </c>
      <c r="E637" t="s">
        <v>74</v>
      </c>
      <c r="F637" t="s">
        <v>8845</v>
      </c>
      <c r="G637" t="s">
        <v>74</v>
      </c>
      <c r="H637" t="s">
        <v>74</v>
      </c>
      <c r="I637" t="s">
        <v>5936</v>
      </c>
      <c r="J637" t="s">
        <v>240</v>
      </c>
      <c r="K637" t="s">
        <v>74</v>
      </c>
      <c r="L637" t="s">
        <v>74</v>
      </c>
      <c r="M637" t="s">
        <v>78</v>
      </c>
      <c r="N637" t="s">
        <v>79</v>
      </c>
      <c r="O637" t="s">
        <v>74</v>
      </c>
      <c r="P637" t="s">
        <v>74</v>
      </c>
      <c r="Q637" t="s">
        <v>74</v>
      </c>
      <c r="R637" t="s">
        <v>74</v>
      </c>
      <c r="S637" t="s">
        <v>74</v>
      </c>
      <c r="T637" t="s">
        <v>8846</v>
      </c>
      <c r="U637" t="s">
        <v>8847</v>
      </c>
      <c r="V637" t="s">
        <v>6038</v>
      </c>
      <c r="W637" t="s">
        <v>8848</v>
      </c>
      <c r="X637" t="s">
        <v>8849</v>
      </c>
      <c r="Y637" t="s">
        <v>8850</v>
      </c>
      <c r="Z637" t="s">
        <v>8851</v>
      </c>
      <c r="AA637" t="s">
        <v>74</v>
      </c>
      <c r="AB637" t="s">
        <v>8852</v>
      </c>
      <c r="AC637" t="s">
        <v>2306</v>
      </c>
      <c r="AD637" t="s">
        <v>2307</v>
      </c>
      <c r="AE637" t="s">
        <v>8853</v>
      </c>
      <c r="AF637" t="s">
        <v>74</v>
      </c>
      <c r="AG637">
        <v>55</v>
      </c>
      <c r="AH637">
        <v>27</v>
      </c>
      <c r="AI637">
        <v>28</v>
      </c>
      <c r="AJ637">
        <v>44</v>
      </c>
      <c r="AK637">
        <v>106</v>
      </c>
      <c r="AL637" t="s">
        <v>144</v>
      </c>
      <c r="AM637" t="s">
        <v>145</v>
      </c>
      <c r="AN637" t="s">
        <v>146</v>
      </c>
      <c r="AO637" t="s">
        <v>254</v>
      </c>
      <c r="AP637" t="s">
        <v>255</v>
      </c>
      <c r="AQ637" t="s">
        <v>74</v>
      </c>
      <c r="AR637" t="s">
        <v>256</v>
      </c>
      <c r="AS637" t="s">
        <v>257</v>
      </c>
      <c r="AT637" t="s">
        <v>258</v>
      </c>
      <c r="AU637">
        <v>2022</v>
      </c>
      <c r="AV637">
        <v>86</v>
      </c>
      <c r="AW637">
        <v>6</v>
      </c>
      <c r="AX637" t="s">
        <v>74</v>
      </c>
      <c r="AY637" t="s">
        <v>74</v>
      </c>
      <c r="AZ637" t="s">
        <v>74</v>
      </c>
      <c r="BA637" t="s">
        <v>74</v>
      </c>
      <c r="BB637">
        <v>155</v>
      </c>
      <c r="BC637">
        <v>175</v>
      </c>
      <c r="BD637">
        <v>222429211047822</v>
      </c>
      <c r="BE637" t="s">
        <v>8854</v>
      </c>
      <c r="BF637" t="str">
        <f>HYPERLINK("http://dx.doi.org/10.1177/00222429211047822","http://dx.doi.org/10.1177/00222429211047822")</f>
        <v>http://dx.doi.org/10.1177/00222429211047822</v>
      </c>
      <c r="BG637" t="s">
        <v>74</v>
      </c>
      <c r="BH637" t="s">
        <v>6366</v>
      </c>
      <c r="BI637">
        <v>21</v>
      </c>
      <c r="BJ637" t="s">
        <v>153</v>
      </c>
      <c r="BK637" t="s">
        <v>101</v>
      </c>
      <c r="BL637" t="s">
        <v>154</v>
      </c>
      <c r="BM637" t="s">
        <v>8855</v>
      </c>
      <c r="BN637" t="s">
        <v>74</v>
      </c>
      <c r="BO637" t="s">
        <v>662</v>
      </c>
      <c r="BP637" t="s">
        <v>74</v>
      </c>
      <c r="BQ637" t="s">
        <v>74</v>
      </c>
      <c r="BR637" t="s">
        <v>6098</v>
      </c>
      <c r="BS637" t="s">
        <v>8856</v>
      </c>
      <c r="BT637" t="str">
        <f>HYPERLINK("https%3A%2F%2Fwww.webofscience.com%2Fwos%2Fwoscc%2Ffull-record%2FWOS:000721042600001","View Full Record in Web of Science")</f>
        <v>View Full Record in Web of Science</v>
      </c>
      <c r="BU637" t="s">
        <v>6100</v>
      </c>
      <c r="BV637" s="1" t="s">
        <v>6080</v>
      </c>
      <c r="BW637" s="1" t="s">
        <v>6080</v>
      </c>
    </row>
    <row r="638" spans="1:75" x14ac:dyDescent="0.35">
      <c r="A638" t="s">
        <v>72</v>
      </c>
      <c r="B638" t="s">
        <v>9727</v>
      </c>
      <c r="C638" t="s">
        <v>74</v>
      </c>
      <c r="D638" t="s">
        <v>74</v>
      </c>
      <c r="E638" t="s">
        <v>74</v>
      </c>
      <c r="F638" t="s">
        <v>9728</v>
      </c>
      <c r="G638" t="s">
        <v>74</v>
      </c>
      <c r="H638" t="s">
        <v>74</v>
      </c>
      <c r="I638" t="s">
        <v>9729</v>
      </c>
      <c r="J638" t="s">
        <v>9730</v>
      </c>
      <c r="K638" t="s">
        <v>74</v>
      </c>
      <c r="L638" t="s">
        <v>74</v>
      </c>
      <c r="M638" t="s">
        <v>78</v>
      </c>
      <c r="N638" t="s">
        <v>79</v>
      </c>
      <c r="O638" t="s">
        <v>74</v>
      </c>
      <c r="P638" t="s">
        <v>74</v>
      </c>
      <c r="Q638" t="s">
        <v>74</v>
      </c>
      <c r="R638" t="s">
        <v>74</v>
      </c>
      <c r="S638" t="s">
        <v>74</v>
      </c>
      <c r="T638" t="s">
        <v>9731</v>
      </c>
      <c r="U638" t="s">
        <v>9732</v>
      </c>
      <c r="V638" t="s">
        <v>9733</v>
      </c>
      <c r="W638" t="s">
        <v>9734</v>
      </c>
      <c r="X638" t="s">
        <v>9735</v>
      </c>
      <c r="Y638" t="s">
        <v>9736</v>
      </c>
      <c r="Z638" t="s">
        <v>9737</v>
      </c>
      <c r="AA638" t="s">
        <v>9738</v>
      </c>
      <c r="AB638" t="s">
        <v>9739</v>
      </c>
      <c r="AC638" t="s">
        <v>74</v>
      </c>
      <c r="AD638" t="s">
        <v>74</v>
      </c>
      <c r="AE638" t="s">
        <v>74</v>
      </c>
      <c r="AF638" t="s">
        <v>74</v>
      </c>
      <c r="AG638">
        <v>118</v>
      </c>
      <c r="AH638">
        <v>4</v>
      </c>
      <c r="AI638">
        <v>4</v>
      </c>
      <c r="AJ638">
        <v>4</v>
      </c>
      <c r="AK638">
        <v>17</v>
      </c>
      <c r="AL638" t="s">
        <v>9740</v>
      </c>
      <c r="AM638" t="s">
        <v>9741</v>
      </c>
      <c r="AN638" t="s">
        <v>9742</v>
      </c>
      <c r="AO638" t="s">
        <v>9743</v>
      </c>
      <c r="AP638" t="s">
        <v>9744</v>
      </c>
      <c r="AQ638" t="s">
        <v>74</v>
      </c>
      <c r="AR638" t="s">
        <v>9745</v>
      </c>
      <c r="AS638" t="s">
        <v>9746</v>
      </c>
      <c r="AT638" t="s">
        <v>74</v>
      </c>
      <c r="AU638">
        <v>2018</v>
      </c>
      <c r="AV638">
        <v>14</v>
      </c>
      <c r="AW638">
        <v>3</v>
      </c>
      <c r="AX638" t="s">
        <v>74</v>
      </c>
      <c r="AY638" t="s">
        <v>74</v>
      </c>
      <c r="AZ638" t="s">
        <v>74</v>
      </c>
      <c r="BA638" t="s">
        <v>74</v>
      </c>
      <c r="BB638">
        <v>127</v>
      </c>
      <c r="BC638">
        <v>158</v>
      </c>
      <c r="BD638" t="s">
        <v>74</v>
      </c>
      <c r="BE638" t="s">
        <v>9747</v>
      </c>
      <c r="BF638" t="str">
        <f>HYPERLINK("http://dx.doi.org/10.7341/20181436","http://dx.doi.org/10.7341/20181436")</f>
        <v>http://dx.doi.org/10.7341/20181436</v>
      </c>
      <c r="BG638" t="s">
        <v>74</v>
      </c>
      <c r="BH638" t="s">
        <v>74</v>
      </c>
      <c r="BI638">
        <v>32</v>
      </c>
      <c r="BJ638" t="s">
        <v>153</v>
      </c>
      <c r="BK638" t="s">
        <v>3880</v>
      </c>
      <c r="BL638" t="s">
        <v>154</v>
      </c>
      <c r="BM638" t="s">
        <v>9748</v>
      </c>
      <c r="BN638" t="s">
        <v>74</v>
      </c>
      <c r="BO638" t="s">
        <v>4746</v>
      </c>
      <c r="BP638" t="s">
        <v>74</v>
      </c>
      <c r="BQ638" t="s">
        <v>74</v>
      </c>
      <c r="BR638" t="s">
        <v>6098</v>
      </c>
      <c r="BS638" t="s">
        <v>9749</v>
      </c>
      <c r="BT638" t="str">
        <f>HYPERLINK("https%3A%2F%2Fwww.webofscience.com%2Fwos%2Fwoscc%2Ffull-record%2FWOS:000445014700007","View Full Record in Web of Science")</f>
        <v>View Full Record in Web of Science</v>
      </c>
      <c r="BU638" t="s">
        <v>6100</v>
      </c>
      <c r="BV638" s="1" t="s">
        <v>6080</v>
      </c>
      <c r="BW638" s="1" t="s">
        <v>10653</v>
      </c>
    </row>
    <row r="639" spans="1:75" x14ac:dyDescent="0.35">
      <c r="A639" t="s">
        <v>72</v>
      </c>
      <c r="B639" t="s">
        <v>9750</v>
      </c>
      <c r="C639" t="s">
        <v>74</v>
      </c>
      <c r="D639" t="s">
        <v>74</v>
      </c>
      <c r="E639" t="s">
        <v>74</v>
      </c>
      <c r="F639" t="s">
        <v>9751</v>
      </c>
      <c r="G639" t="s">
        <v>74</v>
      </c>
      <c r="H639" t="s">
        <v>74</v>
      </c>
      <c r="I639" t="s">
        <v>9752</v>
      </c>
      <c r="J639" t="s">
        <v>8265</v>
      </c>
      <c r="K639" t="s">
        <v>74</v>
      </c>
      <c r="L639" t="s">
        <v>74</v>
      </c>
      <c r="M639" t="s">
        <v>78</v>
      </c>
      <c r="N639" t="s">
        <v>79</v>
      </c>
      <c r="O639" t="s">
        <v>74</v>
      </c>
      <c r="P639" t="s">
        <v>74</v>
      </c>
      <c r="Q639" t="s">
        <v>74</v>
      </c>
      <c r="R639" t="s">
        <v>74</v>
      </c>
      <c r="S639" t="s">
        <v>74</v>
      </c>
      <c r="T639" t="s">
        <v>9753</v>
      </c>
      <c r="U639" t="s">
        <v>9754</v>
      </c>
      <c r="V639" t="s">
        <v>9755</v>
      </c>
      <c r="W639" t="s">
        <v>9756</v>
      </c>
      <c r="X639" t="s">
        <v>9757</v>
      </c>
      <c r="Y639" t="s">
        <v>9758</v>
      </c>
      <c r="Z639" t="s">
        <v>9759</v>
      </c>
      <c r="AA639" t="s">
        <v>9015</v>
      </c>
      <c r="AB639" t="s">
        <v>9760</v>
      </c>
      <c r="AC639" t="s">
        <v>74</v>
      </c>
      <c r="AD639" t="s">
        <v>74</v>
      </c>
      <c r="AE639" t="s">
        <v>74</v>
      </c>
      <c r="AF639" t="s">
        <v>74</v>
      </c>
      <c r="AG639">
        <v>98</v>
      </c>
      <c r="AH639">
        <v>81</v>
      </c>
      <c r="AI639">
        <v>81</v>
      </c>
      <c r="AJ639">
        <v>6</v>
      </c>
      <c r="AK639">
        <v>133</v>
      </c>
      <c r="AL639" t="s">
        <v>144</v>
      </c>
      <c r="AM639" t="s">
        <v>145</v>
      </c>
      <c r="AN639" t="s">
        <v>146</v>
      </c>
      <c r="AO639" t="s">
        <v>8274</v>
      </c>
      <c r="AP639" t="s">
        <v>8275</v>
      </c>
      <c r="AQ639" t="s">
        <v>74</v>
      </c>
      <c r="AR639" t="s">
        <v>8276</v>
      </c>
      <c r="AS639" t="s">
        <v>8277</v>
      </c>
      <c r="AT639" t="s">
        <v>258</v>
      </c>
      <c r="AU639">
        <v>2017</v>
      </c>
      <c r="AV639">
        <v>20</v>
      </c>
      <c r="AW639">
        <v>4</v>
      </c>
      <c r="AX639" t="s">
        <v>74</v>
      </c>
      <c r="AY639" t="s">
        <v>74</v>
      </c>
      <c r="AZ639" t="s">
        <v>74</v>
      </c>
      <c r="BA639" t="s">
        <v>74</v>
      </c>
      <c r="BB639">
        <v>345</v>
      </c>
      <c r="BC639">
        <v>361</v>
      </c>
      <c r="BD639" t="s">
        <v>74</v>
      </c>
      <c r="BE639" t="s">
        <v>9761</v>
      </c>
      <c r="BF639" t="str">
        <f>HYPERLINK("http://dx.doi.org/10.1177/1094670517715121","http://dx.doi.org/10.1177/1094670517715121")</f>
        <v>http://dx.doi.org/10.1177/1094670517715121</v>
      </c>
      <c r="BG639" t="s">
        <v>74</v>
      </c>
      <c r="BH639" t="s">
        <v>74</v>
      </c>
      <c r="BI639">
        <v>17</v>
      </c>
      <c r="BJ639" t="s">
        <v>153</v>
      </c>
      <c r="BK639" t="s">
        <v>101</v>
      </c>
      <c r="BL639" t="s">
        <v>154</v>
      </c>
      <c r="BM639" t="s">
        <v>9762</v>
      </c>
      <c r="BN639" t="s">
        <v>74</v>
      </c>
      <c r="BO639" t="s">
        <v>74</v>
      </c>
      <c r="BP639" t="s">
        <v>74</v>
      </c>
      <c r="BQ639" t="s">
        <v>74</v>
      </c>
      <c r="BR639" t="s">
        <v>6098</v>
      </c>
      <c r="BS639" t="s">
        <v>9763</v>
      </c>
      <c r="BT639" t="str">
        <f>HYPERLINK("https%3A%2F%2Fwww.webofscience.com%2Fwos%2Fwoscc%2Ffull-record%2FWOS:000413051700001","View Full Record in Web of Science")</f>
        <v>View Full Record in Web of Science</v>
      </c>
      <c r="BU639" t="s">
        <v>6100</v>
      </c>
      <c r="BV639" s="1" t="s">
        <v>6080</v>
      </c>
      <c r="BW639" s="1" t="s">
        <v>10653</v>
      </c>
    </row>
    <row r="640" spans="1:75" x14ac:dyDescent="0.35">
      <c r="A640" t="s">
        <v>72</v>
      </c>
      <c r="B640" t="s">
        <v>9764</v>
      </c>
      <c r="C640" t="s">
        <v>74</v>
      </c>
      <c r="D640" t="s">
        <v>74</v>
      </c>
      <c r="E640" t="s">
        <v>74</v>
      </c>
      <c r="F640" t="s">
        <v>9765</v>
      </c>
      <c r="G640" t="s">
        <v>74</v>
      </c>
      <c r="H640" t="s">
        <v>74</v>
      </c>
      <c r="I640" t="s">
        <v>9766</v>
      </c>
      <c r="J640" t="s">
        <v>9767</v>
      </c>
      <c r="K640" t="s">
        <v>74</v>
      </c>
      <c r="L640" t="s">
        <v>74</v>
      </c>
      <c r="M640" t="s">
        <v>78</v>
      </c>
      <c r="N640" t="s">
        <v>79</v>
      </c>
      <c r="O640" t="s">
        <v>74</v>
      </c>
      <c r="P640" t="s">
        <v>74</v>
      </c>
      <c r="Q640" t="s">
        <v>74</v>
      </c>
      <c r="R640" t="s">
        <v>74</v>
      </c>
      <c r="S640" t="s">
        <v>74</v>
      </c>
      <c r="T640" t="s">
        <v>9768</v>
      </c>
      <c r="U640" t="s">
        <v>9769</v>
      </c>
      <c r="V640" t="s">
        <v>9770</v>
      </c>
      <c r="W640" t="s">
        <v>9771</v>
      </c>
      <c r="X640" t="s">
        <v>9772</v>
      </c>
      <c r="Y640" t="s">
        <v>9773</v>
      </c>
      <c r="Z640" t="s">
        <v>9774</v>
      </c>
      <c r="AA640" t="s">
        <v>9775</v>
      </c>
      <c r="AB640" t="s">
        <v>9776</v>
      </c>
      <c r="AC640" t="s">
        <v>74</v>
      </c>
      <c r="AD640" t="s">
        <v>74</v>
      </c>
      <c r="AE640" t="s">
        <v>74</v>
      </c>
      <c r="AF640" t="s">
        <v>74</v>
      </c>
      <c r="AG640">
        <v>86</v>
      </c>
      <c r="AH640">
        <v>8</v>
      </c>
      <c r="AI640">
        <v>8</v>
      </c>
      <c r="AJ640">
        <v>13</v>
      </c>
      <c r="AK640">
        <v>50</v>
      </c>
      <c r="AL640" t="s">
        <v>820</v>
      </c>
      <c r="AM640" t="s">
        <v>325</v>
      </c>
      <c r="AN640" t="s">
        <v>1604</v>
      </c>
      <c r="AO640" t="s">
        <v>9777</v>
      </c>
      <c r="AP640" t="s">
        <v>9778</v>
      </c>
      <c r="AQ640" t="s">
        <v>74</v>
      </c>
      <c r="AR640" t="s">
        <v>9779</v>
      </c>
      <c r="AS640" t="s">
        <v>9780</v>
      </c>
      <c r="AT640" t="s">
        <v>348</v>
      </c>
      <c r="AU640">
        <v>2022</v>
      </c>
      <c r="AV640">
        <v>15</v>
      </c>
      <c r="AW640" t="s">
        <v>1947</v>
      </c>
      <c r="AX640" t="s">
        <v>74</v>
      </c>
      <c r="AY640" t="s">
        <v>74</v>
      </c>
      <c r="AZ640" t="s">
        <v>74</v>
      </c>
      <c r="BA640" t="s">
        <v>74</v>
      </c>
      <c r="BB640">
        <v>609</v>
      </c>
      <c r="BC640">
        <v>626</v>
      </c>
      <c r="BD640" t="s">
        <v>74</v>
      </c>
      <c r="BE640" t="s">
        <v>9781</v>
      </c>
      <c r="BF640" t="str">
        <f>HYPERLINK("http://dx.doi.org/10.1007/s12063-021-00212-0","http://dx.doi.org/10.1007/s12063-021-00212-0")</f>
        <v>http://dx.doi.org/10.1007/s12063-021-00212-0</v>
      </c>
      <c r="BG640" t="s">
        <v>74</v>
      </c>
      <c r="BH640" t="s">
        <v>7900</v>
      </c>
      <c r="BI640">
        <v>18</v>
      </c>
      <c r="BJ640" t="s">
        <v>2493</v>
      </c>
      <c r="BK640" t="s">
        <v>101</v>
      </c>
      <c r="BL640" t="s">
        <v>154</v>
      </c>
      <c r="BM640" t="s">
        <v>9782</v>
      </c>
      <c r="BN640" t="s">
        <v>74</v>
      </c>
      <c r="BO640" t="s">
        <v>828</v>
      </c>
      <c r="BP640" t="s">
        <v>74</v>
      </c>
      <c r="BQ640" t="s">
        <v>74</v>
      </c>
      <c r="BR640" t="s">
        <v>6098</v>
      </c>
      <c r="BS640" t="s">
        <v>9783</v>
      </c>
      <c r="BT640" t="str">
        <f>HYPERLINK("https%3A%2F%2Fwww.webofscience.com%2Fwos%2Fwoscc%2Ffull-record%2FWOS:000698137600002","View Full Record in Web of Science")</f>
        <v>View Full Record in Web of Science</v>
      </c>
      <c r="BU640" t="s">
        <v>6100</v>
      </c>
      <c r="BV640" s="1" t="s">
        <v>6080</v>
      </c>
      <c r="BW640" s="1" t="s">
        <v>10653</v>
      </c>
    </row>
    <row r="641" spans="1:75" x14ac:dyDescent="0.35">
      <c r="A641" t="s">
        <v>72</v>
      </c>
      <c r="B641" t="s">
        <v>8909</v>
      </c>
      <c r="C641" t="s">
        <v>74</v>
      </c>
      <c r="D641" t="s">
        <v>74</v>
      </c>
      <c r="E641" t="s">
        <v>74</v>
      </c>
      <c r="F641" t="s">
        <v>8910</v>
      </c>
      <c r="G641" t="s">
        <v>74</v>
      </c>
      <c r="H641" t="s">
        <v>74</v>
      </c>
      <c r="I641" t="s">
        <v>8911</v>
      </c>
      <c r="J641" t="s">
        <v>198</v>
      </c>
      <c r="K641" t="s">
        <v>74</v>
      </c>
      <c r="L641" t="s">
        <v>74</v>
      </c>
      <c r="M641" t="s">
        <v>78</v>
      </c>
      <c r="N641" t="s">
        <v>79</v>
      </c>
      <c r="O641" t="s">
        <v>74</v>
      </c>
      <c r="P641" t="s">
        <v>74</v>
      </c>
      <c r="Q641" t="s">
        <v>74</v>
      </c>
      <c r="R641" t="s">
        <v>74</v>
      </c>
      <c r="S641" t="s">
        <v>74</v>
      </c>
      <c r="T641" t="s">
        <v>8912</v>
      </c>
      <c r="U641" t="s">
        <v>8913</v>
      </c>
      <c r="V641" t="s">
        <v>8914</v>
      </c>
      <c r="W641" t="s">
        <v>8915</v>
      </c>
      <c r="X641" t="s">
        <v>8916</v>
      </c>
      <c r="Y641" t="s">
        <v>8917</v>
      </c>
      <c r="Z641" t="s">
        <v>8918</v>
      </c>
      <c r="AA641" t="s">
        <v>8919</v>
      </c>
      <c r="AB641" t="s">
        <v>8920</v>
      </c>
      <c r="AC641" t="s">
        <v>8921</v>
      </c>
      <c r="AD641" t="s">
        <v>8922</v>
      </c>
      <c r="AE641" t="s">
        <v>8921</v>
      </c>
      <c r="AF641" t="s">
        <v>74</v>
      </c>
      <c r="AG641">
        <v>91</v>
      </c>
      <c r="AH641">
        <v>1</v>
      </c>
      <c r="AI641">
        <v>1</v>
      </c>
      <c r="AJ641">
        <v>39</v>
      </c>
      <c r="AK641">
        <v>39</v>
      </c>
      <c r="AL641" t="s">
        <v>206</v>
      </c>
      <c r="AM641" t="s">
        <v>207</v>
      </c>
      <c r="AN641" t="s">
        <v>208</v>
      </c>
      <c r="AO641" t="s">
        <v>209</v>
      </c>
      <c r="AP641" t="s">
        <v>210</v>
      </c>
      <c r="AQ641" t="s">
        <v>74</v>
      </c>
      <c r="AR641" t="s">
        <v>211</v>
      </c>
      <c r="AS641" t="s">
        <v>212</v>
      </c>
      <c r="AT641" t="s">
        <v>348</v>
      </c>
      <c r="AU641">
        <v>2022</v>
      </c>
      <c r="AV641">
        <v>39</v>
      </c>
      <c r="AW641">
        <v>12</v>
      </c>
      <c r="AX641" t="s">
        <v>74</v>
      </c>
      <c r="AY641" t="s">
        <v>74</v>
      </c>
      <c r="AZ641" t="s">
        <v>74</v>
      </c>
      <c r="BA641" t="s">
        <v>74</v>
      </c>
      <c r="BB641">
        <v>2384</v>
      </c>
      <c r="BC641">
        <v>2400</v>
      </c>
      <c r="BD641" t="s">
        <v>74</v>
      </c>
      <c r="BE641" t="s">
        <v>8923</v>
      </c>
      <c r="BF641" t="str">
        <f>HYPERLINK("http://dx.doi.org/10.1002/mar.21742","http://dx.doi.org/10.1002/mar.21742")</f>
        <v>http://dx.doi.org/10.1002/mar.21742</v>
      </c>
      <c r="BG641" t="s">
        <v>74</v>
      </c>
      <c r="BH641" t="s">
        <v>7885</v>
      </c>
      <c r="BI641">
        <v>17</v>
      </c>
      <c r="BJ641" t="s">
        <v>215</v>
      </c>
      <c r="BK641" t="s">
        <v>101</v>
      </c>
      <c r="BL641" t="s">
        <v>216</v>
      </c>
      <c r="BM641" t="s">
        <v>8088</v>
      </c>
      <c r="BN641" t="s">
        <v>74</v>
      </c>
      <c r="BO641" t="s">
        <v>74</v>
      </c>
      <c r="BP641" t="s">
        <v>74</v>
      </c>
      <c r="BQ641" t="s">
        <v>74</v>
      </c>
      <c r="BR641" t="s">
        <v>6098</v>
      </c>
      <c r="BS641" t="s">
        <v>8924</v>
      </c>
      <c r="BT641" t="str">
        <f>HYPERLINK("https%3A%2F%2Fwww.webofscience.com%2Fwos%2Fwoscc%2Ffull-record%2FWOS:000869362700001","View Full Record in Web of Science")</f>
        <v>View Full Record in Web of Science</v>
      </c>
      <c r="BU641" t="s">
        <v>6100</v>
      </c>
      <c r="BV641" s="1" t="s">
        <v>6080</v>
      </c>
      <c r="BW641" s="1" t="s">
        <v>6080</v>
      </c>
    </row>
    <row r="642" spans="1:75" x14ac:dyDescent="0.35">
      <c r="A642" t="s">
        <v>72</v>
      </c>
      <c r="B642" t="s">
        <v>8989</v>
      </c>
      <c r="C642" t="s">
        <v>74</v>
      </c>
      <c r="D642" t="s">
        <v>74</v>
      </c>
      <c r="E642" t="s">
        <v>74</v>
      </c>
      <c r="F642" t="s">
        <v>8990</v>
      </c>
      <c r="G642" t="s">
        <v>74</v>
      </c>
      <c r="H642" t="s">
        <v>74</v>
      </c>
      <c r="I642" t="s">
        <v>8991</v>
      </c>
      <c r="J642" t="s">
        <v>6581</v>
      </c>
      <c r="K642" t="s">
        <v>74</v>
      </c>
      <c r="L642" t="s">
        <v>74</v>
      </c>
      <c r="M642" t="s">
        <v>78</v>
      </c>
      <c r="N642" t="s">
        <v>79</v>
      </c>
      <c r="O642" t="s">
        <v>74</v>
      </c>
      <c r="P642" t="s">
        <v>74</v>
      </c>
      <c r="Q642" t="s">
        <v>74</v>
      </c>
      <c r="R642" t="s">
        <v>74</v>
      </c>
      <c r="S642" t="s">
        <v>74</v>
      </c>
      <c r="T642" t="s">
        <v>8992</v>
      </c>
      <c r="U642" t="s">
        <v>8993</v>
      </c>
      <c r="V642" t="s">
        <v>8994</v>
      </c>
      <c r="W642" t="s">
        <v>8995</v>
      </c>
      <c r="X642" t="s">
        <v>8996</v>
      </c>
      <c r="Y642" t="s">
        <v>8997</v>
      </c>
      <c r="Z642" t="s">
        <v>8998</v>
      </c>
      <c r="AA642" t="s">
        <v>8999</v>
      </c>
      <c r="AB642" t="s">
        <v>9000</v>
      </c>
      <c r="AC642" t="s">
        <v>74</v>
      </c>
      <c r="AD642" t="s">
        <v>74</v>
      </c>
      <c r="AE642" t="s">
        <v>74</v>
      </c>
      <c r="AF642" t="s">
        <v>74</v>
      </c>
      <c r="AG642">
        <v>65</v>
      </c>
      <c r="AH642">
        <v>3</v>
      </c>
      <c r="AI642">
        <v>3</v>
      </c>
      <c r="AJ642">
        <v>5</v>
      </c>
      <c r="AK642">
        <v>26</v>
      </c>
      <c r="AL642" t="s">
        <v>1982</v>
      </c>
      <c r="AM642" t="s">
        <v>1983</v>
      </c>
      <c r="AN642" t="s">
        <v>2573</v>
      </c>
      <c r="AO642" t="s">
        <v>6591</v>
      </c>
      <c r="AP642" t="s">
        <v>6592</v>
      </c>
      <c r="AQ642" t="s">
        <v>74</v>
      </c>
      <c r="AR642" t="s">
        <v>6593</v>
      </c>
      <c r="AS642" t="s">
        <v>6594</v>
      </c>
      <c r="AT642" t="s">
        <v>5302</v>
      </c>
      <c r="AU642">
        <v>2022</v>
      </c>
      <c r="AV642">
        <v>31</v>
      </c>
      <c r="AW642">
        <v>5</v>
      </c>
      <c r="AX642" t="s">
        <v>74</v>
      </c>
      <c r="AY642" t="s">
        <v>74</v>
      </c>
      <c r="AZ642" t="s">
        <v>74</v>
      </c>
      <c r="BA642" t="s">
        <v>74</v>
      </c>
      <c r="BB642">
        <v>702</v>
      </c>
      <c r="BC642">
        <v>717</v>
      </c>
      <c r="BD642" t="s">
        <v>74</v>
      </c>
      <c r="BE642" t="s">
        <v>9001</v>
      </c>
      <c r="BF642" t="str">
        <f>HYPERLINK("http://dx.doi.org/10.1108/JPBM-01-2021-3341","http://dx.doi.org/10.1108/JPBM-01-2021-3341")</f>
        <v>http://dx.doi.org/10.1108/JPBM-01-2021-3341</v>
      </c>
      <c r="BG642" t="s">
        <v>74</v>
      </c>
      <c r="BH642" t="s">
        <v>7900</v>
      </c>
      <c r="BI642">
        <v>16</v>
      </c>
      <c r="BJ642" t="s">
        <v>877</v>
      </c>
      <c r="BK642" t="s">
        <v>101</v>
      </c>
      <c r="BL642" t="s">
        <v>154</v>
      </c>
      <c r="BM642" t="s">
        <v>9002</v>
      </c>
      <c r="BN642" t="s">
        <v>74</v>
      </c>
      <c r="BO642" t="s">
        <v>74</v>
      </c>
      <c r="BP642" t="s">
        <v>74</v>
      </c>
      <c r="BQ642" t="s">
        <v>74</v>
      </c>
      <c r="BR642" t="s">
        <v>6098</v>
      </c>
      <c r="BS642" t="s">
        <v>9003</v>
      </c>
      <c r="BT642" t="str">
        <f>HYPERLINK("https%3A%2F%2Fwww.webofscience.com%2Fwos%2Fwoscc%2Ffull-record%2FWOS:000703145500001","View Full Record in Web of Science")</f>
        <v>View Full Record in Web of Science</v>
      </c>
      <c r="BU642" t="s">
        <v>6100</v>
      </c>
      <c r="BV642" s="1" t="s">
        <v>6080</v>
      </c>
      <c r="BW642" s="1" t="s">
        <v>6080</v>
      </c>
    </row>
    <row r="643" spans="1:75" ht="409.5" x14ac:dyDescent="0.35">
      <c r="A643" t="s">
        <v>72</v>
      </c>
      <c r="B643" t="s">
        <v>9317</v>
      </c>
      <c r="C643" t="s">
        <v>74</v>
      </c>
      <c r="D643" t="s">
        <v>74</v>
      </c>
      <c r="E643" t="s">
        <v>74</v>
      </c>
      <c r="F643" t="s">
        <v>9318</v>
      </c>
      <c r="G643" t="s">
        <v>74</v>
      </c>
      <c r="H643" t="s">
        <v>74</v>
      </c>
      <c r="I643" t="s">
        <v>9319</v>
      </c>
      <c r="J643" t="s">
        <v>6330</v>
      </c>
      <c r="K643" t="s">
        <v>74</v>
      </c>
      <c r="L643" t="s">
        <v>74</v>
      </c>
      <c r="M643" t="s">
        <v>78</v>
      </c>
      <c r="N643" t="s">
        <v>79</v>
      </c>
      <c r="O643" t="s">
        <v>74</v>
      </c>
      <c r="P643" t="s">
        <v>74</v>
      </c>
      <c r="Q643" t="s">
        <v>74</v>
      </c>
      <c r="R643" t="s">
        <v>74</v>
      </c>
      <c r="S643" t="s">
        <v>74</v>
      </c>
      <c r="T643" t="s">
        <v>9320</v>
      </c>
      <c r="U643" t="s">
        <v>9321</v>
      </c>
      <c r="V643" s="1" t="s">
        <v>9322</v>
      </c>
      <c r="W643" t="s">
        <v>9323</v>
      </c>
      <c r="X643" t="s">
        <v>9324</v>
      </c>
      <c r="Y643" t="s">
        <v>9325</v>
      </c>
      <c r="Z643" t="s">
        <v>9326</v>
      </c>
      <c r="AA643" t="s">
        <v>74</v>
      </c>
      <c r="AB643" t="s">
        <v>74</v>
      </c>
      <c r="AC643" t="s">
        <v>74</v>
      </c>
      <c r="AD643" t="s">
        <v>74</v>
      </c>
      <c r="AE643" t="s">
        <v>74</v>
      </c>
      <c r="AF643" t="s">
        <v>74</v>
      </c>
      <c r="AG643">
        <v>54</v>
      </c>
      <c r="AH643">
        <v>4</v>
      </c>
      <c r="AI643">
        <v>4</v>
      </c>
      <c r="AJ643">
        <v>2</v>
      </c>
      <c r="AK643">
        <v>13</v>
      </c>
      <c r="AL643" t="s">
        <v>1180</v>
      </c>
      <c r="AM643" t="s">
        <v>1181</v>
      </c>
      <c r="AN643" t="s">
        <v>1182</v>
      </c>
      <c r="AO643" t="s">
        <v>6339</v>
      </c>
      <c r="AP643" t="s">
        <v>6340</v>
      </c>
      <c r="AQ643" t="s">
        <v>74</v>
      </c>
      <c r="AR643" t="s">
        <v>6341</v>
      </c>
      <c r="AS643" t="s">
        <v>6342</v>
      </c>
      <c r="AT643" t="s">
        <v>9327</v>
      </c>
      <c r="AU643">
        <v>2022</v>
      </c>
      <c r="AV643">
        <v>41</v>
      </c>
      <c r="AW643">
        <v>5</v>
      </c>
      <c r="AX643" t="s">
        <v>74</v>
      </c>
      <c r="AY643" t="s">
        <v>74</v>
      </c>
      <c r="AZ643" t="s">
        <v>259</v>
      </c>
      <c r="BA643" t="s">
        <v>74</v>
      </c>
      <c r="BB643">
        <v>892</v>
      </c>
      <c r="BC643">
        <v>909</v>
      </c>
      <c r="BD643" t="s">
        <v>74</v>
      </c>
      <c r="BE643" t="s">
        <v>9328</v>
      </c>
      <c r="BF643" t="str">
        <f>HYPERLINK("http://dx.doi.org/10.1080/02650487.2021.1988392","http://dx.doi.org/10.1080/02650487.2021.1988392")</f>
        <v>http://dx.doi.org/10.1080/02650487.2021.1988392</v>
      </c>
      <c r="BG643" t="s">
        <v>74</v>
      </c>
      <c r="BH643" t="s">
        <v>4579</v>
      </c>
      <c r="BI643">
        <v>18</v>
      </c>
      <c r="BJ643" t="s">
        <v>2010</v>
      </c>
      <c r="BK643" t="s">
        <v>101</v>
      </c>
      <c r="BL643" t="s">
        <v>2011</v>
      </c>
      <c r="BM643" t="s">
        <v>9329</v>
      </c>
      <c r="BN643" t="s">
        <v>74</v>
      </c>
      <c r="BO643" t="s">
        <v>74</v>
      </c>
      <c r="BP643" t="s">
        <v>74</v>
      </c>
      <c r="BQ643" t="s">
        <v>74</v>
      </c>
      <c r="BR643" t="s">
        <v>6098</v>
      </c>
      <c r="BS643" t="s">
        <v>9330</v>
      </c>
      <c r="BT643" t="str">
        <f>HYPERLINK("https%3A%2F%2Fwww.webofscience.com%2Fwos%2Fwoscc%2Ffull-record%2FWOS:000707590600001","View Full Record in Web of Science")</f>
        <v>View Full Record in Web of Science</v>
      </c>
      <c r="BU643" t="s">
        <v>6100</v>
      </c>
      <c r="BV643" s="1" t="s">
        <v>6080</v>
      </c>
      <c r="BW643" s="1" t="s">
        <v>6080</v>
      </c>
    </row>
    <row r="644" spans="1:75" x14ac:dyDescent="0.35">
      <c r="A644" t="s">
        <v>72</v>
      </c>
      <c r="B644" t="s">
        <v>9331</v>
      </c>
      <c r="C644" t="s">
        <v>74</v>
      </c>
      <c r="D644" t="s">
        <v>74</v>
      </c>
      <c r="E644" t="s">
        <v>74</v>
      </c>
      <c r="F644" t="s">
        <v>9332</v>
      </c>
      <c r="G644" t="s">
        <v>74</v>
      </c>
      <c r="H644" t="s">
        <v>74</v>
      </c>
      <c r="I644" t="s">
        <v>9333</v>
      </c>
      <c r="J644" t="s">
        <v>9334</v>
      </c>
      <c r="K644" t="s">
        <v>74</v>
      </c>
      <c r="L644" t="s">
        <v>74</v>
      </c>
      <c r="M644" t="s">
        <v>78</v>
      </c>
      <c r="N644" t="s">
        <v>79</v>
      </c>
      <c r="O644" t="s">
        <v>74</v>
      </c>
      <c r="P644" t="s">
        <v>74</v>
      </c>
      <c r="Q644" t="s">
        <v>74</v>
      </c>
      <c r="R644" t="s">
        <v>74</v>
      </c>
      <c r="S644" t="s">
        <v>74</v>
      </c>
      <c r="T644" t="s">
        <v>9335</v>
      </c>
      <c r="U644" t="s">
        <v>74</v>
      </c>
      <c r="V644" t="s">
        <v>9336</v>
      </c>
      <c r="W644" t="s">
        <v>9337</v>
      </c>
      <c r="X644" t="s">
        <v>9338</v>
      </c>
      <c r="Y644" t="s">
        <v>9339</v>
      </c>
      <c r="Z644" t="s">
        <v>9340</v>
      </c>
      <c r="AA644" t="s">
        <v>9341</v>
      </c>
      <c r="AB644" t="s">
        <v>9342</v>
      </c>
      <c r="AC644" t="s">
        <v>74</v>
      </c>
      <c r="AD644" t="s">
        <v>74</v>
      </c>
      <c r="AE644" t="s">
        <v>74</v>
      </c>
      <c r="AF644" t="s">
        <v>74</v>
      </c>
      <c r="AG644">
        <v>44</v>
      </c>
      <c r="AH644">
        <v>0</v>
      </c>
      <c r="AI644">
        <v>0</v>
      </c>
      <c r="AJ644">
        <v>4</v>
      </c>
      <c r="AK644">
        <v>4</v>
      </c>
      <c r="AL644" t="s">
        <v>9343</v>
      </c>
      <c r="AM644" t="s">
        <v>9344</v>
      </c>
      <c r="AN644" t="s">
        <v>9345</v>
      </c>
      <c r="AO644" t="s">
        <v>74</v>
      </c>
      <c r="AP644" t="s">
        <v>9346</v>
      </c>
      <c r="AQ644" t="s">
        <v>74</v>
      </c>
      <c r="AR644" t="s">
        <v>9347</v>
      </c>
      <c r="AS644" t="s">
        <v>9348</v>
      </c>
      <c r="AT644" t="s">
        <v>704</v>
      </c>
      <c r="AU644">
        <v>2022</v>
      </c>
      <c r="AV644">
        <v>3</v>
      </c>
      <c r="AW644">
        <v>2</v>
      </c>
      <c r="AX644" t="s">
        <v>74</v>
      </c>
      <c r="AY644" t="s">
        <v>74</v>
      </c>
      <c r="AZ644" t="s">
        <v>74</v>
      </c>
      <c r="BA644" t="s">
        <v>74</v>
      </c>
      <c r="BB644">
        <v>107</v>
      </c>
      <c r="BC644">
        <v>120</v>
      </c>
      <c r="BD644" t="s">
        <v>74</v>
      </c>
      <c r="BE644" t="s">
        <v>9349</v>
      </c>
      <c r="BF644" t="str">
        <f>HYPERLINK("http://dx.doi.org/10.46656/access.2022.3.2(2)","http://dx.doi.org/10.46656/access.2022.3.2(2)")</f>
        <v>http://dx.doi.org/10.46656/access.2022.3.2(2)</v>
      </c>
      <c r="BG644" t="s">
        <v>74</v>
      </c>
      <c r="BH644" t="s">
        <v>74</v>
      </c>
      <c r="BI644">
        <v>14</v>
      </c>
      <c r="BJ644" t="s">
        <v>9350</v>
      </c>
      <c r="BK644" t="s">
        <v>3880</v>
      </c>
      <c r="BL644" t="s">
        <v>3857</v>
      </c>
      <c r="BM644" t="s">
        <v>9351</v>
      </c>
      <c r="BN644" t="s">
        <v>74</v>
      </c>
      <c r="BO644" t="s">
        <v>4746</v>
      </c>
      <c r="BP644" t="s">
        <v>74</v>
      </c>
      <c r="BQ644" t="s">
        <v>74</v>
      </c>
      <c r="BR644" t="s">
        <v>6098</v>
      </c>
      <c r="BS644" t="s">
        <v>9352</v>
      </c>
      <c r="BT644" t="str">
        <f>HYPERLINK("https%3A%2F%2Fwww.webofscience.com%2Fwos%2Fwoscc%2Ffull-record%2FWOS:000894273300002","View Full Record in Web of Science")</f>
        <v>View Full Record in Web of Science</v>
      </c>
      <c r="BU644" t="s">
        <v>6100</v>
      </c>
      <c r="BV644" s="1" t="s">
        <v>10653</v>
      </c>
    </row>
    <row r="645" spans="1:75" x14ac:dyDescent="0.35">
      <c r="A645" t="s">
        <v>72</v>
      </c>
      <c r="B645" t="s">
        <v>9493</v>
      </c>
      <c r="C645" t="s">
        <v>74</v>
      </c>
      <c r="D645" t="s">
        <v>74</v>
      </c>
      <c r="E645" t="s">
        <v>74</v>
      </c>
      <c r="F645" t="s">
        <v>9494</v>
      </c>
      <c r="G645" t="s">
        <v>74</v>
      </c>
      <c r="H645" t="s">
        <v>74</v>
      </c>
      <c r="I645" t="s">
        <v>9495</v>
      </c>
      <c r="J645" t="s">
        <v>9496</v>
      </c>
      <c r="K645" t="s">
        <v>74</v>
      </c>
      <c r="L645" t="s">
        <v>74</v>
      </c>
      <c r="M645" t="s">
        <v>78</v>
      </c>
      <c r="N645" t="s">
        <v>79</v>
      </c>
      <c r="O645" t="s">
        <v>74</v>
      </c>
      <c r="P645" t="s">
        <v>74</v>
      </c>
      <c r="Q645" t="s">
        <v>74</v>
      </c>
      <c r="R645" t="s">
        <v>74</v>
      </c>
      <c r="S645" t="s">
        <v>74</v>
      </c>
      <c r="T645" t="s">
        <v>9497</v>
      </c>
      <c r="U645" t="s">
        <v>9498</v>
      </c>
      <c r="V645" t="s">
        <v>9499</v>
      </c>
      <c r="W645" t="s">
        <v>9500</v>
      </c>
      <c r="X645" t="s">
        <v>9501</v>
      </c>
      <c r="Y645" t="s">
        <v>9502</v>
      </c>
      <c r="Z645" t="s">
        <v>9503</v>
      </c>
      <c r="AA645" t="s">
        <v>9504</v>
      </c>
      <c r="AB645" t="s">
        <v>9505</v>
      </c>
      <c r="AC645" t="s">
        <v>74</v>
      </c>
      <c r="AD645" t="s">
        <v>74</v>
      </c>
      <c r="AE645" t="s">
        <v>74</v>
      </c>
      <c r="AF645" t="s">
        <v>74</v>
      </c>
      <c r="AG645">
        <v>80</v>
      </c>
      <c r="AH645">
        <v>4</v>
      </c>
      <c r="AI645">
        <v>4</v>
      </c>
      <c r="AJ645">
        <v>3</v>
      </c>
      <c r="AK645">
        <v>24</v>
      </c>
      <c r="AL645" t="s">
        <v>1982</v>
      </c>
      <c r="AM645" t="s">
        <v>1983</v>
      </c>
      <c r="AN645" t="s">
        <v>2573</v>
      </c>
      <c r="AO645" t="s">
        <v>9506</v>
      </c>
      <c r="AP645" t="s">
        <v>9507</v>
      </c>
      <c r="AQ645" t="s">
        <v>74</v>
      </c>
      <c r="AR645" t="s">
        <v>9508</v>
      </c>
      <c r="AS645" t="s">
        <v>9509</v>
      </c>
      <c r="AT645" t="s">
        <v>9510</v>
      </c>
      <c r="AU645">
        <v>2022</v>
      </c>
      <c r="AV645">
        <v>50</v>
      </c>
      <c r="AW645">
        <v>2</v>
      </c>
      <c r="AX645" t="s">
        <v>74</v>
      </c>
      <c r="AY645" t="s">
        <v>74</v>
      </c>
      <c r="AZ645" t="s">
        <v>259</v>
      </c>
      <c r="BA645" t="s">
        <v>74</v>
      </c>
      <c r="BB645">
        <v>183</v>
      </c>
      <c r="BC645">
        <v>205</v>
      </c>
      <c r="BD645" t="s">
        <v>74</v>
      </c>
      <c r="BE645" t="s">
        <v>9511</v>
      </c>
      <c r="BF645" t="str">
        <f>HYPERLINK("http://dx.doi.org/10.1108/IJRDM-04-2021-0207","http://dx.doi.org/10.1108/IJRDM-04-2021-0207")</f>
        <v>http://dx.doi.org/10.1108/IJRDM-04-2021-0207</v>
      </c>
      <c r="BG645" t="s">
        <v>74</v>
      </c>
      <c r="BH645" t="s">
        <v>4579</v>
      </c>
      <c r="BI645">
        <v>23</v>
      </c>
      <c r="BJ645" t="s">
        <v>877</v>
      </c>
      <c r="BK645" t="s">
        <v>101</v>
      </c>
      <c r="BL645" t="s">
        <v>154</v>
      </c>
      <c r="BM645" t="s">
        <v>9512</v>
      </c>
      <c r="BN645" t="s">
        <v>74</v>
      </c>
      <c r="BO645" t="s">
        <v>74</v>
      </c>
      <c r="BP645" t="s">
        <v>74</v>
      </c>
      <c r="BQ645" t="s">
        <v>74</v>
      </c>
      <c r="BR645" t="s">
        <v>6098</v>
      </c>
      <c r="BS645" t="s">
        <v>9513</v>
      </c>
      <c r="BT645" t="str">
        <f>HYPERLINK("https%3A%2F%2Fwww.webofscience.com%2Fwos%2Fwoscc%2Ffull-record%2FWOS:000712502200001","View Full Record in Web of Science")</f>
        <v>View Full Record in Web of Science</v>
      </c>
      <c r="BU645" t="s">
        <v>6100</v>
      </c>
      <c r="BV645" s="1" t="s">
        <v>10653</v>
      </c>
    </row>
    <row r="646" spans="1:75" x14ac:dyDescent="0.35">
      <c r="A646" t="s">
        <v>72</v>
      </c>
      <c r="B646" t="s">
        <v>9856</v>
      </c>
      <c r="C646" t="s">
        <v>74</v>
      </c>
      <c r="D646" t="s">
        <v>74</v>
      </c>
      <c r="E646" t="s">
        <v>74</v>
      </c>
      <c r="F646" t="s">
        <v>9857</v>
      </c>
      <c r="G646" t="s">
        <v>74</v>
      </c>
      <c r="H646" t="s">
        <v>74</v>
      </c>
      <c r="I646" t="s">
        <v>9858</v>
      </c>
      <c r="J646" t="s">
        <v>9859</v>
      </c>
      <c r="K646" t="s">
        <v>74</v>
      </c>
      <c r="L646" t="s">
        <v>74</v>
      </c>
      <c r="M646" t="s">
        <v>78</v>
      </c>
      <c r="N646" t="s">
        <v>79</v>
      </c>
      <c r="O646" t="s">
        <v>74</v>
      </c>
      <c r="P646" t="s">
        <v>74</v>
      </c>
      <c r="Q646" t="s">
        <v>74</v>
      </c>
      <c r="R646" t="s">
        <v>74</v>
      </c>
      <c r="S646" t="s">
        <v>74</v>
      </c>
      <c r="T646" t="s">
        <v>9860</v>
      </c>
      <c r="U646" t="s">
        <v>74</v>
      </c>
      <c r="V646" t="s">
        <v>9861</v>
      </c>
      <c r="W646" t="s">
        <v>9862</v>
      </c>
      <c r="X646" t="s">
        <v>9863</v>
      </c>
      <c r="Y646" t="s">
        <v>9864</v>
      </c>
      <c r="Z646" t="s">
        <v>9865</v>
      </c>
      <c r="AA646" t="s">
        <v>9866</v>
      </c>
      <c r="AB646" t="s">
        <v>9867</v>
      </c>
      <c r="AC646" t="s">
        <v>9868</v>
      </c>
      <c r="AD646" t="s">
        <v>9869</v>
      </c>
      <c r="AE646" t="s">
        <v>9870</v>
      </c>
      <c r="AF646" t="s">
        <v>74</v>
      </c>
      <c r="AG646">
        <v>24</v>
      </c>
      <c r="AH646">
        <v>24</v>
      </c>
      <c r="AI646">
        <v>25</v>
      </c>
      <c r="AJ646">
        <v>6</v>
      </c>
      <c r="AK646">
        <v>72</v>
      </c>
      <c r="AL646" t="s">
        <v>409</v>
      </c>
      <c r="AM646" t="s">
        <v>410</v>
      </c>
      <c r="AN646" t="s">
        <v>411</v>
      </c>
      <c r="AO646" t="s">
        <v>9871</v>
      </c>
      <c r="AP646" t="s">
        <v>9872</v>
      </c>
      <c r="AQ646" t="s">
        <v>74</v>
      </c>
      <c r="AR646" t="s">
        <v>9873</v>
      </c>
      <c r="AS646" t="s">
        <v>9874</v>
      </c>
      <c r="AT646" t="s">
        <v>3368</v>
      </c>
      <c r="AU646">
        <v>2018</v>
      </c>
      <c r="AV646">
        <v>34</v>
      </c>
      <c r="AW646">
        <v>2</v>
      </c>
      <c r="AX646" t="s">
        <v>74</v>
      </c>
      <c r="AY646" t="s">
        <v>74</v>
      </c>
      <c r="AZ646" t="s">
        <v>74</v>
      </c>
      <c r="BA646" t="s">
        <v>74</v>
      </c>
      <c r="BB646">
        <v>355</v>
      </c>
      <c r="BC646">
        <v>365</v>
      </c>
      <c r="BD646" t="s">
        <v>74</v>
      </c>
      <c r="BE646" t="s">
        <v>9875</v>
      </c>
      <c r="BF646" t="str">
        <f>HYPERLINK("http://dx.doi.org/10.1016/j.ijforecast.2016.08.006","http://dx.doi.org/10.1016/j.ijforecast.2016.08.006")</f>
        <v>http://dx.doi.org/10.1016/j.ijforecast.2016.08.006</v>
      </c>
      <c r="BG646" t="s">
        <v>74</v>
      </c>
      <c r="BH646" t="s">
        <v>74</v>
      </c>
      <c r="BI646">
        <v>11</v>
      </c>
      <c r="BJ646" t="s">
        <v>9653</v>
      </c>
      <c r="BK646" t="s">
        <v>101</v>
      </c>
      <c r="BL646" t="s">
        <v>154</v>
      </c>
      <c r="BM646" t="s">
        <v>9876</v>
      </c>
      <c r="BN646" t="s">
        <v>74</v>
      </c>
      <c r="BO646" t="s">
        <v>828</v>
      </c>
      <c r="BP646" t="s">
        <v>74</v>
      </c>
      <c r="BQ646" t="s">
        <v>74</v>
      </c>
      <c r="BR646" t="s">
        <v>6098</v>
      </c>
      <c r="BS646" t="s">
        <v>9877</v>
      </c>
      <c r="BT646" t="str">
        <f>HYPERLINK("https%3A%2F%2Fwww.webofscience.com%2Fwos%2Fwoscc%2Ffull-record%2FWOS:000429512500015","View Full Record in Web of Science")</f>
        <v>View Full Record in Web of Science</v>
      </c>
      <c r="BU646" t="s">
        <v>6100</v>
      </c>
      <c r="BV646" s="1" t="s">
        <v>6080</v>
      </c>
      <c r="BW646" s="1" t="s">
        <v>10653</v>
      </c>
    </row>
    <row r="647" spans="1:75" x14ac:dyDescent="0.35">
      <c r="A647" t="s">
        <v>72</v>
      </c>
      <c r="B647" t="s">
        <v>9878</v>
      </c>
      <c r="C647" t="s">
        <v>74</v>
      </c>
      <c r="D647" t="s">
        <v>74</v>
      </c>
      <c r="E647" t="s">
        <v>74</v>
      </c>
      <c r="F647" t="s">
        <v>9879</v>
      </c>
      <c r="G647" t="s">
        <v>74</v>
      </c>
      <c r="H647" t="s">
        <v>74</v>
      </c>
      <c r="I647" t="s">
        <v>9880</v>
      </c>
      <c r="J647" t="s">
        <v>9569</v>
      </c>
      <c r="K647" t="s">
        <v>74</v>
      </c>
      <c r="L647" t="s">
        <v>74</v>
      </c>
      <c r="M647" t="s">
        <v>78</v>
      </c>
      <c r="N647" t="s">
        <v>79</v>
      </c>
      <c r="O647" t="s">
        <v>74</v>
      </c>
      <c r="P647" t="s">
        <v>74</v>
      </c>
      <c r="Q647" t="s">
        <v>74</v>
      </c>
      <c r="R647" t="s">
        <v>74</v>
      </c>
      <c r="S647" t="s">
        <v>74</v>
      </c>
      <c r="T647" t="s">
        <v>9881</v>
      </c>
      <c r="U647" t="s">
        <v>9882</v>
      </c>
      <c r="V647" t="s">
        <v>9883</v>
      </c>
      <c r="W647" t="s">
        <v>9884</v>
      </c>
      <c r="X647" t="s">
        <v>9885</v>
      </c>
      <c r="Y647" t="s">
        <v>9886</v>
      </c>
      <c r="Z647" t="s">
        <v>9887</v>
      </c>
      <c r="AA647" t="s">
        <v>9888</v>
      </c>
      <c r="AB647" t="s">
        <v>9889</v>
      </c>
      <c r="AC647" t="s">
        <v>9890</v>
      </c>
      <c r="AD647" t="s">
        <v>9891</v>
      </c>
      <c r="AE647" t="s">
        <v>9892</v>
      </c>
      <c r="AF647" t="s">
        <v>74</v>
      </c>
      <c r="AG647">
        <v>49</v>
      </c>
      <c r="AH647">
        <v>7</v>
      </c>
      <c r="AI647">
        <v>7</v>
      </c>
      <c r="AJ647">
        <v>26</v>
      </c>
      <c r="AK647">
        <v>95</v>
      </c>
      <c r="AL647" t="s">
        <v>409</v>
      </c>
      <c r="AM647" t="s">
        <v>410</v>
      </c>
      <c r="AN647" t="s">
        <v>411</v>
      </c>
      <c r="AO647" t="s">
        <v>9578</v>
      </c>
      <c r="AP647" t="s">
        <v>9893</v>
      </c>
      <c r="AQ647" t="s">
        <v>74</v>
      </c>
      <c r="AR647" t="s">
        <v>9579</v>
      </c>
      <c r="AS647" t="s">
        <v>9580</v>
      </c>
      <c r="AT647" t="s">
        <v>4891</v>
      </c>
      <c r="AU647">
        <v>2021</v>
      </c>
      <c r="AV647">
        <v>295</v>
      </c>
      <c r="AW647">
        <v>2</v>
      </c>
      <c r="AX647" t="s">
        <v>74</v>
      </c>
      <c r="AY647" t="s">
        <v>74</v>
      </c>
      <c r="AZ647" t="s">
        <v>74</v>
      </c>
      <c r="BA647" t="s">
        <v>74</v>
      </c>
      <c r="BB647">
        <v>758</v>
      </c>
      <c r="BC647">
        <v>771</v>
      </c>
      <c r="BD647" t="s">
        <v>74</v>
      </c>
      <c r="BE647" t="s">
        <v>9894</v>
      </c>
      <c r="BF647" t="str">
        <f>HYPERLINK("http://dx.doi.org/10.1016/j.ejor.2021.03.008","http://dx.doi.org/10.1016/j.ejor.2021.03.008")</f>
        <v>http://dx.doi.org/10.1016/j.ejor.2021.03.008</v>
      </c>
      <c r="BG647" t="s">
        <v>74</v>
      </c>
      <c r="BH647" t="s">
        <v>6216</v>
      </c>
      <c r="BI647">
        <v>14</v>
      </c>
      <c r="BJ647" t="s">
        <v>519</v>
      </c>
      <c r="BK647" t="s">
        <v>520</v>
      </c>
      <c r="BL647" t="s">
        <v>521</v>
      </c>
      <c r="BM647" t="s">
        <v>9895</v>
      </c>
      <c r="BN647" t="s">
        <v>74</v>
      </c>
      <c r="BO647" t="s">
        <v>1165</v>
      </c>
      <c r="BP647" t="s">
        <v>74</v>
      </c>
      <c r="BQ647" t="s">
        <v>74</v>
      </c>
      <c r="BR647" t="s">
        <v>6098</v>
      </c>
      <c r="BS647" t="s">
        <v>9896</v>
      </c>
      <c r="BT647" t="str">
        <f>HYPERLINK("https%3A%2F%2Fwww.webofscience.com%2Fwos%2Fwoscc%2Ffull-record%2FWOS:000668929800024","View Full Record in Web of Science")</f>
        <v>View Full Record in Web of Science</v>
      </c>
      <c r="BU647" t="s">
        <v>6100</v>
      </c>
      <c r="BV647" s="1" t="s">
        <v>6080</v>
      </c>
      <c r="BW647" s="1" t="s">
        <v>10653</v>
      </c>
    </row>
    <row r="648" spans="1:75" x14ac:dyDescent="0.35">
      <c r="A648" t="s">
        <v>72</v>
      </c>
      <c r="B648" t="s">
        <v>9897</v>
      </c>
      <c r="C648" t="s">
        <v>74</v>
      </c>
      <c r="D648" t="s">
        <v>74</v>
      </c>
      <c r="E648" t="s">
        <v>74</v>
      </c>
      <c r="F648" t="s">
        <v>9898</v>
      </c>
      <c r="G648" t="s">
        <v>74</v>
      </c>
      <c r="H648" t="s">
        <v>74</v>
      </c>
      <c r="I648" t="s">
        <v>9899</v>
      </c>
      <c r="J648" t="s">
        <v>9900</v>
      </c>
      <c r="K648" t="s">
        <v>74</v>
      </c>
      <c r="L648" t="s">
        <v>74</v>
      </c>
      <c r="M648" t="s">
        <v>78</v>
      </c>
      <c r="N648" t="s">
        <v>4302</v>
      </c>
      <c r="O648" t="s">
        <v>74</v>
      </c>
      <c r="P648" t="s">
        <v>74</v>
      </c>
      <c r="Q648" t="s">
        <v>74</v>
      </c>
      <c r="R648" t="s">
        <v>74</v>
      </c>
      <c r="S648" t="s">
        <v>74</v>
      </c>
      <c r="T648" t="s">
        <v>9901</v>
      </c>
      <c r="U648" t="s">
        <v>9902</v>
      </c>
      <c r="V648" t="s">
        <v>9903</v>
      </c>
      <c r="W648" t="s">
        <v>9904</v>
      </c>
      <c r="X648" t="s">
        <v>9905</v>
      </c>
      <c r="Y648" t="s">
        <v>9906</v>
      </c>
      <c r="Z648" t="s">
        <v>9907</v>
      </c>
      <c r="AA648" t="s">
        <v>9908</v>
      </c>
      <c r="AB648" t="s">
        <v>9909</v>
      </c>
      <c r="AC648" t="s">
        <v>74</v>
      </c>
      <c r="AD648" t="s">
        <v>74</v>
      </c>
      <c r="AE648" t="s">
        <v>74</v>
      </c>
      <c r="AF648" t="s">
        <v>74</v>
      </c>
      <c r="AG648">
        <v>82</v>
      </c>
      <c r="AH648">
        <v>2</v>
      </c>
      <c r="AI648">
        <v>2</v>
      </c>
      <c r="AJ648">
        <v>8</v>
      </c>
      <c r="AK648">
        <v>16</v>
      </c>
      <c r="AL648" t="s">
        <v>1982</v>
      </c>
      <c r="AM648" t="s">
        <v>1983</v>
      </c>
      <c r="AN648" t="s">
        <v>2573</v>
      </c>
      <c r="AO648" t="s">
        <v>9910</v>
      </c>
      <c r="AP648" t="s">
        <v>9911</v>
      </c>
      <c r="AQ648" t="s">
        <v>74</v>
      </c>
      <c r="AR648" t="s">
        <v>9912</v>
      </c>
      <c r="AS648" t="s">
        <v>9913</v>
      </c>
      <c r="AT648" t="s">
        <v>74</v>
      </c>
      <c r="AU648" t="s">
        <v>74</v>
      </c>
      <c r="AV648" t="s">
        <v>74</v>
      </c>
      <c r="AW648" t="s">
        <v>74</v>
      </c>
      <c r="AX648" t="s">
        <v>74</v>
      </c>
      <c r="AY648" t="s">
        <v>74</v>
      </c>
      <c r="AZ648" t="s">
        <v>74</v>
      </c>
      <c r="BA648" t="s">
        <v>74</v>
      </c>
      <c r="BB648" t="s">
        <v>74</v>
      </c>
      <c r="BC648" t="s">
        <v>74</v>
      </c>
      <c r="BD648" t="s">
        <v>74</v>
      </c>
      <c r="BE648" t="s">
        <v>9914</v>
      </c>
      <c r="BF648" t="str">
        <f>HYPERLINK("http://dx.doi.org/10.1108/MBE-07-2021-0094","http://dx.doi.org/10.1108/MBE-07-2021-0094")</f>
        <v>http://dx.doi.org/10.1108/MBE-07-2021-0094</v>
      </c>
      <c r="BG648" t="s">
        <v>74</v>
      </c>
      <c r="BH648" t="s">
        <v>4501</v>
      </c>
      <c r="BI648">
        <v>32</v>
      </c>
      <c r="BJ648" t="s">
        <v>153</v>
      </c>
      <c r="BK648" t="s">
        <v>3880</v>
      </c>
      <c r="BL648" t="s">
        <v>154</v>
      </c>
      <c r="BM648" t="s">
        <v>9915</v>
      </c>
      <c r="BN648" t="s">
        <v>74</v>
      </c>
      <c r="BO648" t="s">
        <v>74</v>
      </c>
      <c r="BP648" t="s">
        <v>74</v>
      </c>
      <c r="BQ648" t="s">
        <v>74</v>
      </c>
      <c r="BR648" t="s">
        <v>6098</v>
      </c>
      <c r="BS648" t="s">
        <v>9916</v>
      </c>
      <c r="BT648" t="str">
        <f>HYPERLINK("https%3A%2F%2Fwww.webofscience.com%2Fwos%2Fwoscc%2Ffull-record%2FWOS:000762675600001","View Full Record in Web of Science")</f>
        <v>View Full Record in Web of Science</v>
      </c>
      <c r="BU648" t="s">
        <v>6100</v>
      </c>
      <c r="BV648" s="1" t="s">
        <v>6080</v>
      </c>
      <c r="BW648" s="1" t="s">
        <v>10653</v>
      </c>
    </row>
    <row r="649" spans="1:75" x14ac:dyDescent="0.35">
      <c r="A649" t="s">
        <v>72</v>
      </c>
      <c r="B649" t="s">
        <v>9514</v>
      </c>
      <c r="C649" t="s">
        <v>74</v>
      </c>
      <c r="D649" t="s">
        <v>74</v>
      </c>
      <c r="E649" t="s">
        <v>74</v>
      </c>
      <c r="F649" t="s">
        <v>9515</v>
      </c>
      <c r="G649" t="s">
        <v>74</v>
      </c>
      <c r="H649" t="s">
        <v>74</v>
      </c>
      <c r="I649" t="s">
        <v>9516</v>
      </c>
      <c r="J649" t="s">
        <v>9517</v>
      </c>
      <c r="K649" t="s">
        <v>74</v>
      </c>
      <c r="L649" t="s">
        <v>74</v>
      </c>
      <c r="M649" t="s">
        <v>78</v>
      </c>
      <c r="N649" t="s">
        <v>79</v>
      </c>
      <c r="O649" t="s">
        <v>74</v>
      </c>
      <c r="P649" t="s">
        <v>74</v>
      </c>
      <c r="Q649" t="s">
        <v>74</v>
      </c>
      <c r="R649" t="s">
        <v>74</v>
      </c>
      <c r="S649" t="s">
        <v>74</v>
      </c>
      <c r="T649" t="s">
        <v>9518</v>
      </c>
      <c r="U649" t="s">
        <v>9519</v>
      </c>
      <c r="V649" t="s">
        <v>9520</v>
      </c>
      <c r="W649" t="s">
        <v>9521</v>
      </c>
      <c r="X649" t="s">
        <v>9522</v>
      </c>
      <c r="Y649" t="s">
        <v>9523</v>
      </c>
      <c r="Z649" t="s">
        <v>9524</v>
      </c>
      <c r="AA649" t="s">
        <v>74</v>
      </c>
      <c r="AB649" t="s">
        <v>74</v>
      </c>
      <c r="AC649" t="s">
        <v>9525</v>
      </c>
      <c r="AD649" t="s">
        <v>9526</v>
      </c>
      <c r="AE649" t="s">
        <v>9527</v>
      </c>
      <c r="AF649" t="s">
        <v>74</v>
      </c>
      <c r="AG649">
        <v>50</v>
      </c>
      <c r="AH649">
        <v>0</v>
      </c>
      <c r="AI649">
        <v>0</v>
      </c>
      <c r="AJ649">
        <v>2</v>
      </c>
      <c r="AK649">
        <v>2</v>
      </c>
      <c r="AL649" t="s">
        <v>9528</v>
      </c>
      <c r="AM649" t="s">
        <v>9529</v>
      </c>
      <c r="AN649" t="s">
        <v>9530</v>
      </c>
      <c r="AO649" t="s">
        <v>9531</v>
      </c>
      <c r="AP649" t="s">
        <v>9532</v>
      </c>
      <c r="AQ649" t="s">
        <v>74</v>
      </c>
      <c r="AR649" t="s">
        <v>9533</v>
      </c>
      <c r="AS649" t="s">
        <v>9534</v>
      </c>
      <c r="AT649" t="s">
        <v>281</v>
      </c>
      <c r="AU649">
        <v>2022</v>
      </c>
      <c r="AV649">
        <v>9</v>
      </c>
      <c r="AW649">
        <v>10</v>
      </c>
      <c r="AX649" t="s">
        <v>74</v>
      </c>
      <c r="AY649" t="s">
        <v>74</v>
      </c>
      <c r="AZ649" t="s">
        <v>74</v>
      </c>
      <c r="BA649" t="s">
        <v>74</v>
      </c>
      <c r="BB649">
        <v>189</v>
      </c>
      <c r="BC649">
        <v>200</v>
      </c>
      <c r="BD649" t="s">
        <v>74</v>
      </c>
      <c r="BE649" t="s">
        <v>9535</v>
      </c>
      <c r="BF649" t="str">
        <f>HYPERLINK("http://dx.doi.org/10.13106/jafeb.2022.vol9.no10.0189","http://dx.doi.org/10.13106/jafeb.2022.vol9.no10.0189")</f>
        <v>http://dx.doi.org/10.13106/jafeb.2022.vol9.no10.0189</v>
      </c>
      <c r="BG649" t="s">
        <v>74</v>
      </c>
      <c r="BH649" t="s">
        <v>74</v>
      </c>
      <c r="BI649">
        <v>12</v>
      </c>
      <c r="BJ649" t="s">
        <v>153</v>
      </c>
      <c r="BK649" t="s">
        <v>3880</v>
      </c>
      <c r="BL649" t="s">
        <v>154</v>
      </c>
      <c r="BM649" t="s">
        <v>9536</v>
      </c>
      <c r="BN649" t="s">
        <v>74</v>
      </c>
      <c r="BO649" t="s">
        <v>74</v>
      </c>
      <c r="BP649" t="s">
        <v>74</v>
      </c>
      <c r="BQ649" t="s">
        <v>74</v>
      </c>
      <c r="BR649" t="s">
        <v>6098</v>
      </c>
      <c r="BS649" t="s">
        <v>9537</v>
      </c>
      <c r="BT649" t="str">
        <f>HYPERLINK("https%3A%2F%2Fwww.webofscience.com%2Fwos%2Fwoscc%2Ffull-record%2FWOS:000917893500018","View Full Record in Web of Science")</f>
        <v>View Full Record in Web of Science</v>
      </c>
      <c r="BU649" t="s">
        <v>6100</v>
      </c>
      <c r="BV649" s="1" t="s">
        <v>10653</v>
      </c>
    </row>
    <row r="650" spans="1:75" x14ac:dyDescent="0.35">
      <c r="A650" t="s">
        <v>72</v>
      </c>
      <c r="B650" t="s">
        <v>9538</v>
      </c>
      <c r="C650" t="s">
        <v>74</v>
      </c>
      <c r="D650" t="s">
        <v>74</v>
      </c>
      <c r="E650" t="s">
        <v>74</v>
      </c>
      <c r="F650" t="s">
        <v>9539</v>
      </c>
      <c r="G650" t="s">
        <v>74</v>
      </c>
      <c r="H650" t="s">
        <v>74</v>
      </c>
      <c r="I650" t="s">
        <v>9540</v>
      </c>
      <c r="J650" t="s">
        <v>6236</v>
      </c>
      <c r="K650" t="s">
        <v>74</v>
      </c>
      <c r="L650" t="s">
        <v>74</v>
      </c>
      <c r="M650" t="s">
        <v>78</v>
      </c>
      <c r="N650" t="s">
        <v>110</v>
      </c>
      <c r="O650" t="s">
        <v>74</v>
      </c>
      <c r="P650" t="s">
        <v>74</v>
      </c>
      <c r="Q650" t="s">
        <v>74</v>
      </c>
      <c r="R650" t="s">
        <v>74</v>
      </c>
      <c r="S650" t="s">
        <v>74</v>
      </c>
      <c r="T650" t="s">
        <v>9541</v>
      </c>
      <c r="U650" t="s">
        <v>9542</v>
      </c>
      <c r="V650" t="s">
        <v>9543</v>
      </c>
      <c r="W650" t="s">
        <v>9544</v>
      </c>
      <c r="X650" t="s">
        <v>9545</v>
      </c>
      <c r="Y650" t="s">
        <v>9546</v>
      </c>
      <c r="Z650" t="s">
        <v>9547</v>
      </c>
      <c r="AA650" t="s">
        <v>74</v>
      </c>
      <c r="AB650" t="s">
        <v>9548</v>
      </c>
      <c r="AC650" t="s">
        <v>74</v>
      </c>
      <c r="AD650" t="s">
        <v>74</v>
      </c>
      <c r="AE650" t="s">
        <v>74</v>
      </c>
      <c r="AF650" t="s">
        <v>74</v>
      </c>
      <c r="AG650">
        <v>77</v>
      </c>
      <c r="AH650">
        <v>1</v>
      </c>
      <c r="AI650">
        <v>1</v>
      </c>
      <c r="AJ650">
        <v>6</v>
      </c>
      <c r="AK650">
        <v>6</v>
      </c>
      <c r="AL650" t="s">
        <v>1982</v>
      </c>
      <c r="AM650" t="s">
        <v>1983</v>
      </c>
      <c r="AN650" t="s">
        <v>2573</v>
      </c>
      <c r="AO650" t="s">
        <v>6244</v>
      </c>
      <c r="AP650" t="s">
        <v>6245</v>
      </c>
      <c r="AQ650" t="s">
        <v>74</v>
      </c>
      <c r="AR650" t="s">
        <v>6246</v>
      </c>
      <c r="AS650" t="s">
        <v>6247</v>
      </c>
      <c r="AT650" t="s">
        <v>9549</v>
      </c>
      <c r="AU650">
        <v>2022</v>
      </c>
      <c r="AV650">
        <v>39</v>
      </c>
      <c r="AW650">
        <v>5</v>
      </c>
      <c r="AX650" t="s">
        <v>74</v>
      </c>
      <c r="AY650" t="s">
        <v>74</v>
      </c>
      <c r="AZ650" t="s">
        <v>259</v>
      </c>
      <c r="BA650" t="s">
        <v>74</v>
      </c>
      <c r="BB650">
        <v>1226</v>
      </c>
      <c r="BC650">
        <v>1251</v>
      </c>
      <c r="BD650" t="s">
        <v>74</v>
      </c>
      <c r="BE650" t="s">
        <v>9550</v>
      </c>
      <c r="BF650" t="str">
        <f>HYPERLINK("http://dx.doi.org/10.1108/IMR-01-2021-0047","http://dx.doi.org/10.1108/IMR-01-2021-0047")</f>
        <v>http://dx.doi.org/10.1108/IMR-01-2021-0047</v>
      </c>
      <c r="BG650" t="s">
        <v>74</v>
      </c>
      <c r="BH650" t="s">
        <v>7885</v>
      </c>
      <c r="BI650">
        <v>26</v>
      </c>
      <c r="BJ650" t="s">
        <v>153</v>
      </c>
      <c r="BK650" t="s">
        <v>101</v>
      </c>
      <c r="BL650" t="s">
        <v>154</v>
      </c>
      <c r="BM650" t="s">
        <v>9551</v>
      </c>
      <c r="BN650" t="s">
        <v>74</v>
      </c>
      <c r="BO650" t="s">
        <v>156</v>
      </c>
      <c r="BP650" t="s">
        <v>74</v>
      </c>
      <c r="BQ650" t="s">
        <v>74</v>
      </c>
      <c r="BR650" t="s">
        <v>6098</v>
      </c>
      <c r="BS650" t="s">
        <v>9552</v>
      </c>
      <c r="BT650" t="str">
        <f>HYPERLINK("https%3A%2F%2Fwww.webofscience.com%2Fwos%2Fwoscc%2Ffull-record%2FWOS:000861978100001","View Full Record in Web of Science")</f>
        <v>View Full Record in Web of Science</v>
      </c>
      <c r="BU650" t="s">
        <v>6100</v>
      </c>
      <c r="BV650" s="1" t="s">
        <v>6080</v>
      </c>
      <c r="BW650" s="1" t="s">
        <v>10653</v>
      </c>
    </row>
    <row r="651" spans="1:75" x14ac:dyDescent="0.35">
      <c r="A651" t="s">
        <v>72</v>
      </c>
      <c r="B651" t="s">
        <v>9600</v>
      </c>
      <c r="C651" t="s">
        <v>74</v>
      </c>
      <c r="D651" t="s">
        <v>74</v>
      </c>
      <c r="E651" t="s">
        <v>74</v>
      </c>
      <c r="F651" t="s">
        <v>9601</v>
      </c>
      <c r="G651" t="s">
        <v>74</v>
      </c>
      <c r="H651" t="s">
        <v>74</v>
      </c>
      <c r="I651" t="s">
        <v>9602</v>
      </c>
      <c r="J651" t="s">
        <v>9603</v>
      </c>
      <c r="K651" t="s">
        <v>74</v>
      </c>
      <c r="L651" t="s">
        <v>74</v>
      </c>
      <c r="M651" t="s">
        <v>78</v>
      </c>
      <c r="N651" t="s">
        <v>79</v>
      </c>
      <c r="O651" t="s">
        <v>74</v>
      </c>
      <c r="P651" t="s">
        <v>74</v>
      </c>
      <c r="Q651" t="s">
        <v>74</v>
      </c>
      <c r="R651" t="s">
        <v>74</v>
      </c>
      <c r="S651" t="s">
        <v>74</v>
      </c>
      <c r="T651" t="s">
        <v>74</v>
      </c>
      <c r="U651" t="s">
        <v>9604</v>
      </c>
      <c r="V651" t="s">
        <v>9605</v>
      </c>
      <c r="W651" t="s">
        <v>9606</v>
      </c>
      <c r="X651" t="s">
        <v>9607</v>
      </c>
      <c r="Y651" t="s">
        <v>9608</v>
      </c>
      <c r="Z651" t="s">
        <v>9609</v>
      </c>
      <c r="AA651" t="s">
        <v>74</v>
      </c>
      <c r="AB651" t="s">
        <v>74</v>
      </c>
      <c r="AC651" t="s">
        <v>74</v>
      </c>
      <c r="AD651" t="s">
        <v>74</v>
      </c>
      <c r="AE651" t="s">
        <v>74</v>
      </c>
      <c r="AF651" t="s">
        <v>74</v>
      </c>
      <c r="AG651">
        <v>85</v>
      </c>
      <c r="AH651">
        <v>0</v>
      </c>
      <c r="AI651">
        <v>0</v>
      </c>
      <c r="AJ651">
        <v>0</v>
      </c>
      <c r="AK651">
        <v>2</v>
      </c>
      <c r="AL651" t="s">
        <v>1180</v>
      </c>
      <c r="AM651" t="s">
        <v>1181</v>
      </c>
      <c r="AN651" t="s">
        <v>1182</v>
      </c>
      <c r="AO651" t="s">
        <v>9610</v>
      </c>
      <c r="AP651" t="s">
        <v>9611</v>
      </c>
      <c r="AQ651" t="s">
        <v>74</v>
      </c>
      <c r="AR651" t="s">
        <v>9612</v>
      </c>
      <c r="AS651" t="s">
        <v>9613</v>
      </c>
      <c r="AT651" t="s">
        <v>9614</v>
      </c>
      <c r="AU651">
        <v>2022</v>
      </c>
      <c r="AV651">
        <v>30</v>
      </c>
      <c r="AW651">
        <v>4</v>
      </c>
      <c r="AX651" t="s">
        <v>74</v>
      </c>
      <c r="AY651" t="s">
        <v>74</v>
      </c>
      <c r="AZ651" t="s">
        <v>74</v>
      </c>
      <c r="BA651" t="s">
        <v>74</v>
      </c>
      <c r="BB651">
        <v>440</v>
      </c>
      <c r="BC651">
        <v>456</v>
      </c>
      <c r="BD651" t="s">
        <v>74</v>
      </c>
      <c r="BE651" t="s">
        <v>9615</v>
      </c>
      <c r="BF651" t="str">
        <f>HYPERLINK("http://dx.doi.org/10.1080/10696679.2021.1979411","http://dx.doi.org/10.1080/10696679.2021.1979411")</f>
        <v>http://dx.doi.org/10.1080/10696679.2021.1979411</v>
      </c>
      <c r="BG651" t="s">
        <v>74</v>
      </c>
      <c r="BH651" t="s">
        <v>7900</v>
      </c>
      <c r="BI651">
        <v>17</v>
      </c>
      <c r="BJ651" t="s">
        <v>153</v>
      </c>
      <c r="BK651" t="s">
        <v>3880</v>
      </c>
      <c r="BL651" t="s">
        <v>154</v>
      </c>
      <c r="BM651" t="s">
        <v>9616</v>
      </c>
      <c r="BN651" t="s">
        <v>74</v>
      </c>
      <c r="BO651" t="s">
        <v>74</v>
      </c>
      <c r="BP651" t="s">
        <v>74</v>
      </c>
      <c r="BQ651" t="s">
        <v>74</v>
      </c>
      <c r="BR651" t="s">
        <v>6098</v>
      </c>
      <c r="BS651" t="s">
        <v>9617</v>
      </c>
      <c r="BT651" t="str">
        <f>HYPERLINK("https%3A%2F%2Fwww.webofscience.com%2Fwos%2Fwoscc%2Ffull-record%2FWOS:000702613900001","View Full Record in Web of Science")</f>
        <v>View Full Record in Web of Science</v>
      </c>
      <c r="BU651" t="s">
        <v>6100</v>
      </c>
      <c r="BV651" s="1" t="s">
        <v>6080</v>
      </c>
      <c r="BW651" s="1" t="s">
        <v>6080</v>
      </c>
    </row>
    <row r="652" spans="1:75" x14ac:dyDescent="0.35">
      <c r="A652" t="s">
        <v>72</v>
      </c>
      <c r="B652" t="s">
        <v>9972</v>
      </c>
      <c r="C652" t="s">
        <v>74</v>
      </c>
      <c r="D652" t="s">
        <v>74</v>
      </c>
      <c r="E652" t="s">
        <v>74</v>
      </c>
      <c r="F652" t="s">
        <v>9973</v>
      </c>
      <c r="G652" t="s">
        <v>74</v>
      </c>
      <c r="H652" t="s">
        <v>74</v>
      </c>
      <c r="I652" t="s">
        <v>9974</v>
      </c>
      <c r="J652" t="s">
        <v>8297</v>
      </c>
      <c r="K652" t="s">
        <v>74</v>
      </c>
      <c r="L652" t="s">
        <v>74</v>
      </c>
      <c r="M652" t="s">
        <v>78</v>
      </c>
      <c r="N652" t="s">
        <v>79</v>
      </c>
      <c r="O652" t="s">
        <v>74</v>
      </c>
      <c r="P652" t="s">
        <v>74</v>
      </c>
      <c r="Q652" t="s">
        <v>74</v>
      </c>
      <c r="R652" t="s">
        <v>74</v>
      </c>
      <c r="S652" t="s">
        <v>74</v>
      </c>
      <c r="T652" t="s">
        <v>9975</v>
      </c>
      <c r="U652" t="s">
        <v>9976</v>
      </c>
      <c r="V652" t="s">
        <v>9977</v>
      </c>
      <c r="W652" t="s">
        <v>9978</v>
      </c>
      <c r="X652" t="s">
        <v>9979</v>
      </c>
      <c r="Y652" t="s">
        <v>9980</v>
      </c>
      <c r="Z652" t="s">
        <v>9981</v>
      </c>
      <c r="AA652" t="s">
        <v>9982</v>
      </c>
      <c r="AB652" t="s">
        <v>9983</v>
      </c>
      <c r="AC652" t="s">
        <v>9984</v>
      </c>
      <c r="AD652" t="s">
        <v>9985</v>
      </c>
      <c r="AE652" t="s">
        <v>9986</v>
      </c>
      <c r="AF652" t="s">
        <v>74</v>
      </c>
      <c r="AG652">
        <v>92</v>
      </c>
      <c r="AH652">
        <v>20</v>
      </c>
      <c r="AI652">
        <v>20</v>
      </c>
      <c r="AJ652">
        <v>5</v>
      </c>
      <c r="AK652">
        <v>27</v>
      </c>
      <c r="AL652" t="s">
        <v>324</v>
      </c>
      <c r="AM652" t="s">
        <v>325</v>
      </c>
      <c r="AN652" t="s">
        <v>2004</v>
      </c>
      <c r="AO652" t="s">
        <v>8304</v>
      </c>
      <c r="AP652" t="s">
        <v>8305</v>
      </c>
      <c r="AQ652" t="s">
        <v>74</v>
      </c>
      <c r="AR652" t="s">
        <v>8306</v>
      </c>
      <c r="AS652" t="s">
        <v>8307</v>
      </c>
      <c r="AT652" t="s">
        <v>469</v>
      </c>
      <c r="AU652">
        <v>2021</v>
      </c>
      <c r="AV652">
        <v>169</v>
      </c>
      <c r="AW652" t="s">
        <v>74</v>
      </c>
      <c r="AX652" t="s">
        <v>74</v>
      </c>
      <c r="AY652" t="s">
        <v>74</v>
      </c>
      <c r="AZ652" t="s">
        <v>74</v>
      </c>
      <c r="BA652" t="s">
        <v>74</v>
      </c>
      <c r="BB652" t="s">
        <v>74</v>
      </c>
      <c r="BC652" t="s">
        <v>74</v>
      </c>
      <c r="BD652">
        <v>120799</v>
      </c>
      <c r="BE652" t="s">
        <v>9987</v>
      </c>
      <c r="BF652" t="str">
        <f>HYPERLINK("http://dx.doi.org/10.1016/j.techfore.2021.120799","http://dx.doi.org/10.1016/j.techfore.2021.120799")</f>
        <v>http://dx.doi.org/10.1016/j.techfore.2021.120799</v>
      </c>
      <c r="BG652" t="s">
        <v>74</v>
      </c>
      <c r="BH652" t="s">
        <v>4777</v>
      </c>
      <c r="BI652">
        <v>23</v>
      </c>
      <c r="BJ652" t="s">
        <v>8309</v>
      </c>
      <c r="BK652" t="s">
        <v>101</v>
      </c>
      <c r="BL652" t="s">
        <v>8310</v>
      </c>
      <c r="BM652" t="s">
        <v>9988</v>
      </c>
      <c r="BN652">
        <v>36540548</v>
      </c>
      <c r="BO652" t="s">
        <v>4416</v>
      </c>
      <c r="BP652" t="s">
        <v>74</v>
      </c>
      <c r="BQ652" t="s">
        <v>74</v>
      </c>
      <c r="BR652" t="s">
        <v>6098</v>
      </c>
      <c r="BS652" t="s">
        <v>9989</v>
      </c>
      <c r="BT652" t="str">
        <f>HYPERLINK("https%3A%2F%2Fwww.webofscience.com%2Fwos%2Fwoscc%2Ffull-record%2FWOS:000670360200008","View Full Record in Web of Science")</f>
        <v>View Full Record in Web of Science</v>
      </c>
      <c r="BU652" t="s">
        <v>6100</v>
      </c>
      <c r="BV652" s="1" t="s">
        <v>6080</v>
      </c>
      <c r="BW652" s="1" t="s">
        <v>10653</v>
      </c>
    </row>
    <row r="653" spans="1:75" x14ac:dyDescent="0.35">
      <c r="A653" t="s">
        <v>72</v>
      </c>
      <c r="B653" t="s">
        <v>10097</v>
      </c>
      <c r="C653" t="s">
        <v>74</v>
      </c>
      <c r="D653" t="s">
        <v>74</v>
      </c>
      <c r="E653" t="s">
        <v>74</v>
      </c>
      <c r="F653" t="s">
        <v>10098</v>
      </c>
      <c r="G653" t="s">
        <v>74</v>
      </c>
      <c r="H653" t="s">
        <v>74</v>
      </c>
      <c r="I653" t="s">
        <v>10099</v>
      </c>
      <c r="J653" t="s">
        <v>10100</v>
      </c>
      <c r="K653" t="s">
        <v>74</v>
      </c>
      <c r="L653" t="s">
        <v>74</v>
      </c>
      <c r="M653" t="s">
        <v>78</v>
      </c>
      <c r="N653" t="s">
        <v>79</v>
      </c>
      <c r="O653" t="s">
        <v>74</v>
      </c>
      <c r="P653" t="s">
        <v>74</v>
      </c>
      <c r="Q653" t="s">
        <v>74</v>
      </c>
      <c r="R653" t="s">
        <v>74</v>
      </c>
      <c r="S653" t="s">
        <v>74</v>
      </c>
      <c r="T653" t="s">
        <v>10101</v>
      </c>
      <c r="U653" t="s">
        <v>10102</v>
      </c>
      <c r="V653" t="s">
        <v>10103</v>
      </c>
      <c r="W653" t="s">
        <v>10104</v>
      </c>
      <c r="X653" t="s">
        <v>10105</v>
      </c>
      <c r="Y653" t="s">
        <v>10106</v>
      </c>
      <c r="Z653" t="s">
        <v>10107</v>
      </c>
      <c r="AA653" t="s">
        <v>74</v>
      </c>
      <c r="AB653" t="s">
        <v>74</v>
      </c>
      <c r="AC653" t="s">
        <v>10108</v>
      </c>
      <c r="AD653" t="s">
        <v>10109</v>
      </c>
      <c r="AE653" t="s">
        <v>10110</v>
      </c>
      <c r="AF653" t="s">
        <v>74</v>
      </c>
      <c r="AG653">
        <v>72</v>
      </c>
      <c r="AH653">
        <v>0</v>
      </c>
      <c r="AI653">
        <v>0</v>
      </c>
      <c r="AJ653">
        <v>10</v>
      </c>
      <c r="AK653">
        <v>13</v>
      </c>
      <c r="AL653" t="s">
        <v>10111</v>
      </c>
      <c r="AM653" t="s">
        <v>10112</v>
      </c>
      <c r="AN653" t="s">
        <v>10113</v>
      </c>
      <c r="AO653" t="s">
        <v>10114</v>
      </c>
      <c r="AP653" t="s">
        <v>10115</v>
      </c>
      <c r="AQ653" t="s">
        <v>74</v>
      </c>
      <c r="AR653" t="s">
        <v>10116</v>
      </c>
      <c r="AS653" t="s">
        <v>10117</v>
      </c>
      <c r="AT653" t="s">
        <v>74</v>
      </c>
      <c r="AU653">
        <v>2022</v>
      </c>
      <c r="AV653">
        <v>25</v>
      </c>
      <c r="AW653">
        <v>2</v>
      </c>
      <c r="AX653" t="s">
        <v>74</v>
      </c>
      <c r="AY653" t="s">
        <v>74</v>
      </c>
      <c r="AZ653" t="s">
        <v>74</v>
      </c>
      <c r="BA653" t="s">
        <v>74</v>
      </c>
      <c r="BB653">
        <v>183</v>
      </c>
      <c r="BC653">
        <v>201</v>
      </c>
      <c r="BD653" t="s">
        <v>74</v>
      </c>
      <c r="BE653" t="s">
        <v>10118</v>
      </c>
      <c r="BF653" t="str">
        <f>HYPERLINK("http://dx.doi.org/10.15240/tul/001/2022-2-012","http://dx.doi.org/10.15240/tul/001/2022-2-012")</f>
        <v>http://dx.doi.org/10.15240/tul/001/2022-2-012</v>
      </c>
      <c r="BG653" t="s">
        <v>74</v>
      </c>
      <c r="BH653" t="s">
        <v>74</v>
      </c>
      <c r="BI653">
        <v>19</v>
      </c>
      <c r="BJ653" t="s">
        <v>9653</v>
      </c>
      <c r="BK653" t="s">
        <v>101</v>
      </c>
      <c r="BL653" t="s">
        <v>154</v>
      </c>
      <c r="BM653" t="s">
        <v>10119</v>
      </c>
      <c r="BN653" t="s">
        <v>74</v>
      </c>
      <c r="BO653" t="s">
        <v>2196</v>
      </c>
      <c r="BP653" t="s">
        <v>74</v>
      </c>
      <c r="BQ653" t="s">
        <v>74</v>
      </c>
      <c r="BR653" t="s">
        <v>6098</v>
      </c>
      <c r="BS653" t="s">
        <v>10120</v>
      </c>
      <c r="BT653" t="str">
        <f>HYPERLINK("https%3A%2F%2Fwww.webofscience.com%2Fwos%2Fwoscc%2Ffull-record%2FWOS:000810555600012","View Full Record in Web of Science")</f>
        <v>View Full Record in Web of Science</v>
      </c>
      <c r="BU653" t="s">
        <v>6100</v>
      </c>
      <c r="BV653" s="1" t="s">
        <v>10653</v>
      </c>
    </row>
    <row r="654" spans="1:75" x14ac:dyDescent="0.35">
      <c r="A654" t="s">
        <v>72</v>
      </c>
      <c r="B654" t="s">
        <v>10151</v>
      </c>
      <c r="C654" t="s">
        <v>74</v>
      </c>
      <c r="D654" t="s">
        <v>74</v>
      </c>
      <c r="E654" t="s">
        <v>74</v>
      </c>
      <c r="F654" t="s">
        <v>5878</v>
      </c>
      <c r="G654" t="s">
        <v>74</v>
      </c>
      <c r="H654" t="s">
        <v>74</v>
      </c>
      <c r="I654" t="s">
        <v>5899</v>
      </c>
      <c r="J654" t="s">
        <v>6149</v>
      </c>
      <c r="K654" t="s">
        <v>74</v>
      </c>
      <c r="L654" t="s">
        <v>74</v>
      </c>
      <c r="M654" t="s">
        <v>78</v>
      </c>
      <c r="N654" t="s">
        <v>79</v>
      </c>
      <c r="O654" t="s">
        <v>74</v>
      </c>
      <c r="P654" t="s">
        <v>74</v>
      </c>
      <c r="Q654" t="s">
        <v>74</v>
      </c>
      <c r="R654" t="s">
        <v>74</v>
      </c>
      <c r="S654" t="s">
        <v>74</v>
      </c>
      <c r="T654" t="s">
        <v>10152</v>
      </c>
      <c r="U654" t="s">
        <v>10153</v>
      </c>
      <c r="V654" t="s">
        <v>5991</v>
      </c>
      <c r="W654" t="s">
        <v>10154</v>
      </c>
      <c r="X654" t="s">
        <v>10155</v>
      </c>
      <c r="Y654" t="s">
        <v>10156</v>
      </c>
      <c r="Z654" t="s">
        <v>10157</v>
      </c>
      <c r="AA654" t="s">
        <v>74</v>
      </c>
      <c r="AB654" t="s">
        <v>10158</v>
      </c>
      <c r="AC654" t="s">
        <v>74</v>
      </c>
      <c r="AD654" t="s">
        <v>74</v>
      </c>
      <c r="AE654" t="s">
        <v>74</v>
      </c>
      <c r="AF654" t="s">
        <v>74</v>
      </c>
      <c r="AG654">
        <v>30</v>
      </c>
      <c r="AH654">
        <v>2</v>
      </c>
      <c r="AI654">
        <v>2</v>
      </c>
      <c r="AJ654">
        <v>7</v>
      </c>
      <c r="AK654">
        <v>31</v>
      </c>
      <c r="AL654" t="s">
        <v>820</v>
      </c>
      <c r="AM654" t="s">
        <v>2119</v>
      </c>
      <c r="AN654" t="s">
        <v>2120</v>
      </c>
      <c r="AO654" t="s">
        <v>6157</v>
      </c>
      <c r="AP654" t="s">
        <v>6158</v>
      </c>
      <c r="AQ654" t="s">
        <v>74</v>
      </c>
      <c r="AR654" t="s">
        <v>6159</v>
      </c>
      <c r="AS654" t="s">
        <v>6160</v>
      </c>
      <c r="AT654" t="s">
        <v>151</v>
      </c>
      <c r="AU654">
        <v>2022</v>
      </c>
      <c r="AV654">
        <v>33</v>
      </c>
      <c r="AW654">
        <v>2</v>
      </c>
      <c r="AX654" t="s">
        <v>74</v>
      </c>
      <c r="AY654" t="s">
        <v>74</v>
      </c>
      <c r="AZ654" t="s">
        <v>74</v>
      </c>
      <c r="BA654" t="s">
        <v>74</v>
      </c>
      <c r="BB654">
        <v>311</v>
      </c>
      <c r="BC654">
        <v>323</v>
      </c>
      <c r="BD654" t="s">
        <v>74</v>
      </c>
      <c r="BE654" t="s">
        <v>10159</v>
      </c>
      <c r="BF654" t="str">
        <f>HYPERLINK("http://dx.doi.org/10.1007/s11002-021-09595-3","http://dx.doi.org/10.1007/s11002-021-09595-3")</f>
        <v>http://dx.doi.org/10.1007/s11002-021-09595-3</v>
      </c>
      <c r="BG654" t="s">
        <v>74</v>
      </c>
      <c r="BH654" t="s">
        <v>7900</v>
      </c>
      <c r="BI654">
        <v>13</v>
      </c>
      <c r="BJ654" t="s">
        <v>153</v>
      </c>
      <c r="BK654" t="s">
        <v>101</v>
      </c>
      <c r="BL654" t="s">
        <v>154</v>
      </c>
      <c r="BM654" t="s">
        <v>10160</v>
      </c>
      <c r="BN654" t="s">
        <v>74</v>
      </c>
      <c r="BO654" t="s">
        <v>74</v>
      </c>
      <c r="BP654" t="s">
        <v>74</v>
      </c>
      <c r="BQ654" t="s">
        <v>74</v>
      </c>
      <c r="BR654" t="s">
        <v>6098</v>
      </c>
      <c r="BS654" t="s">
        <v>10161</v>
      </c>
      <c r="BT654" t="str">
        <f>HYPERLINK("https%3A%2F%2Fwww.webofscience.com%2Fwos%2Fwoscc%2Ffull-record%2FWOS:000695377200001","View Full Record in Web of Science")</f>
        <v>View Full Record in Web of Science</v>
      </c>
      <c r="BU654" t="s">
        <v>6100</v>
      </c>
      <c r="BV654" s="1" t="s">
        <v>6080</v>
      </c>
      <c r="BW654" s="1" t="s">
        <v>6080</v>
      </c>
    </row>
    <row r="655" spans="1:75" x14ac:dyDescent="0.35">
      <c r="A655" t="s">
        <v>72</v>
      </c>
      <c r="B655" t="s">
        <v>10207</v>
      </c>
      <c r="C655" t="s">
        <v>74</v>
      </c>
      <c r="D655" t="s">
        <v>74</v>
      </c>
      <c r="E655" t="s">
        <v>74</v>
      </c>
      <c r="F655" t="s">
        <v>10208</v>
      </c>
      <c r="G655" t="s">
        <v>74</v>
      </c>
      <c r="H655" t="s">
        <v>74</v>
      </c>
      <c r="I655" t="s">
        <v>10209</v>
      </c>
      <c r="J655" t="s">
        <v>10046</v>
      </c>
      <c r="K655" t="s">
        <v>74</v>
      </c>
      <c r="L655" t="s">
        <v>74</v>
      </c>
      <c r="M655" t="s">
        <v>78</v>
      </c>
      <c r="N655" t="s">
        <v>79</v>
      </c>
      <c r="O655" t="s">
        <v>74</v>
      </c>
      <c r="P655" t="s">
        <v>74</v>
      </c>
      <c r="Q655" t="s">
        <v>74</v>
      </c>
      <c r="R655" t="s">
        <v>74</v>
      </c>
      <c r="S655" t="s">
        <v>74</v>
      </c>
      <c r="T655" t="s">
        <v>10210</v>
      </c>
      <c r="U655" t="s">
        <v>10211</v>
      </c>
      <c r="V655" t="s">
        <v>10212</v>
      </c>
      <c r="W655" t="s">
        <v>10213</v>
      </c>
      <c r="X655" t="s">
        <v>10214</v>
      </c>
      <c r="Y655" t="s">
        <v>10215</v>
      </c>
      <c r="Z655" t="s">
        <v>10216</v>
      </c>
      <c r="AA655" t="s">
        <v>10217</v>
      </c>
      <c r="AB655" t="s">
        <v>10218</v>
      </c>
      <c r="AC655" t="s">
        <v>74</v>
      </c>
      <c r="AD655" t="s">
        <v>74</v>
      </c>
      <c r="AE655" t="s">
        <v>74</v>
      </c>
      <c r="AF655" t="s">
        <v>74</v>
      </c>
      <c r="AG655">
        <v>58</v>
      </c>
      <c r="AH655">
        <v>16</v>
      </c>
      <c r="AI655">
        <v>16</v>
      </c>
      <c r="AJ655">
        <v>6</v>
      </c>
      <c r="AK655">
        <v>25</v>
      </c>
      <c r="AL655" t="s">
        <v>1982</v>
      </c>
      <c r="AM655" t="s">
        <v>1983</v>
      </c>
      <c r="AN655" t="s">
        <v>2573</v>
      </c>
      <c r="AO655" t="s">
        <v>10059</v>
      </c>
      <c r="AP655" t="s">
        <v>10060</v>
      </c>
      <c r="AQ655" t="s">
        <v>74</v>
      </c>
      <c r="AR655" t="s">
        <v>10061</v>
      </c>
      <c r="AS655" t="s">
        <v>10062</v>
      </c>
      <c r="AT655" t="s">
        <v>10219</v>
      </c>
      <c r="AU655">
        <v>2022</v>
      </c>
      <c r="AV655">
        <v>35</v>
      </c>
      <c r="AW655">
        <v>2</v>
      </c>
      <c r="AX655" t="s">
        <v>74</v>
      </c>
      <c r="AY655" t="s">
        <v>74</v>
      </c>
      <c r="AZ655" t="s">
        <v>74</v>
      </c>
      <c r="BA655" t="s">
        <v>74</v>
      </c>
      <c r="BB655">
        <v>414</v>
      </c>
      <c r="BC655">
        <v>428</v>
      </c>
      <c r="BD655" t="s">
        <v>74</v>
      </c>
      <c r="BE655" t="s">
        <v>10220</v>
      </c>
      <c r="BF655" t="str">
        <f>HYPERLINK("http://dx.doi.org/10.1108/JEIM-10-2020-0426","http://dx.doi.org/10.1108/JEIM-10-2020-0426")</f>
        <v>http://dx.doi.org/10.1108/JEIM-10-2020-0426</v>
      </c>
      <c r="BG655" t="s">
        <v>74</v>
      </c>
      <c r="BH655" t="s">
        <v>6408</v>
      </c>
      <c r="BI655">
        <v>15</v>
      </c>
      <c r="BJ655" t="s">
        <v>10065</v>
      </c>
      <c r="BK655" t="s">
        <v>101</v>
      </c>
      <c r="BL655" t="s">
        <v>1163</v>
      </c>
      <c r="BM655" t="s">
        <v>10221</v>
      </c>
      <c r="BN655" t="s">
        <v>74</v>
      </c>
      <c r="BO655" t="s">
        <v>74</v>
      </c>
      <c r="BP655" t="s">
        <v>74</v>
      </c>
      <c r="BQ655" t="s">
        <v>74</v>
      </c>
      <c r="BR655" t="s">
        <v>6098</v>
      </c>
      <c r="BS655" t="s">
        <v>10222</v>
      </c>
      <c r="BT655" t="str">
        <f>HYPERLINK("https%3A%2F%2Fwww.webofscience.com%2Fwos%2Fwoscc%2Ffull-record%2FWOS:000647765500001","View Full Record in Web of Science")</f>
        <v>View Full Record in Web of Science</v>
      </c>
      <c r="BU655" t="s">
        <v>6100</v>
      </c>
      <c r="BV655" s="1" t="s">
        <v>10653</v>
      </c>
    </row>
    <row r="656" spans="1:75" x14ac:dyDescent="0.35">
      <c r="A656" t="s">
        <v>72</v>
      </c>
      <c r="B656" t="s">
        <v>10239</v>
      </c>
      <c r="C656" t="s">
        <v>74</v>
      </c>
      <c r="D656" t="s">
        <v>74</v>
      </c>
      <c r="E656" t="s">
        <v>74</v>
      </c>
      <c r="F656" t="s">
        <v>10240</v>
      </c>
      <c r="G656" t="s">
        <v>74</v>
      </c>
      <c r="H656" t="s">
        <v>74</v>
      </c>
      <c r="I656" t="s">
        <v>10241</v>
      </c>
      <c r="J656" t="s">
        <v>8022</v>
      </c>
      <c r="K656" t="s">
        <v>74</v>
      </c>
      <c r="L656" t="s">
        <v>74</v>
      </c>
      <c r="M656" t="s">
        <v>78</v>
      </c>
      <c r="N656" t="s">
        <v>79</v>
      </c>
      <c r="O656" t="s">
        <v>74</v>
      </c>
      <c r="P656" t="s">
        <v>74</v>
      </c>
      <c r="Q656" t="s">
        <v>74</v>
      </c>
      <c r="R656" t="s">
        <v>74</v>
      </c>
      <c r="S656" t="s">
        <v>74</v>
      </c>
      <c r="T656" t="s">
        <v>10242</v>
      </c>
      <c r="U656" t="s">
        <v>10243</v>
      </c>
      <c r="V656" t="s">
        <v>10244</v>
      </c>
      <c r="W656" t="s">
        <v>10245</v>
      </c>
      <c r="X656" t="s">
        <v>10246</v>
      </c>
      <c r="Y656" t="s">
        <v>10247</v>
      </c>
      <c r="Z656" t="s">
        <v>10248</v>
      </c>
      <c r="AA656" t="s">
        <v>74</v>
      </c>
      <c r="AB656" t="s">
        <v>10249</v>
      </c>
      <c r="AC656" t="s">
        <v>10250</v>
      </c>
      <c r="AD656" t="s">
        <v>10251</v>
      </c>
      <c r="AE656" t="s">
        <v>10252</v>
      </c>
      <c r="AF656" t="s">
        <v>74</v>
      </c>
      <c r="AG656">
        <v>89</v>
      </c>
      <c r="AH656">
        <v>2</v>
      </c>
      <c r="AI656">
        <v>2</v>
      </c>
      <c r="AJ656">
        <v>23</v>
      </c>
      <c r="AK656">
        <v>42</v>
      </c>
      <c r="AL656" t="s">
        <v>1982</v>
      </c>
      <c r="AM656" t="s">
        <v>1983</v>
      </c>
      <c r="AN656" t="s">
        <v>2573</v>
      </c>
      <c r="AO656" t="s">
        <v>8034</v>
      </c>
      <c r="AP656" t="s">
        <v>8035</v>
      </c>
      <c r="AQ656" t="s">
        <v>74</v>
      </c>
      <c r="AR656" t="s">
        <v>8036</v>
      </c>
      <c r="AS656" t="s">
        <v>8037</v>
      </c>
      <c r="AT656" t="s">
        <v>10253</v>
      </c>
      <c r="AU656">
        <v>2022</v>
      </c>
      <c r="AV656">
        <v>34</v>
      </c>
      <c r="AW656">
        <v>10</v>
      </c>
      <c r="AX656" t="s">
        <v>74</v>
      </c>
      <c r="AY656" t="s">
        <v>74</v>
      </c>
      <c r="AZ656" t="s">
        <v>74</v>
      </c>
      <c r="BA656" t="s">
        <v>74</v>
      </c>
      <c r="BB656">
        <v>2207</v>
      </c>
      <c r="BC656">
        <v>2236</v>
      </c>
      <c r="BD656" t="s">
        <v>74</v>
      </c>
      <c r="BE656" t="s">
        <v>10254</v>
      </c>
      <c r="BF656" t="str">
        <f>HYPERLINK("http://dx.doi.org/10.1108/APJML-02-2021-0137","http://dx.doi.org/10.1108/APJML-02-2021-0137")</f>
        <v>http://dx.doi.org/10.1108/APJML-02-2021-0137</v>
      </c>
      <c r="BG656" t="s">
        <v>74</v>
      </c>
      <c r="BH656" t="s">
        <v>4552</v>
      </c>
      <c r="BI656">
        <v>30</v>
      </c>
      <c r="BJ656" t="s">
        <v>153</v>
      </c>
      <c r="BK656" t="s">
        <v>101</v>
      </c>
      <c r="BL656" t="s">
        <v>154</v>
      </c>
      <c r="BM656" t="s">
        <v>10255</v>
      </c>
      <c r="BN656" t="s">
        <v>74</v>
      </c>
      <c r="BO656" t="s">
        <v>74</v>
      </c>
      <c r="BP656" t="s">
        <v>74</v>
      </c>
      <c r="BQ656" t="s">
        <v>74</v>
      </c>
      <c r="BR656" t="s">
        <v>6098</v>
      </c>
      <c r="BS656" t="s">
        <v>10256</v>
      </c>
      <c r="BT656" t="str">
        <f>HYPERLINK("https%3A%2F%2Fwww.webofscience.com%2Fwos%2Fwoscc%2Ffull-record%2FWOS:000727760800001","View Full Record in Web of Science")</f>
        <v>View Full Record in Web of Science</v>
      </c>
      <c r="BU656" t="s">
        <v>6100</v>
      </c>
      <c r="BV656" s="1" t="s">
        <v>6080</v>
      </c>
      <c r="BW656" s="1" t="s">
        <v>6080</v>
      </c>
    </row>
    <row r="657" spans="1:75" x14ac:dyDescent="0.35">
      <c r="A657" t="s">
        <v>72</v>
      </c>
      <c r="B657" t="s">
        <v>10257</v>
      </c>
      <c r="C657" t="s">
        <v>74</v>
      </c>
      <c r="D657" t="s">
        <v>74</v>
      </c>
      <c r="E657" t="s">
        <v>74</v>
      </c>
      <c r="F657" t="s">
        <v>10258</v>
      </c>
      <c r="G657" t="s">
        <v>74</v>
      </c>
      <c r="H657" t="s">
        <v>74</v>
      </c>
      <c r="I657" t="s">
        <v>10259</v>
      </c>
      <c r="J657" t="s">
        <v>7930</v>
      </c>
      <c r="K657" t="s">
        <v>74</v>
      </c>
      <c r="L657" t="s">
        <v>74</v>
      </c>
      <c r="M657" t="s">
        <v>78</v>
      </c>
      <c r="N657" t="s">
        <v>79</v>
      </c>
      <c r="O657" t="s">
        <v>74</v>
      </c>
      <c r="P657" t="s">
        <v>74</v>
      </c>
      <c r="Q657" t="s">
        <v>74</v>
      </c>
      <c r="R657" t="s">
        <v>74</v>
      </c>
      <c r="S657" t="s">
        <v>74</v>
      </c>
      <c r="T657" t="s">
        <v>10260</v>
      </c>
      <c r="U657" t="s">
        <v>10261</v>
      </c>
      <c r="V657" t="s">
        <v>10262</v>
      </c>
      <c r="W657" t="s">
        <v>10263</v>
      </c>
      <c r="X657" t="s">
        <v>10264</v>
      </c>
      <c r="Y657" t="s">
        <v>10265</v>
      </c>
      <c r="Z657" t="s">
        <v>10266</v>
      </c>
      <c r="AA657" t="s">
        <v>74</v>
      </c>
      <c r="AB657" t="s">
        <v>10267</v>
      </c>
      <c r="AC657" t="s">
        <v>74</v>
      </c>
      <c r="AD657" t="s">
        <v>74</v>
      </c>
      <c r="AE657" t="s">
        <v>74</v>
      </c>
      <c r="AF657" t="s">
        <v>74</v>
      </c>
      <c r="AG657">
        <v>88</v>
      </c>
      <c r="AH657">
        <v>0</v>
      </c>
      <c r="AI657">
        <v>0</v>
      </c>
      <c r="AJ657">
        <v>50</v>
      </c>
      <c r="AK657">
        <v>74</v>
      </c>
      <c r="AL657" t="s">
        <v>652</v>
      </c>
      <c r="AM657" t="s">
        <v>653</v>
      </c>
      <c r="AN657" t="s">
        <v>654</v>
      </c>
      <c r="AO657" t="s">
        <v>7940</v>
      </c>
      <c r="AP657" t="s">
        <v>7941</v>
      </c>
      <c r="AQ657" t="s">
        <v>74</v>
      </c>
      <c r="AR657" t="s">
        <v>7942</v>
      </c>
      <c r="AS657" t="s">
        <v>7943</v>
      </c>
      <c r="AT657" t="s">
        <v>348</v>
      </c>
      <c r="AU657">
        <v>2022</v>
      </c>
      <c r="AV657">
        <v>93</v>
      </c>
      <c r="AW657" t="s">
        <v>74</v>
      </c>
      <c r="AX657" t="s">
        <v>74</v>
      </c>
      <c r="AY657" t="s">
        <v>74</v>
      </c>
      <c r="AZ657" t="s">
        <v>74</v>
      </c>
      <c r="BA657" t="s">
        <v>74</v>
      </c>
      <c r="BB657" t="s">
        <v>74</v>
      </c>
      <c r="BC657" t="s">
        <v>74</v>
      </c>
      <c r="BD657">
        <v>104611</v>
      </c>
      <c r="BE657" t="s">
        <v>10268</v>
      </c>
      <c r="BF657" t="str">
        <f>HYPERLINK("http://dx.doi.org/10.1016/j.tourman.2022.104611","http://dx.doi.org/10.1016/j.tourman.2022.104611")</f>
        <v>http://dx.doi.org/10.1016/j.tourman.2022.104611</v>
      </c>
      <c r="BG657" t="s">
        <v>74</v>
      </c>
      <c r="BH657" t="s">
        <v>7369</v>
      </c>
      <c r="BI657">
        <v>12</v>
      </c>
      <c r="BJ657" t="s">
        <v>7945</v>
      </c>
      <c r="BK657" t="s">
        <v>101</v>
      </c>
      <c r="BL657" t="s">
        <v>7946</v>
      </c>
      <c r="BM657" t="s">
        <v>10269</v>
      </c>
      <c r="BN657" t="s">
        <v>74</v>
      </c>
      <c r="BO657" t="s">
        <v>74</v>
      </c>
      <c r="BP657" t="s">
        <v>74</v>
      </c>
      <c r="BQ657" t="s">
        <v>74</v>
      </c>
      <c r="BR657" t="s">
        <v>6098</v>
      </c>
      <c r="BS657" t="s">
        <v>10270</v>
      </c>
      <c r="BT657" t="str">
        <f>HYPERLINK("https%3A%2F%2Fwww.webofscience.com%2Fwos%2Fwoscc%2Ffull-record%2FWOS:000827258100002","View Full Record in Web of Science")</f>
        <v>View Full Record in Web of Science</v>
      </c>
      <c r="BU657" t="s">
        <v>6100</v>
      </c>
      <c r="BV657" s="1" t="s">
        <v>10653</v>
      </c>
    </row>
    <row r="658" spans="1:75" ht="43.5" x14ac:dyDescent="0.35">
      <c r="A658" s="1" t="s">
        <v>72</v>
      </c>
      <c r="B658" s="1" t="s">
        <v>4281</v>
      </c>
      <c r="C658" s="1" t="s">
        <v>74</v>
      </c>
      <c r="D658" s="1" t="s">
        <v>74</v>
      </c>
      <c r="E658" s="1" t="s">
        <v>74</v>
      </c>
      <c r="F658" s="1" t="s">
        <v>4282</v>
      </c>
      <c r="G658" s="1" t="s">
        <v>74</v>
      </c>
      <c r="H658" s="1" t="s">
        <v>74</v>
      </c>
      <c r="I658" s="1" t="s">
        <v>4283</v>
      </c>
      <c r="J658" s="1" t="s">
        <v>4284</v>
      </c>
      <c r="K658" s="1" t="s">
        <v>74</v>
      </c>
      <c r="L658" s="1" t="s">
        <v>74</v>
      </c>
      <c r="M658" s="1" t="s">
        <v>78</v>
      </c>
      <c r="N658" s="1" t="s">
        <v>3119</v>
      </c>
      <c r="O658" s="1" t="s">
        <v>74</v>
      </c>
      <c r="P658" s="1" t="s">
        <v>74</v>
      </c>
      <c r="Q658" s="1" t="s">
        <v>74</v>
      </c>
      <c r="R658" s="1" t="s">
        <v>74</v>
      </c>
      <c r="S658" s="1" t="s">
        <v>74</v>
      </c>
      <c r="T658" s="1" t="s">
        <v>74</v>
      </c>
      <c r="U658" s="1" t="s">
        <v>74</v>
      </c>
      <c r="V658" s="1" t="s">
        <v>74</v>
      </c>
      <c r="W658" s="1" t="s">
        <v>4285</v>
      </c>
      <c r="X658" s="1" t="s">
        <v>4286</v>
      </c>
      <c r="Y658" s="1" t="s">
        <v>4287</v>
      </c>
      <c r="Z658" s="1" t="s">
        <v>4288</v>
      </c>
      <c r="AA658" s="1" t="s">
        <v>74</v>
      </c>
      <c r="AB658" s="1" t="s">
        <v>74</v>
      </c>
      <c r="AC658" s="1" t="s">
        <v>74</v>
      </c>
      <c r="AD658" s="1" t="s">
        <v>74</v>
      </c>
      <c r="AE658" s="1" t="s">
        <v>74</v>
      </c>
      <c r="AF658" s="1" t="s">
        <v>74</v>
      </c>
      <c r="AG658" s="1">
        <v>5</v>
      </c>
      <c r="AH658" s="1">
        <v>0</v>
      </c>
      <c r="AI658" s="1">
        <v>0</v>
      </c>
      <c r="AJ658" s="1">
        <v>3</v>
      </c>
      <c r="AK658" s="1">
        <v>3</v>
      </c>
      <c r="AL658" s="1" t="s">
        <v>409</v>
      </c>
      <c r="AM658" s="1" t="s">
        <v>410</v>
      </c>
      <c r="AN658" s="1" t="s">
        <v>411</v>
      </c>
      <c r="AO658" s="1" t="s">
        <v>4289</v>
      </c>
      <c r="AP658" s="1" t="s">
        <v>4290</v>
      </c>
      <c r="AQ658" s="1" t="s">
        <v>74</v>
      </c>
      <c r="AR658" s="1" t="s">
        <v>4291</v>
      </c>
      <c r="AS658" s="1" t="s">
        <v>4292</v>
      </c>
      <c r="AT658" s="1" t="s">
        <v>177</v>
      </c>
      <c r="AU658" s="1">
        <v>2023</v>
      </c>
      <c r="AV658" s="1">
        <v>205</v>
      </c>
      <c r="AW658" s="1" t="s">
        <v>74</v>
      </c>
      <c r="AX658" s="1" t="s">
        <v>74</v>
      </c>
      <c r="AY658" s="1" t="s">
        <v>74</v>
      </c>
      <c r="AZ658" s="1" t="s">
        <v>74</v>
      </c>
      <c r="BA658" s="1" t="s">
        <v>74</v>
      </c>
      <c r="BB658" s="1">
        <v>154</v>
      </c>
      <c r="BC658" s="1">
        <v>156</v>
      </c>
      <c r="BD658" s="1" t="s">
        <v>74</v>
      </c>
      <c r="BE658" s="1" t="s">
        <v>4293</v>
      </c>
      <c r="BF658" s="1" t="str">
        <f>HYPERLINK("http://dx.doi.org/10.1016/j.pragma.2023.01.004","http://dx.doi.org/10.1016/j.pragma.2023.01.004")</f>
        <v>http://dx.doi.org/10.1016/j.pragma.2023.01.004</v>
      </c>
      <c r="BG658" s="1" t="s">
        <v>74</v>
      </c>
      <c r="BH658" s="1" t="s">
        <v>4294</v>
      </c>
      <c r="BI658" s="1">
        <v>3</v>
      </c>
      <c r="BJ658" s="1" t="s">
        <v>3757</v>
      </c>
      <c r="BK658" s="1" t="s">
        <v>1532</v>
      </c>
      <c r="BL658" s="1" t="s">
        <v>2540</v>
      </c>
      <c r="BM658" s="1" t="s">
        <v>4295</v>
      </c>
      <c r="BN658" s="1" t="s">
        <v>74</v>
      </c>
      <c r="BO658" s="1" t="s">
        <v>74</v>
      </c>
      <c r="BP658" s="1" t="s">
        <v>74</v>
      </c>
      <c r="BQ658" s="1" t="s">
        <v>74</v>
      </c>
      <c r="BR658" s="1" t="s">
        <v>4296</v>
      </c>
      <c r="BS658" s="1" t="s">
        <v>4297</v>
      </c>
      <c r="BT658" s="1" t="str">
        <f>HYPERLINK("https%3A%2F%2Fwww.webofscience.com%2Fwos%2Fwoscc%2Ffull-record%2FWOS:000925637600001","View Full Record in Web of Science")</f>
        <v>View Full Record in Web of Science</v>
      </c>
      <c r="BU658" s="1" t="s">
        <v>5876</v>
      </c>
      <c r="BV658" s="1" t="s">
        <v>10653</v>
      </c>
    </row>
    <row r="659" spans="1:75" ht="348" x14ac:dyDescent="0.35">
      <c r="A659" s="1" t="s">
        <v>72</v>
      </c>
      <c r="B659" s="1" t="s">
        <v>2873</v>
      </c>
      <c r="C659" s="1" t="s">
        <v>74</v>
      </c>
      <c r="D659" s="1" t="s">
        <v>74</v>
      </c>
      <c r="E659" s="1" t="s">
        <v>74</v>
      </c>
      <c r="F659" s="1" t="s">
        <v>2874</v>
      </c>
      <c r="G659" s="1" t="s">
        <v>74</v>
      </c>
      <c r="H659" s="1" t="s">
        <v>74</v>
      </c>
      <c r="I659" s="1" t="s">
        <v>4432</v>
      </c>
      <c r="J659" s="1" t="s">
        <v>1303</v>
      </c>
      <c r="K659" s="1" t="s">
        <v>74</v>
      </c>
      <c r="L659" s="1" t="s">
        <v>74</v>
      </c>
      <c r="M659" s="1" t="s">
        <v>78</v>
      </c>
      <c r="N659" s="1" t="s">
        <v>79</v>
      </c>
      <c r="O659" s="1" t="s">
        <v>74</v>
      </c>
      <c r="P659" s="1" t="s">
        <v>74</v>
      </c>
      <c r="Q659" s="1" t="s">
        <v>74</v>
      </c>
      <c r="R659" s="1" t="s">
        <v>74</v>
      </c>
      <c r="S659" s="1" t="s">
        <v>74</v>
      </c>
      <c r="T659" s="1" t="s">
        <v>4433</v>
      </c>
      <c r="U659" s="1" t="s">
        <v>4434</v>
      </c>
      <c r="V659" s="1" t="s">
        <v>4435</v>
      </c>
      <c r="W659" s="1" t="s">
        <v>4436</v>
      </c>
      <c r="X659" s="1" t="s">
        <v>2880</v>
      </c>
      <c r="Y659" s="1" t="s">
        <v>4437</v>
      </c>
      <c r="Z659" s="1" t="s">
        <v>2882</v>
      </c>
      <c r="AA659" s="1" t="s">
        <v>74</v>
      </c>
      <c r="AB659" s="1" t="s">
        <v>74</v>
      </c>
      <c r="AC659" s="1" t="s">
        <v>4438</v>
      </c>
      <c r="AD659" s="1" t="s">
        <v>4438</v>
      </c>
      <c r="AE659" s="1" t="s">
        <v>4439</v>
      </c>
      <c r="AF659" s="1" t="s">
        <v>74</v>
      </c>
      <c r="AG659" s="1">
        <v>42</v>
      </c>
      <c r="AH659" s="1">
        <v>0</v>
      </c>
      <c r="AI659" s="1">
        <v>0</v>
      </c>
      <c r="AJ659" s="1">
        <v>2</v>
      </c>
      <c r="AK659" s="1">
        <v>7</v>
      </c>
      <c r="AL659" s="1" t="s">
        <v>144</v>
      </c>
      <c r="AM659" s="1" t="s">
        <v>145</v>
      </c>
      <c r="AN659" s="1" t="s">
        <v>146</v>
      </c>
      <c r="AO659" s="1" t="s">
        <v>1311</v>
      </c>
      <c r="AP659" s="1" t="s">
        <v>1312</v>
      </c>
      <c r="AQ659" s="1" t="s">
        <v>74</v>
      </c>
      <c r="AR659" s="1" t="s">
        <v>1313</v>
      </c>
      <c r="AS659" s="1" t="s">
        <v>1314</v>
      </c>
      <c r="AT659" s="1" t="s">
        <v>363</v>
      </c>
      <c r="AU659" s="1">
        <v>2023</v>
      </c>
      <c r="AV659" s="1">
        <v>14</v>
      </c>
      <c r="AW659" s="1">
        <v>2</v>
      </c>
      <c r="AX659" s="1" t="s">
        <v>74</v>
      </c>
      <c r="AY659" s="1" t="s">
        <v>74</v>
      </c>
      <c r="AZ659" s="1" t="s">
        <v>74</v>
      </c>
      <c r="BA659" s="1" t="s">
        <v>74</v>
      </c>
      <c r="BB659" s="1">
        <v>141</v>
      </c>
      <c r="BC659" s="1">
        <v>155</v>
      </c>
      <c r="BD659" s="1">
        <v>1.9485506221082736E+16</v>
      </c>
      <c r="BE659" s="1" t="s">
        <v>4440</v>
      </c>
      <c r="BF659" s="1" t="str">
        <f>HYPERLINK("http://dx.doi.org/10.1177/19485506221082737","http://dx.doi.org/10.1177/19485506221082737")</f>
        <v>http://dx.doi.org/10.1177/19485506221082737</v>
      </c>
      <c r="BG659" s="1" t="s">
        <v>74</v>
      </c>
      <c r="BH659" s="1" t="s">
        <v>4441</v>
      </c>
      <c r="BI659" s="1">
        <v>15</v>
      </c>
      <c r="BJ659" s="1" t="s">
        <v>100</v>
      </c>
      <c r="BK659" s="1" t="s">
        <v>101</v>
      </c>
      <c r="BL659" s="1" t="s">
        <v>102</v>
      </c>
      <c r="BM659" s="1" t="s">
        <v>4442</v>
      </c>
      <c r="BN659" s="1" t="s">
        <v>74</v>
      </c>
      <c r="BO659" s="1" t="s">
        <v>74</v>
      </c>
      <c r="BP659" s="1" t="s">
        <v>74</v>
      </c>
      <c r="BQ659" s="1" t="s">
        <v>74</v>
      </c>
      <c r="BR659" s="1" t="s">
        <v>4296</v>
      </c>
      <c r="BS659" s="1" t="s">
        <v>4443</v>
      </c>
      <c r="BT659" s="1" t="str">
        <f>HYPERLINK("https%3A%2F%2Fwww.webofscience.com%2Fwos%2Fwoscc%2Ffull-record%2FWOS:000780133200001","View Full Record in Web of Science")</f>
        <v>View Full Record in Web of Science</v>
      </c>
      <c r="BU659" s="1" t="s">
        <v>5876</v>
      </c>
      <c r="BV659" s="1" t="s">
        <v>10653</v>
      </c>
    </row>
    <row r="660" spans="1:75" x14ac:dyDescent="0.35">
      <c r="A660" t="s">
        <v>72</v>
      </c>
      <c r="B660" t="s">
        <v>6612</v>
      </c>
      <c r="C660" t="s">
        <v>74</v>
      </c>
      <c r="D660" t="s">
        <v>74</v>
      </c>
      <c r="E660" t="s">
        <v>74</v>
      </c>
      <c r="F660" t="s">
        <v>6613</v>
      </c>
      <c r="G660" t="s">
        <v>74</v>
      </c>
      <c r="H660" t="s">
        <v>74</v>
      </c>
      <c r="I660" t="s">
        <v>6614</v>
      </c>
      <c r="J660" t="s">
        <v>6281</v>
      </c>
      <c r="K660" t="s">
        <v>74</v>
      </c>
      <c r="L660" t="s">
        <v>74</v>
      </c>
      <c r="M660" t="s">
        <v>78</v>
      </c>
      <c r="N660" t="s">
        <v>79</v>
      </c>
      <c r="O660" t="s">
        <v>74</v>
      </c>
      <c r="P660" t="s">
        <v>74</v>
      </c>
      <c r="Q660" t="s">
        <v>74</v>
      </c>
      <c r="R660" t="s">
        <v>74</v>
      </c>
      <c r="S660" t="s">
        <v>74</v>
      </c>
      <c r="T660" t="s">
        <v>6615</v>
      </c>
      <c r="U660" t="s">
        <v>6616</v>
      </c>
      <c r="V660" t="s">
        <v>6617</v>
      </c>
      <c r="W660" t="s">
        <v>6618</v>
      </c>
      <c r="X660" t="s">
        <v>6619</v>
      </c>
      <c r="Y660" t="s">
        <v>6620</v>
      </c>
      <c r="Z660" t="s">
        <v>6621</v>
      </c>
      <c r="AA660" t="s">
        <v>74</v>
      </c>
      <c r="AB660" t="s">
        <v>6622</v>
      </c>
      <c r="AC660" t="s">
        <v>6623</v>
      </c>
      <c r="AD660" t="s">
        <v>6624</v>
      </c>
      <c r="AE660" t="s">
        <v>6625</v>
      </c>
      <c r="AF660" t="s">
        <v>74</v>
      </c>
      <c r="AG660">
        <v>89</v>
      </c>
      <c r="AH660">
        <v>1</v>
      </c>
      <c r="AI660">
        <v>1</v>
      </c>
      <c r="AJ660">
        <v>45</v>
      </c>
      <c r="AK660">
        <v>45</v>
      </c>
      <c r="AL660" t="s">
        <v>652</v>
      </c>
      <c r="AM660" t="s">
        <v>653</v>
      </c>
      <c r="AN660" t="s">
        <v>654</v>
      </c>
      <c r="AO660" t="s">
        <v>6294</v>
      </c>
      <c r="AP660" t="s">
        <v>6295</v>
      </c>
      <c r="AQ660" t="s">
        <v>74</v>
      </c>
      <c r="AR660" t="s">
        <v>6296</v>
      </c>
      <c r="AS660" t="s">
        <v>6297</v>
      </c>
      <c r="AT660" t="s">
        <v>213</v>
      </c>
      <c r="AU660">
        <v>2023</v>
      </c>
      <c r="AV660">
        <v>70</v>
      </c>
      <c r="AW660" t="s">
        <v>74</v>
      </c>
      <c r="AX660" t="s">
        <v>74</v>
      </c>
      <c r="AY660" t="s">
        <v>74</v>
      </c>
      <c r="AZ660" t="s">
        <v>74</v>
      </c>
      <c r="BA660" t="s">
        <v>74</v>
      </c>
      <c r="BB660" t="s">
        <v>74</v>
      </c>
      <c r="BC660" t="s">
        <v>74</v>
      </c>
      <c r="BD660">
        <v>103156</v>
      </c>
      <c r="BE660" t="s">
        <v>6626</v>
      </c>
      <c r="BF660" t="str">
        <f>HYPERLINK("http://dx.doi.org/10.1016/j.jretconser.2022.103156","http://dx.doi.org/10.1016/j.jretconser.2022.103156")</f>
        <v>http://dx.doi.org/10.1016/j.jretconser.2022.103156</v>
      </c>
      <c r="BG660" t="s">
        <v>74</v>
      </c>
      <c r="BH660" t="s">
        <v>74</v>
      </c>
      <c r="BI660">
        <v>14</v>
      </c>
      <c r="BJ660" t="s">
        <v>153</v>
      </c>
      <c r="BK660" t="s">
        <v>101</v>
      </c>
      <c r="BL660" t="s">
        <v>154</v>
      </c>
      <c r="BM660" t="s">
        <v>6627</v>
      </c>
      <c r="BN660" t="s">
        <v>74</v>
      </c>
      <c r="BO660" t="s">
        <v>74</v>
      </c>
      <c r="BP660" t="s">
        <v>74</v>
      </c>
      <c r="BQ660" t="s">
        <v>74</v>
      </c>
      <c r="BR660" t="s">
        <v>6098</v>
      </c>
      <c r="BS660" t="s">
        <v>6628</v>
      </c>
      <c r="BT660" t="str">
        <f>HYPERLINK("https%3A%2F%2Fwww.webofscience.com%2Fwos%2Fwoscc%2Ffull-record%2FWOS:000882144500003","View Full Record in Web of Science")</f>
        <v>View Full Record in Web of Science</v>
      </c>
      <c r="BU660" t="s">
        <v>6100</v>
      </c>
      <c r="BV660" s="1" t="s">
        <v>6080</v>
      </c>
      <c r="BW660" s="1" t="s">
        <v>6080</v>
      </c>
    </row>
    <row r="661" spans="1:75" ht="409.5" x14ac:dyDescent="0.35">
      <c r="A661" t="s">
        <v>72</v>
      </c>
      <c r="B661" t="s">
        <v>6726</v>
      </c>
      <c r="C661" t="s">
        <v>74</v>
      </c>
      <c r="D661" t="s">
        <v>74</v>
      </c>
      <c r="E661" t="s">
        <v>74</v>
      </c>
      <c r="F661" t="s">
        <v>6727</v>
      </c>
      <c r="G661" t="s">
        <v>74</v>
      </c>
      <c r="H661" t="s">
        <v>74</v>
      </c>
      <c r="I661" t="s">
        <v>6728</v>
      </c>
      <c r="J661" t="s">
        <v>6281</v>
      </c>
      <c r="K661" t="s">
        <v>74</v>
      </c>
      <c r="L661" t="s">
        <v>74</v>
      </c>
      <c r="M661" t="s">
        <v>78</v>
      </c>
      <c r="N661" t="s">
        <v>79</v>
      </c>
      <c r="O661" t="s">
        <v>74</v>
      </c>
      <c r="P661" t="s">
        <v>74</v>
      </c>
      <c r="Q661" t="s">
        <v>74</v>
      </c>
      <c r="R661" t="s">
        <v>74</v>
      </c>
      <c r="S661" t="s">
        <v>74</v>
      </c>
      <c r="T661" t="s">
        <v>6729</v>
      </c>
      <c r="U661" t="s">
        <v>6730</v>
      </c>
      <c r="V661" s="1" t="s">
        <v>6731</v>
      </c>
      <c r="W661" t="s">
        <v>6732</v>
      </c>
      <c r="X661" t="s">
        <v>6733</v>
      </c>
      <c r="Y661" t="s">
        <v>6734</v>
      </c>
      <c r="Z661" t="s">
        <v>6735</v>
      </c>
      <c r="AA661" t="s">
        <v>74</v>
      </c>
      <c r="AB661" t="s">
        <v>74</v>
      </c>
      <c r="AC661" t="s">
        <v>6736</v>
      </c>
      <c r="AD661" t="s">
        <v>6737</v>
      </c>
      <c r="AE661" t="s">
        <v>6738</v>
      </c>
      <c r="AF661" t="s">
        <v>74</v>
      </c>
      <c r="AG661">
        <v>98</v>
      </c>
      <c r="AH661">
        <v>1</v>
      </c>
      <c r="AI661">
        <v>1</v>
      </c>
      <c r="AJ661">
        <v>4</v>
      </c>
      <c r="AK661">
        <v>4</v>
      </c>
      <c r="AL661" t="s">
        <v>652</v>
      </c>
      <c r="AM661" t="s">
        <v>653</v>
      </c>
      <c r="AN661" t="s">
        <v>654</v>
      </c>
      <c r="AO661" t="s">
        <v>6294</v>
      </c>
      <c r="AP661" t="s">
        <v>6295</v>
      </c>
      <c r="AQ661" t="s">
        <v>74</v>
      </c>
      <c r="AR661" t="s">
        <v>6296</v>
      </c>
      <c r="AS661" t="s">
        <v>6297</v>
      </c>
      <c r="AT661" t="s">
        <v>213</v>
      </c>
      <c r="AU661">
        <v>2023</v>
      </c>
      <c r="AV661">
        <v>70</v>
      </c>
      <c r="AW661" t="s">
        <v>74</v>
      </c>
      <c r="AX661" t="s">
        <v>74</v>
      </c>
      <c r="AY661" t="s">
        <v>74</v>
      </c>
      <c r="AZ661" t="s">
        <v>74</v>
      </c>
      <c r="BA661" t="s">
        <v>74</v>
      </c>
      <c r="BB661" t="s">
        <v>74</v>
      </c>
      <c r="BC661" t="s">
        <v>74</v>
      </c>
      <c r="BD661">
        <v>103170</v>
      </c>
      <c r="BE661" t="s">
        <v>6739</v>
      </c>
      <c r="BF661" t="str">
        <f>HYPERLINK("http://dx.doi.org/10.1016/j.jretconser.2022.103170","http://dx.doi.org/10.1016/j.jretconser.2022.103170")</f>
        <v>http://dx.doi.org/10.1016/j.jretconser.2022.103170</v>
      </c>
      <c r="BG661" t="s">
        <v>74</v>
      </c>
      <c r="BH661" t="s">
        <v>74</v>
      </c>
      <c r="BI661">
        <v>15</v>
      </c>
      <c r="BJ661" t="s">
        <v>153</v>
      </c>
      <c r="BK661" t="s">
        <v>101</v>
      </c>
      <c r="BL661" t="s">
        <v>154</v>
      </c>
      <c r="BM661" t="s">
        <v>6740</v>
      </c>
      <c r="BN661" t="s">
        <v>74</v>
      </c>
      <c r="BO661" t="s">
        <v>74</v>
      </c>
      <c r="BP661" t="s">
        <v>74</v>
      </c>
      <c r="BQ661" t="s">
        <v>74</v>
      </c>
      <c r="BR661" t="s">
        <v>6098</v>
      </c>
      <c r="BS661" t="s">
        <v>6741</v>
      </c>
      <c r="BT661" t="str">
        <f>HYPERLINK("https%3A%2F%2Fwww.webofscience.com%2Fwos%2Fwoscc%2Ffull-record%2FWOS:000934148200003","View Full Record in Web of Science")</f>
        <v>View Full Record in Web of Science</v>
      </c>
      <c r="BU661" t="s">
        <v>6100</v>
      </c>
      <c r="BV661" s="1" t="s">
        <v>6080</v>
      </c>
      <c r="BW661" s="1" t="s">
        <v>6080</v>
      </c>
    </row>
    <row r="662" spans="1:75" x14ac:dyDescent="0.35">
      <c r="A662" t="s">
        <v>72</v>
      </c>
      <c r="B662" t="s">
        <v>7576</v>
      </c>
      <c r="C662" t="s">
        <v>74</v>
      </c>
      <c r="D662" t="s">
        <v>74</v>
      </c>
      <c r="E662" t="s">
        <v>74</v>
      </c>
      <c r="F662" t="s">
        <v>7577</v>
      </c>
      <c r="G662" t="s">
        <v>74</v>
      </c>
      <c r="H662" t="s">
        <v>74</v>
      </c>
      <c r="I662" t="s">
        <v>7578</v>
      </c>
      <c r="J662" t="s">
        <v>7579</v>
      </c>
      <c r="K662" t="s">
        <v>74</v>
      </c>
      <c r="L662" t="s">
        <v>74</v>
      </c>
      <c r="M662" t="s">
        <v>78</v>
      </c>
      <c r="N662" t="s">
        <v>79</v>
      </c>
      <c r="O662" t="s">
        <v>74</v>
      </c>
      <c r="P662" t="s">
        <v>74</v>
      </c>
      <c r="Q662" t="s">
        <v>74</v>
      </c>
      <c r="R662" t="s">
        <v>74</v>
      </c>
      <c r="S662" t="s">
        <v>74</v>
      </c>
      <c r="T662" t="s">
        <v>7580</v>
      </c>
      <c r="U662" t="s">
        <v>7581</v>
      </c>
      <c r="V662" t="s">
        <v>7582</v>
      </c>
      <c r="W662" t="s">
        <v>7583</v>
      </c>
      <c r="X662" t="s">
        <v>7584</v>
      </c>
      <c r="Y662" t="s">
        <v>7585</v>
      </c>
      <c r="Z662" t="s">
        <v>7586</v>
      </c>
      <c r="AA662" t="s">
        <v>7587</v>
      </c>
      <c r="AB662" t="s">
        <v>7588</v>
      </c>
      <c r="AC662" t="s">
        <v>74</v>
      </c>
      <c r="AD662" t="s">
        <v>74</v>
      </c>
      <c r="AE662" t="s">
        <v>74</v>
      </c>
      <c r="AF662" t="s">
        <v>74</v>
      </c>
      <c r="AG662">
        <v>67</v>
      </c>
      <c r="AH662">
        <v>0</v>
      </c>
      <c r="AI662">
        <v>0</v>
      </c>
      <c r="AJ662">
        <v>4</v>
      </c>
      <c r="AK662">
        <v>10</v>
      </c>
      <c r="AL662" t="s">
        <v>7170</v>
      </c>
      <c r="AM662" t="s">
        <v>7171</v>
      </c>
      <c r="AN662" t="s">
        <v>7172</v>
      </c>
      <c r="AO662" t="s">
        <v>7589</v>
      </c>
      <c r="AP662" t="s">
        <v>7590</v>
      </c>
      <c r="AQ662" t="s">
        <v>74</v>
      </c>
      <c r="AR662" t="s">
        <v>7591</v>
      </c>
      <c r="AS662" t="s">
        <v>7592</v>
      </c>
      <c r="AT662" t="s">
        <v>363</v>
      </c>
      <c r="AU662">
        <v>2023</v>
      </c>
      <c r="AV662">
        <v>20</v>
      </c>
      <c r="AW662">
        <v>1</v>
      </c>
      <c r="AX662" t="s">
        <v>74</v>
      </c>
      <c r="AY662" t="s">
        <v>74</v>
      </c>
      <c r="AZ662" t="s">
        <v>74</v>
      </c>
      <c r="BA662" t="s">
        <v>74</v>
      </c>
      <c r="BB662">
        <v>149</v>
      </c>
      <c r="BC662">
        <v>167</v>
      </c>
      <c r="BD662" t="s">
        <v>74</v>
      </c>
      <c r="BE662" t="s">
        <v>7593</v>
      </c>
      <c r="BF662" t="str">
        <f>HYPERLINK("http://dx.doi.org/10.1007/s12208-022-00332-8","http://dx.doi.org/10.1007/s12208-022-00332-8")</f>
        <v>http://dx.doi.org/10.1007/s12208-022-00332-8</v>
      </c>
      <c r="BG662" t="s">
        <v>74</v>
      </c>
      <c r="BH662" t="s">
        <v>4501</v>
      </c>
      <c r="BI662">
        <v>19</v>
      </c>
      <c r="BJ662" t="s">
        <v>153</v>
      </c>
      <c r="BK662" t="s">
        <v>3880</v>
      </c>
      <c r="BL662" t="s">
        <v>154</v>
      </c>
      <c r="BM662" t="s">
        <v>7594</v>
      </c>
      <c r="BN662" t="s">
        <v>74</v>
      </c>
      <c r="BO662" t="s">
        <v>662</v>
      </c>
      <c r="BP662" t="s">
        <v>74</v>
      </c>
      <c r="BQ662" t="s">
        <v>74</v>
      </c>
      <c r="BR662" t="s">
        <v>6098</v>
      </c>
      <c r="BS662" t="s">
        <v>7595</v>
      </c>
      <c r="BT662" t="str">
        <f>HYPERLINK("https%3A%2F%2Fwww.webofscience.com%2Fwos%2Fwoscc%2Ffull-record%2FWOS:000757147200001","View Full Record in Web of Science")</f>
        <v>View Full Record in Web of Science</v>
      </c>
      <c r="BU662" t="s">
        <v>6100</v>
      </c>
      <c r="BV662" s="1" t="s">
        <v>6080</v>
      </c>
      <c r="BW662" s="1" t="s">
        <v>6080</v>
      </c>
    </row>
    <row r="663" spans="1:75" ht="409.5" x14ac:dyDescent="0.35">
      <c r="A663" t="s">
        <v>72</v>
      </c>
      <c r="B663" t="s">
        <v>7853</v>
      </c>
      <c r="C663" t="s">
        <v>74</v>
      </c>
      <c r="D663" t="s">
        <v>74</v>
      </c>
      <c r="E663" t="s">
        <v>74</v>
      </c>
      <c r="F663" t="s">
        <v>7854</v>
      </c>
      <c r="G663" t="s">
        <v>74</v>
      </c>
      <c r="H663" t="s">
        <v>74</v>
      </c>
      <c r="I663" t="s">
        <v>7855</v>
      </c>
      <c r="J663" t="s">
        <v>7268</v>
      </c>
      <c r="K663" t="s">
        <v>74</v>
      </c>
      <c r="L663" t="s">
        <v>74</v>
      </c>
      <c r="M663" t="s">
        <v>78</v>
      </c>
      <c r="N663" t="s">
        <v>79</v>
      </c>
      <c r="O663" t="s">
        <v>74</v>
      </c>
      <c r="P663" t="s">
        <v>74</v>
      </c>
      <c r="Q663" t="s">
        <v>74</v>
      </c>
      <c r="R663" t="s">
        <v>74</v>
      </c>
      <c r="S663" t="s">
        <v>74</v>
      </c>
      <c r="T663" t="s">
        <v>7856</v>
      </c>
      <c r="U663" t="s">
        <v>7857</v>
      </c>
      <c r="V663" s="1" t="s">
        <v>7858</v>
      </c>
      <c r="W663" t="s">
        <v>7859</v>
      </c>
      <c r="X663" t="s">
        <v>7860</v>
      </c>
      <c r="Y663" t="s">
        <v>7861</v>
      </c>
      <c r="Z663" t="s">
        <v>7862</v>
      </c>
      <c r="AA663" t="s">
        <v>74</v>
      </c>
      <c r="AB663" t="s">
        <v>74</v>
      </c>
      <c r="AC663" t="s">
        <v>74</v>
      </c>
      <c r="AD663" t="s">
        <v>74</v>
      </c>
      <c r="AE663" t="s">
        <v>74</v>
      </c>
      <c r="AF663" t="s">
        <v>74</v>
      </c>
      <c r="AG663">
        <v>59</v>
      </c>
      <c r="AH663">
        <v>2</v>
      </c>
      <c r="AI663">
        <v>2</v>
      </c>
      <c r="AJ663">
        <v>11</v>
      </c>
      <c r="AK663">
        <v>24</v>
      </c>
      <c r="AL663" t="s">
        <v>1982</v>
      </c>
      <c r="AM663" t="s">
        <v>1983</v>
      </c>
      <c r="AN663" t="s">
        <v>2573</v>
      </c>
      <c r="AO663" t="s">
        <v>7276</v>
      </c>
      <c r="AP663" t="s">
        <v>7277</v>
      </c>
      <c r="AQ663" t="s">
        <v>74</v>
      </c>
      <c r="AR663" t="s">
        <v>7278</v>
      </c>
      <c r="AS663" t="s">
        <v>7279</v>
      </c>
      <c r="AT663" t="s">
        <v>7863</v>
      </c>
      <c r="AU663">
        <v>2023</v>
      </c>
      <c r="AV663">
        <v>40</v>
      </c>
      <c r="AW663">
        <v>2</v>
      </c>
      <c r="AX663" t="s">
        <v>74</v>
      </c>
      <c r="AY663" t="s">
        <v>74</v>
      </c>
      <c r="AZ663" t="s">
        <v>259</v>
      </c>
      <c r="BA663" t="s">
        <v>74</v>
      </c>
      <c r="BB663">
        <v>235</v>
      </c>
      <c r="BC663">
        <v>247</v>
      </c>
      <c r="BD663" t="s">
        <v>74</v>
      </c>
      <c r="BE663" t="s">
        <v>7864</v>
      </c>
      <c r="BF663" t="str">
        <f>HYPERLINK("http://dx.doi.org/10.1108/JCM-04-2021-4577","http://dx.doi.org/10.1108/JCM-04-2021-4577")</f>
        <v>http://dx.doi.org/10.1108/JCM-04-2021-4577</v>
      </c>
      <c r="BG663" t="s">
        <v>74</v>
      </c>
      <c r="BH663" t="s">
        <v>4516</v>
      </c>
      <c r="BI663">
        <v>13</v>
      </c>
      <c r="BJ663" t="s">
        <v>153</v>
      </c>
      <c r="BK663" t="s">
        <v>3880</v>
      </c>
      <c r="BL663" t="s">
        <v>154</v>
      </c>
      <c r="BM663" t="s">
        <v>7865</v>
      </c>
      <c r="BN663" t="s">
        <v>74</v>
      </c>
      <c r="BO663" t="s">
        <v>156</v>
      </c>
      <c r="BP663" t="s">
        <v>74</v>
      </c>
      <c r="BQ663" t="s">
        <v>74</v>
      </c>
      <c r="BR663" t="s">
        <v>6098</v>
      </c>
      <c r="BS663" t="s">
        <v>7866</v>
      </c>
      <c r="BT663" t="str">
        <f>HYPERLINK("https%3A%2F%2Fwww.webofscience.com%2Fwos%2Fwoscc%2Ffull-record%2FWOS:000751385700001","View Full Record in Web of Science")</f>
        <v>View Full Record in Web of Science</v>
      </c>
      <c r="BU663" t="s">
        <v>6100</v>
      </c>
      <c r="BV663" s="1" t="s">
        <v>6080</v>
      </c>
      <c r="BW663" s="1" t="s">
        <v>6080</v>
      </c>
    </row>
    <row r="664" spans="1:75" x14ac:dyDescent="0.35">
      <c r="A664" t="s">
        <v>72</v>
      </c>
      <c r="B664" t="s">
        <v>7912</v>
      </c>
      <c r="C664" t="s">
        <v>74</v>
      </c>
      <c r="D664" t="s">
        <v>74</v>
      </c>
      <c r="E664" t="s">
        <v>74</v>
      </c>
      <c r="F664" t="s">
        <v>8042</v>
      </c>
      <c r="G664" t="s">
        <v>74</v>
      </c>
      <c r="H664" t="s">
        <v>74</v>
      </c>
      <c r="I664" t="s">
        <v>8043</v>
      </c>
      <c r="J664" t="s">
        <v>7076</v>
      </c>
      <c r="K664" t="s">
        <v>74</v>
      </c>
      <c r="L664" t="s">
        <v>74</v>
      </c>
      <c r="M664" t="s">
        <v>78</v>
      </c>
      <c r="N664" t="s">
        <v>79</v>
      </c>
      <c r="O664" t="s">
        <v>74</v>
      </c>
      <c r="P664" t="s">
        <v>74</v>
      </c>
      <c r="Q664" t="s">
        <v>74</v>
      </c>
      <c r="R664" t="s">
        <v>74</v>
      </c>
      <c r="S664" t="s">
        <v>74</v>
      </c>
      <c r="T664" t="s">
        <v>8044</v>
      </c>
      <c r="U664" t="s">
        <v>8045</v>
      </c>
      <c r="V664" t="s">
        <v>8046</v>
      </c>
      <c r="W664" t="s">
        <v>8047</v>
      </c>
      <c r="X664" t="s">
        <v>8048</v>
      </c>
      <c r="Y664" t="s">
        <v>8049</v>
      </c>
      <c r="Z664" t="s">
        <v>8050</v>
      </c>
      <c r="AA664" t="s">
        <v>74</v>
      </c>
      <c r="AB664" t="s">
        <v>74</v>
      </c>
      <c r="AC664" t="s">
        <v>8051</v>
      </c>
      <c r="AD664" t="s">
        <v>8052</v>
      </c>
      <c r="AE664" t="s">
        <v>8053</v>
      </c>
      <c r="AF664" t="s">
        <v>74</v>
      </c>
      <c r="AG664">
        <v>79</v>
      </c>
      <c r="AH664">
        <v>0</v>
      </c>
      <c r="AI664">
        <v>0</v>
      </c>
      <c r="AJ664">
        <v>1</v>
      </c>
      <c r="AK664">
        <v>1</v>
      </c>
      <c r="AL664" t="s">
        <v>7084</v>
      </c>
      <c r="AM664" t="s">
        <v>7085</v>
      </c>
      <c r="AN664" t="s">
        <v>7086</v>
      </c>
      <c r="AO664" t="s">
        <v>7087</v>
      </c>
      <c r="AP664" t="s">
        <v>7088</v>
      </c>
      <c r="AQ664" t="s">
        <v>74</v>
      </c>
      <c r="AR664" t="s">
        <v>7089</v>
      </c>
      <c r="AS664" t="s">
        <v>7090</v>
      </c>
      <c r="AT664" t="s">
        <v>74</v>
      </c>
      <c r="AU664">
        <v>2023</v>
      </c>
      <c r="AV664">
        <v>18</v>
      </c>
      <c r="AW664">
        <v>1</v>
      </c>
      <c r="AX664" t="s">
        <v>74</v>
      </c>
      <c r="AY664" t="s">
        <v>74</v>
      </c>
      <c r="AZ664" t="s">
        <v>74</v>
      </c>
      <c r="BA664" t="s">
        <v>74</v>
      </c>
      <c r="BB664">
        <v>58</v>
      </c>
      <c r="BC664">
        <v>81</v>
      </c>
      <c r="BD664" t="s">
        <v>74</v>
      </c>
      <c r="BE664" t="s">
        <v>8054</v>
      </c>
      <c r="BF664" t="str">
        <f>HYPERLINK("http://dx.doi.org/10.1504/IJIMA.2023.128150","http://dx.doi.org/10.1504/IJIMA.2023.128150")</f>
        <v>http://dx.doi.org/10.1504/IJIMA.2023.128150</v>
      </c>
      <c r="BG664" t="s">
        <v>74</v>
      </c>
      <c r="BH664" t="s">
        <v>74</v>
      </c>
      <c r="BI664">
        <v>25</v>
      </c>
      <c r="BJ664" t="s">
        <v>153</v>
      </c>
      <c r="BK664" t="s">
        <v>3880</v>
      </c>
      <c r="BL664" t="s">
        <v>154</v>
      </c>
      <c r="BM664" t="s">
        <v>8055</v>
      </c>
      <c r="BN664" t="s">
        <v>74</v>
      </c>
      <c r="BO664" t="s">
        <v>74</v>
      </c>
      <c r="BP664" t="s">
        <v>74</v>
      </c>
      <c r="BQ664" t="s">
        <v>74</v>
      </c>
      <c r="BR664" t="s">
        <v>6098</v>
      </c>
      <c r="BS664" t="s">
        <v>8056</v>
      </c>
      <c r="BT664" t="str">
        <f>HYPERLINK("https%3A%2F%2Fwww.webofscience.com%2Fwos%2Fwoscc%2Ffull-record%2FWOS:000913236300003","View Full Record in Web of Science")</f>
        <v>View Full Record in Web of Science</v>
      </c>
      <c r="BU664" t="s">
        <v>6100</v>
      </c>
      <c r="BV664" s="1" t="s">
        <v>6080</v>
      </c>
      <c r="BW664" s="1" t="s">
        <v>6080</v>
      </c>
    </row>
    <row r="665" spans="1:75" x14ac:dyDescent="0.35">
      <c r="A665" t="s">
        <v>72</v>
      </c>
      <c r="B665" t="s">
        <v>8262</v>
      </c>
      <c r="C665" t="s">
        <v>74</v>
      </c>
      <c r="D665" t="s">
        <v>74</v>
      </c>
      <c r="E665" t="s">
        <v>74</v>
      </c>
      <c r="F665" t="s">
        <v>8263</v>
      </c>
      <c r="G665" t="s">
        <v>74</v>
      </c>
      <c r="H665" t="s">
        <v>74</v>
      </c>
      <c r="I665" t="s">
        <v>8264</v>
      </c>
      <c r="J665" t="s">
        <v>8265</v>
      </c>
      <c r="K665" t="s">
        <v>74</v>
      </c>
      <c r="L665" t="s">
        <v>74</v>
      </c>
      <c r="M665" t="s">
        <v>78</v>
      </c>
      <c r="N665" t="s">
        <v>79</v>
      </c>
      <c r="O665" t="s">
        <v>74</v>
      </c>
      <c r="P665" t="s">
        <v>74</v>
      </c>
      <c r="Q665" t="s">
        <v>74</v>
      </c>
      <c r="R665" t="s">
        <v>74</v>
      </c>
      <c r="S665" t="s">
        <v>74</v>
      </c>
      <c r="T665" t="s">
        <v>8266</v>
      </c>
      <c r="U665" t="s">
        <v>8267</v>
      </c>
      <c r="V665" t="s">
        <v>8268</v>
      </c>
      <c r="W665" t="s">
        <v>8269</v>
      </c>
      <c r="X665" t="s">
        <v>8270</v>
      </c>
      <c r="Y665" t="s">
        <v>8271</v>
      </c>
      <c r="Z665" t="s">
        <v>8272</v>
      </c>
      <c r="AA665" t="s">
        <v>74</v>
      </c>
      <c r="AB665" t="s">
        <v>8273</v>
      </c>
      <c r="AC665" t="s">
        <v>74</v>
      </c>
      <c r="AD665" t="s">
        <v>74</v>
      </c>
      <c r="AE665" t="s">
        <v>74</v>
      </c>
      <c r="AF665" t="s">
        <v>74</v>
      </c>
      <c r="AG665">
        <v>58</v>
      </c>
      <c r="AH665">
        <v>0</v>
      </c>
      <c r="AI665">
        <v>0</v>
      </c>
      <c r="AJ665">
        <v>15</v>
      </c>
      <c r="AK665">
        <v>34</v>
      </c>
      <c r="AL665" t="s">
        <v>144</v>
      </c>
      <c r="AM665" t="s">
        <v>145</v>
      </c>
      <c r="AN665" t="s">
        <v>146</v>
      </c>
      <c r="AO665" t="s">
        <v>8274</v>
      </c>
      <c r="AP665" t="s">
        <v>8275</v>
      </c>
      <c r="AQ665" t="s">
        <v>74</v>
      </c>
      <c r="AR665" t="s">
        <v>8276</v>
      </c>
      <c r="AS665" t="s">
        <v>8277</v>
      </c>
      <c r="AT665" t="s">
        <v>177</v>
      </c>
      <c r="AU665">
        <v>2023</v>
      </c>
      <c r="AV665">
        <v>26</v>
      </c>
      <c r="AW665">
        <v>1</v>
      </c>
      <c r="AX665" t="s">
        <v>74</v>
      </c>
      <c r="AY665" t="s">
        <v>74</v>
      </c>
      <c r="AZ665" t="s">
        <v>74</v>
      </c>
      <c r="BA665" t="s">
        <v>74</v>
      </c>
      <c r="BB665">
        <v>136</v>
      </c>
      <c r="BC665">
        <v>150</v>
      </c>
      <c r="BD665">
        <v>1.09467052110671E+16</v>
      </c>
      <c r="BE665" t="s">
        <v>8278</v>
      </c>
      <c r="BF665" t="str">
        <f>HYPERLINK("http://dx.doi.org/10.1177/10946705211067101","http://dx.doi.org/10.1177/10946705211067101")</f>
        <v>http://dx.doi.org/10.1177/10946705211067101</v>
      </c>
      <c r="BG665" t="s">
        <v>74</v>
      </c>
      <c r="BH665" t="s">
        <v>6723</v>
      </c>
      <c r="BI665">
        <v>15</v>
      </c>
      <c r="BJ665" t="s">
        <v>153</v>
      </c>
      <c r="BK665" t="s">
        <v>101</v>
      </c>
      <c r="BL665" t="s">
        <v>154</v>
      </c>
      <c r="BM665" t="s">
        <v>8279</v>
      </c>
      <c r="BN665" t="s">
        <v>74</v>
      </c>
      <c r="BO665" t="s">
        <v>74</v>
      </c>
      <c r="BP665" t="s">
        <v>74</v>
      </c>
      <c r="BQ665" t="s">
        <v>74</v>
      </c>
      <c r="BR665" t="s">
        <v>6098</v>
      </c>
      <c r="BS665" t="s">
        <v>8280</v>
      </c>
      <c r="BT665" t="str">
        <f>HYPERLINK("https%3A%2F%2Fwww.webofscience.com%2Fwos%2Fwoscc%2Ffull-record%2FWOS:000765276400001","View Full Record in Web of Science")</f>
        <v>View Full Record in Web of Science</v>
      </c>
      <c r="BU665" t="s">
        <v>6100</v>
      </c>
      <c r="BV665" s="1" t="s">
        <v>10653</v>
      </c>
    </row>
    <row r="666" spans="1:75" x14ac:dyDescent="0.35">
      <c r="A666" t="s">
        <v>72</v>
      </c>
      <c r="B666" t="s">
        <v>8403</v>
      </c>
      <c r="C666" t="s">
        <v>74</v>
      </c>
      <c r="D666" t="s">
        <v>74</v>
      </c>
      <c r="E666" t="s">
        <v>74</v>
      </c>
      <c r="F666" t="s">
        <v>8404</v>
      </c>
      <c r="G666" t="s">
        <v>74</v>
      </c>
      <c r="H666" t="s">
        <v>74</v>
      </c>
      <c r="I666" t="s">
        <v>8405</v>
      </c>
      <c r="J666" t="s">
        <v>6281</v>
      </c>
      <c r="K666" t="s">
        <v>74</v>
      </c>
      <c r="L666" t="s">
        <v>74</v>
      </c>
      <c r="M666" t="s">
        <v>78</v>
      </c>
      <c r="N666" t="s">
        <v>79</v>
      </c>
      <c r="O666" t="s">
        <v>74</v>
      </c>
      <c r="P666" t="s">
        <v>74</v>
      </c>
      <c r="Q666" t="s">
        <v>74</v>
      </c>
      <c r="R666" t="s">
        <v>74</v>
      </c>
      <c r="S666" t="s">
        <v>74</v>
      </c>
      <c r="T666" t="s">
        <v>8406</v>
      </c>
      <c r="U666" t="s">
        <v>8407</v>
      </c>
      <c r="V666" t="s">
        <v>8408</v>
      </c>
      <c r="W666" t="s">
        <v>8409</v>
      </c>
      <c r="X666" t="s">
        <v>8410</v>
      </c>
      <c r="Y666" t="s">
        <v>8411</v>
      </c>
      <c r="Z666" t="s">
        <v>8412</v>
      </c>
      <c r="AA666" t="s">
        <v>74</v>
      </c>
      <c r="AB666" t="s">
        <v>8413</v>
      </c>
      <c r="AC666" t="s">
        <v>74</v>
      </c>
      <c r="AD666" t="s">
        <v>74</v>
      </c>
      <c r="AE666" t="s">
        <v>74</v>
      </c>
      <c r="AF666" t="s">
        <v>74</v>
      </c>
      <c r="AG666">
        <v>70</v>
      </c>
      <c r="AH666">
        <v>1</v>
      </c>
      <c r="AI666">
        <v>1</v>
      </c>
      <c r="AJ666">
        <v>19</v>
      </c>
      <c r="AK666">
        <v>19</v>
      </c>
      <c r="AL666" t="s">
        <v>652</v>
      </c>
      <c r="AM666" t="s">
        <v>653</v>
      </c>
      <c r="AN666" t="s">
        <v>654</v>
      </c>
      <c r="AO666" t="s">
        <v>6294</v>
      </c>
      <c r="AP666" t="s">
        <v>6295</v>
      </c>
      <c r="AQ666" t="s">
        <v>74</v>
      </c>
      <c r="AR666" t="s">
        <v>6296</v>
      </c>
      <c r="AS666" t="s">
        <v>6297</v>
      </c>
      <c r="AT666" t="s">
        <v>213</v>
      </c>
      <c r="AU666">
        <v>2023</v>
      </c>
      <c r="AV666">
        <v>70</v>
      </c>
      <c r="AW666" t="s">
        <v>74</v>
      </c>
      <c r="AX666" t="s">
        <v>74</v>
      </c>
      <c r="AY666" t="s">
        <v>74</v>
      </c>
      <c r="AZ666" t="s">
        <v>74</v>
      </c>
      <c r="BA666" t="s">
        <v>74</v>
      </c>
      <c r="BB666" t="s">
        <v>74</v>
      </c>
      <c r="BC666" t="s">
        <v>74</v>
      </c>
      <c r="BD666">
        <v>103157</v>
      </c>
      <c r="BE666" t="s">
        <v>8414</v>
      </c>
      <c r="BF666" t="str">
        <f>HYPERLINK("http://dx.doi.org/10.1016/j.jretconser.2022.103157","http://dx.doi.org/10.1016/j.jretconser.2022.103157")</f>
        <v>http://dx.doi.org/10.1016/j.jretconser.2022.103157</v>
      </c>
      <c r="BG666" t="s">
        <v>74</v>
      </c>
      <c r="BH666" t="s">
        <v>74</v>
      </c>
      <c r="BI666">
        <v>15</v>
      </c>
      <c r="BJ666" t="s">
        <v>153</v>
      </c>
      <c r="BK666" t="s">
        <v>101</v>
      </c>
      <c r="BL666" t="s">
        <v>154</v>
      </c>
      <c r="BM666" t="s">
        <v>6627</v>
      </c>
      <c r="BN666" t="s">
        <v>74</v>
      </c>
      <c r="BO666" t="s">
        <v>8415</v>
      </c>
      <c r="BP666" t="s">
        <v>74</v>
      </c>
      <c r="BQ666" t="s">
        <v>74</v>
      </c>
      <c r="BR666" t="s">
        <v>6098</v>
      </c>
      <c r="BS666" t="s">
        <v>8416</v>
      </c>
      <c r="BT666" t="str">
        <f>HYPERLINK("https%3A%2F%2Fwww.webofscience.com%2Fwos%2Fwoscc%2Ffull-record%2FWOS:000882144500007","View Full Record in Web of Science")</f>
        <v>View Full Record in Web of Science</v>
      </c>
      <c r="BU666" t="s">
        <v>6100</v>
      </c>
      <c r="BV666" s="1" t="s">
        <v>6080</v>
      </c>
      <c r="BW666" s="1" t="s">
        <v>6080</v>
      </c>
    </row>
    <row r="667" spans="1:75" x14ac:dyDescent="0.35">
      <c r="A667" t="s">
        <v>72</v>
      </c>
      <c r="B667" t="s">
        <v>8546</v>
      </c>
      <c r="C667" t="s">
        <v>74</v>
      </c>
      <c r="D667" t="s">
        <v>74</v>
      </c>
      <c r="E667" t="s">
        <v>74</v>
      </c>
      <c r="F667" t="s">
        <v>8547</v>
      </c>
      <c r="G667" t="s">
        <v>74</v>
      </c>
      <c r="H667" t="s">
        <v>74</v>
      </c>
      <c r="I667" t="s">
        <v>8548</v>
      </c>
      <c r="J667" t="s">
        <v>8549</v>
      </c>
      <c r="K667" t="s">
        <v>74</v>
      </c>
      <c r="L667" t="s">
        <v>74</v>
      </c>
      <c r="M667" t="s">
        <v>78</v>
      </c>
      <c r="N667" t="s">
        <v>79</v>
      </c>
      <c r="O667" t="s">
        <v>74</v>
      </c>
      <c r="P667" t="s">
        <v>74</v>
      </c>
      <c r="Q667" t="s">
        <v>74</v>
      </c>
      <c r="R667" t="s">
        <v>74</v>
      </c>
      <c r="S667" t="s">
        <v>74</v>
      </c>
      <c r="T667" t="s">
        <v>8550</v>
      </c>
      <c r="U667" t="s">
        <v>74</v>
      </c>
      <c r="V667" t="s">
        <v>8551</v>
      </c>
      <c r="W667" t="s">
        <v>8552</v>
      </c>
      <c r="X667" t="s">
        <v>8553</v>
      </c>
      <c r="Y667" t="s">
        <v>8554</v>
      </c>
      <c r="Z667" t="s">
        <v>8555</v>
      </c>
      <c r="AA667" t="s">
        <v>74</v>
      </c>
      <c r="AB667" t="s">
        <v>74</v>
      </c>
      <c r="AC667" t="s">
        <v>74</v>
      </c>
      <c r="AD667" t="s">
        <v>74</v>
      </c>
      <c r="AE667" t="s">
        <v>74</v>
      </c>
      <c r="AF667" t="s">
        <v>74</v>
      </c>
      <c r="AG667">
        <v>80</v>
      </c>
      <c r="AH667">
        <v>1</v>
      </c>
      <c r="AI667">
        <v>1</v>
      </c>
      <c r="AJ667">
        <v>4</v>
      </c>
      <c r="AK667">
        <v>17</v>
      </c>
      <c r="AL667" t="s">
        <v>1180</v>
      </c>
      <c r="AM667" t="s">
        <v>1181</v>
      </c>
      <c r="AN667" t="s">
        <v>1182</v>
      </c>
      <c r="AO667" t="s">
        <v>8556</v>
      </c>
      <c r="AP667" t="s">
        <v>8557</v>
      </c>
      <c r="AQ667" t="s">
        <v>74</v>
      </c>
      <c r="AR667" t="s">
        <v>8558</v>
      </c>
      <c r="AS667" t="s">
        <v>8559</v>
      </c>
      <c r="AT667" t="s">
        <v>5080</v>
      </c>
      <c r="AU667">
        <v>2023</v>
      </c>
      <c r="AV667">
        <v>31</v>
      </c>
      <c r="AW667">
        <v>1</v>
      </c>
      <c r="AX667" t="s">
        <v>74</v>
      </c>
      <c r="AY667" t="s">
        <v>74</v>
      </c>
      <c r="AZ667" t="s">
        <v>74</v>
      </c>
      <c r="BA667" t="s">
        <v>74</v>
      </c>
      <c r="BB667">
        <v>116</v>
      </c>
      <c r="BC667">
        <v>139</v>
      </c>
      <c r="BD667" t="s">
        <v>74</v>
      </c>
      <c r="BE667" t="s">
        <v>8560</v>
      </c>
      <c r="BF667" t="str">
        <f>HYPERLINK("http://dx.doi.org/10.1080/0965254X.2021.1874490","http://dx.doi.org/10.1080/0965254X.2021.1874490")</f>
        <v>http://dx.doi.org/10.1080/0965254X.2021.1874490</v>
      </c>
      <c r="BG667" t="s">
        <v>74</v>
      </c>
      <c r="BH667" t="s">
        <v>6326</v>
      </c>
      <c r="BI667">
        <v>24</v>
      </c>
      <c r="BJ667" t="s">
        <v>153</v>
      </c>
      <c r="BK667" t="s">
        <v>3880</v>
      </c>
      <c r="BL667" t="s">
        <v>154</v>
      </c>
      <c r="BM667" t="s">
        <v>8561</v>
      </c>
      <c r="BN667" t="s">
        <v>74</v>
      </c>
      <c r="BO667" t="s">
        <v>74</v>
      </c>
      <c r="BP667" t="s">
        <v>74</v>
      </c>
      <c r="BQ667" t="s">
        <v>74</v>
      </c>
      <c r="BR667" t="s">
        <v>6098</v>
      </c>
      <c r="BS667" t="s">
        <v>8562</v>
      </c>
      <c r="BT667" t="str">
        <f>HYPERLINK("https%3A%2F%2Fwww.webofscience.com%2Fwos%2Fwoscc%2Ffull-record%2FWOS:000618296900001","View Full Record in Web of Science")</f>
        <v>View Full Record in Web of Science</v>
      </c>
      <c r="BU667" t="s">
        <v>6100</v>
      </c>
      <c r="BV667" s="1" t="s">
        <v>6080</v>
      </c>
      <c r="BW667" s="1" t="s">
        <v>6080</v>
      </c>
    </row>
    <row r="668" spans="1:75" x14ac:dyDescent="0.35">
      <c r="A668" t="s">
        <v>72</v>
      </c>
      <c r="B668" t="s">
        <v>8925</v>
      </c>
      <c r="C668" t="s">
        <v>74</v>
      </c>
      <c r="D668" t="s">
        <v>74</v>
      </c>
      <c r="E668" t="s">
        <v>74</v>
      </c>
      <c r="F668" t="s">
        <v>8926</v>
      </c>
      <c r="G668" t="s">
        <v>74</v>
      </c>
      <c r="H668" t="s">
        <v>74</v>
      </c>
      <c r="I668" t="s">
        <v>8927</v>
      </c>
      <c r="J668" t="s">
        <v>7870</v>
      </c>
      <c r="K668" t="s">
        <v>74</v>
      </c>
      <c r="L668" t="s">
        <v>74</v>
      </c>
      <c r="M668" t="s">
        <v>78</v>
      </c>
      <c r="N668" t="s">
        <v>79</v>
      </c>
      <c r="O668" t="s">
        <v>74</v>
      </c>
      <c r="P668" t="s">
        <v>74</v>
      </c>
      <c r="Q668" t="s">
        <v>74</v>
      </c>
      <c r="R668" t="s">
        <v>74</v>
      </c>
      <c r="S668" t="s">
        <v>74</v>
      </c>
      <c r="T668" t="s">
        <v>8928</v>
      </c>
      <c r="U668" t="s">
        <v>8929</v>
      </c>
      <c r="V668" t="s">
        <v>8930</v>
      </c>
      <c r="W668" t="s">
        <v>8931</v>
      </c>
      <c r="X668" t="s">
        <v>5631</v>
      </c>
      <c r="Y668" t="s">
        <v>8932</v>
      </c>
      <c r="Z668" t="s">
        <v>8933</v>
      </c>
      <c r="AA668" t="s">
        <v>74</v>
      </c>
      <c r="AB668" t="s">
        <v>74</v>
      </c>
      <c r="AC668" t="s">
        <v>74</v>
      </c>
      <c r="AD668" t="s">
        <v>74</v>
      </c>
      <c r="AE668" t="s">
        <v>74</v>
      </c>
      <c r="AF668" t="s">
        <v>74</v>
      </c>
      <c r="AG668">
        <v>95</v>
      </c>
      <c r="AH668">
        <v>0</v>
      </c>
      <c r="AI668">
        <v>0</v>
      </c>
      <c r="AJ668">
        <v>16</v>
      </c>
      <c r="AK668">
        <v>17</v>
      </c>
      <c r="AL668" t="s">
        <v>1982</v>
      </c>
      <c r="AM668" t="s">
        <v>1983</v>
      </c>
      <c r="AN668" t="s">
        <v>2573</v>
      </c>
      <c r="AO668" t="s">
        <v>7880</v>
      </c>
      <c r="AP668" t="s">
        <v>7881</v>
      </c>
      <c r="AQ668" t="s">
        <v>74</v>
      </c>
      <c r="AR668" t="s">
        <v>7882</v>
      </c>
      <c r="AS668" t="s">
        <v>7883</v>
      </c>
      <c r="AT668" t="s">
        <v>5080</v>
      </c>
      <c r="AU668">
        <v>2023</v>
      </c>
      <c r="AV668">
        <v>25</v>
      </c>
      <c r="AW668">
        <v>1</v>
      </c>
      <c r="AX668" t="s">
        <v>74</v>
      </c>
      <c r="AY668" t="s">
        <v>74</v>
      </c>
      <c r="AZ668" t="s">
        <v>74</v>
      </c>
      <c r="BA668" t="s">
        <v>74</v>
      </c>
      <c r="BB668">
        <v>1</v>
      </c>
      <c r="BC668">
        <v>25</v>
      </c>
      <c r="BD668" t="s">
        <v>74</v>
      </c>
      <c r="BE668" t="s">
        <v>8934</v>
      </c>
      <c r="BF668" t="str">
        <f>HYPERLINK("http://dx.doi.org/10.1108/JRME-08-2021-0098","http://dx.doi.org/10.1108/JRME-08-2021-0098")</f>
        <v>http://dx.doi.org/10.1108/JRME-08-2021-0098</v>
      </c>
      <c r="BG668" t="s">
        <v>74</v>
      </c>
      <c r="BH668" t="s">
        <v>8935</v>
      </c>
      <c r="BI668">
        <v>25</v>
      </c>
      <c r="BJ668" t="s">
        <v>153</v>
      </c>
      <c r="BK668" t="s">
        <v>3880</v>
      </c>
      <c r="BL668" t="s">
        <v>154</v>
      </c>
      <c r="BM668" t="s">
        <v>7886</v>
      </c>
      <c r="BN668" t="s">
        <v>74</v>
      </c>
      <c r="BO668" t="s">
        <v>74</v>
      </c>
      <c r="BP668" t="s">
        <v>74</v>
      </c>
      <c r="BQ668" t="s">
        <v>74</v>
      </c>
      <c r="BR668" t="s">
        <v>6098</v>
      </c>
      <c r="BS668" t="s">
        <v>8936</v>
      </c>
      <c r="BT668" t="str">
        <f>HYPERLINK("https%3A%2F%2Fwww.webofscience.com%2Fwos%2Fwoscc%2Ffull-record%2FWOS:000851217000001","View Full Record in Web of Science")</f>
        <v>View Full Record in Web of Science</v>
      </c>
      <c r="BU668" t="s">
        <v>6100</v>
      </c>
      <c r="BV668" s="1" t="s">
        <v>6080</v>
      </c>
      <c r="BW668" s="1" t="s">
        <v>6080</v>
      </c>
    </row>
    <row r="669" spans="1:75" x14ac:dyDescent="0.35">
      <c r="A669" t="s">
        <v>72</v>
      </c>
      <c r="B669" t="s">
        <v>9990</v>
      </c>
      <c r="C669" t="s">
        <v>74</v>
      </c>
      <c r="D669" t="s">
        <v>74</v>
      </c>
      <c r="E669" t="s">
        <v>74</v>
      </c>
      <c r="F669" t="s">
        <v>9991</v>
      </c>
      <c r="G669" t="s">
        <v>74</v>
      </c>
      <c r="H669" t="s">
        <v>74</v>
      </c>
      <c r="I669" t="s">
        <v>9992</v>
      </c>
      <c r="J669" t="s">
        <v>3737</v>
      </c>
      <c r="K669" t="s">
        <v>74</v>
      </c>
      <c r="L669" t="s">
        <v>74</v>
      </c>
      <c r="M669" t="s">
        <v>78</v>
      </c>
      <c r="N669" t="s">
        <v>79</v>
      </c>
      <c r="O669" t="s">
        <v>74</v>
      </c>
      <c r="P669" t="s">
        <v>74</v>
      </c>
      <c r="Q669" t="s">
        <v>74</v>
      </c>
      <c r="R669" t="s">
        <v>74</v>
      </c>
      <c r="S669" t="s">
        <v>74</v>
      </c>
      <c r="T669" t="s">
        <v>74</v>
      </c>
      <c r="U669" t="s">
        <v>9993</v>
      </c>
      <c r="V669" t="s">
        <v>9994</v>
      </c>
      <c r="W669" t="s">
        <v>9995</v>
      </c>
      <c r="X669" t="s">
        <v>9996</v>
      </c>
      <c r="Y669" t="s">
        <v>9997</v>
      </c>
      <c r="Z669" t="s">
        <v>9998</v>
      </c>
      <c r="AA669" t="s">
        <v>74</v>
      </c>
      <c r="AB669" t="s">
        <v>74</v>
      </c>
      <c r="AC669" t="s">
        <v>74</v>
      </c>
      <c r="AD669" t="s">
        <v>74</v>
      </c>
      <c r="AE669" t="s">
        <v>74</v>
      </c>
      <c r="AF669" t="s">
        <v>74</v>
      </c>
      <c r="AG669">
        <v>69</v>
      </c>
      <c r="AH669">
        <v>0</v>
      </c>
      <c r="AI669">
        <v>0</v>
      </c>
      <c r="AJ669">
        <v>12</v>
      </c>
      <c r="AK669">
        <v>12</v>
      </c>
      <c r="AL669" t="s">
        <v>324</v>
      </c>
      <c r="AM669" t="s">
        <v>325</v>
      </c>
      <c r="AN669" t="s">
        <v>2004</v>
      </c>
      <c r="AO669" t="s">
        <v>3743</v>
      </c>
      <c r="AP669" t="s">
        <v>3831</v>
      </c>
      <c r="AQ669" t="s">
        <v>74</v>
      </c>
      <c r="AR669" t="s">
        <v>3744</v>
      </c>
      <c r="AS669" t="s">
        <v>3745</v>
      </c>
      <c r="AT669" t="s">
        <v>213</v>
      </c>
      <c r="AU669">
        <v>2023</v>
      </c>
      <c r="AV669">
        <v>154</v>
      </c>
      <c r="AW669" t="s">
        <v>74</v>
      </c>
      <c r="AX669" t="s">
        <v>74</v>
      </c>
      <c r="AY669" t="s">
        <v>74</v>
      </c>
      <c r="AZ669" t="s">
        <v>74</v>
      </c>
      <c r="BA669" t="s">
        <v>74</v>
      </c>
      <c r="BB669" t="s">
        <v>74</v>
      </c>
      <c r="BC669" t="s">
        <v>74</v>
      </c>
      <c r="BD669">
        <v>113346</v>
      </c>
      <c r="BE669" t="s">
        <v>9999</v>
      </c>
      <c r="BF669" t="str">
        <f>HYPERLINK("http://dx.doi.org/10.1016/j.jbusres.2022.113346","http://dx.doi.org/10.1016/j.jbusres.2022.113346")</f>
        <v>http://dx.doi.org/10.1016/j.jbusres.2022.113346</v>
      </c>
      <c r="BG669" t="s">
        <v>74</v>
      </c>
      <c r="BH669" t="s">
        <v>74</v>
      </c>
      <c r="BI669">
        <v>14</v>
      </c>
      <c r="BJ669" t="s">
        <v>153</v>
      </c>
      <c r="BK669" t="s">
        <v>101</v>
      </c>
      <c r="BL669" t="s">
        <v>154</v>
      </c>
      <c r="BM669" t="s">
        <v>10000</v>
      </c>
      <c r="BN669" t="s">
        <v>74</v>
      </c>
      <c r="BO669" t="s">
        <v>74</v>
      </c>
      <c r="BP669" t="s">
        <v>74</v>
      </c>
      <c r="BQ669" t="s">
        <v>74</v>
      </c>
      <c r="BR669" t="s">
        <v>6098</v>
      </c>
      <c r="BS669" t="s">
        <v>10001</v>
      </c>
      <c r="BT669" t="str">
        <f>HYPERLINK("https%3A%2F%2Fwww.webofscience.com%2Fwos%2Fwoscc%2Ffull-record%2FWOS:000911162300005","View Full Record in Web of Science")</f>
        <v>View Full Record in Web of Science</v>
      </c>
      <c r="BU669" t="s">
        <v>6100</v>
      </c>
      <c r="BV669" s="1" t="s">
        <v>10653</v>
      </c>
    </row>
    <row r="670" spans="1:75" x14ac:dyDescent="0.35">
      <c r="A670" t="s">
        <v>72</v>
      </c>
      <c r="B670" t="s">
        <v>10043</v>
      </c>
      <c r="C670" t="s">
        <v>74</v>
      </c>
      <c r="D670" t="s">
        <v>74</v>
      </c>
      <c r="E670" t="s">
        <v>74</v>
      </c>
      <c r="F670" t="s">
        <v>10044</v>
      </c>
      <c r="G670" t="s">
        <v>74</v>
      </c>
      <c r="H670" t="s">
        <v>74</v>
      </c>
      <c r="I670" t="s">
        <v>10045</v>
      </c>
      <c r="J670" t="s">
        <v>10046</v>
      </c>
      <c r="K670" t="s">
        <v>74</v>
      </c>
      <c r="L670" t="s">
        <v>74</v>
      </c>
      <c r="M670" t="s">
        <v>78</v>
      </c>
      <c r="N670" t="s">
        <v>79</v>
      </c>
      <c r="O670" t="s">
        <v>74</v>
      </c>
      <c r="P670" t="s">
        <v>74</v>
      </c>
      <c r="Q670" t="s">
        <v>74</v>
      </c>
      <c r="R670" t="s">
        <v>74</v>
      </c>
      <c r="S670" t="s">
        <v>74</v>
      </c>
      <c r="T670" t="s">
        <v>10047</v>
      </c>
      <c r="U670" t="s">
        <v>10048</v>
      </c>
      <c r="V670" t="s">
        <v>10049</v>
      </c>
      <c r="W670" t="s">
        <v>10050</v>
      </c>
      <c r="X670" t="s">
        <v>10051</v>
      </c>
      <c r="Y670" t="s">
        <v>10052</v>
      </c>
      <c r="Z670" t="s">
        <v>10053</v>
      </c>
      <c r="AA670" t="s">
        <v>10054</v>
      </c>
      <c r="AB670" t="s">
        <v>10055</v>
      </c>
      <c r="AC670" t="s">
        <v>10056</v>
      </c>
      <c r="AD670" t="s">
        <v>10057</v>
      </c>
      <c r="AE670" t="s">
        <v>10058</v>
      </c>
      <c r="AF670" t="s">
        <v>74</v>
      </c>
      <c r="AG670">
        <v>91</v>
      </c>
      <c r="AH670">
        <v>2</v>
      </c>
      <c r="AI670">
        <v>2</v>
      </c>
      <c r="AJ670">
        <v>22</v>
      </c>
      <c r="AK670">
        <v>53</v>
      </c>
      <c r="AL670" t="s">
        <v>1982</v>
      </c>
      <c r="AM670" t="s">
        <v>1983</v>
      </c>
      <c r="AN670" t="s">
        <v>2573</v>
      </c>
      <c r="AO670" t="s">
        <v>10059</v>
      </c>
      <c r="AP670" t="s">
        <v>10060</v>
      </c>
      <c r="AQ670" t="s">
        <v>74</v>
      </c>
      <c r="AR670" t="s">
        <v>10061</v>
      </c>
      <c r="AS670" t="s">
        <v>10062</v>
      </c>
      <c r="AT670" t="s">
        <v>10063</v>
      </c>
      <c r="AU670">
        <v>2023</v>
      </c>
      <c r="AV670">
        <v>36</v>
      </c>
      <c r="AW670">
        <v>1</v>
      </c>
      <c r="AX670" t="s">
        <v>74</v>
      </c>
      <c r="AY670" t="s">
        <v>74</v>
      </c>
      <c r="AZ670" t="s">
        <v>74</v>
      </c>
      <c r="BA670" t="s">
        <v>74</v>
      </c>
      <c r="BB670">
        <v>22</v>
      </c>
      <c r="BC670">
        <v>44</v>
      </c>
      <c r="BD670" t="s">
        <v>74</v>
      </c>
      <c r="BE670" t="s">
        <v>10064</v>
      </c>
      <c r="BF670" t="str">
        <f>HYPERLINK("http://dx.doi.org/10.1108/JEIM-06-2021-0252","http://dx.doi.org/10.1108/JEIM-06-2021-0252")</f>
        <v>http://dx.doi.org/10.1108/JEIM-06-2021-0252</v>
      </c>
      <c r="BG670" t="s">
        <v>74</v>
      </c>
      <c r="BH670" t="s">
        <v>6723</v>
      </c>
      <c r="BI670">
        <v>23</v>
      </c>
      <c r="BJ670" t="s">
        <v>10065</v>
      </c>
      <c r="BK670" t="s">
        <v>101</v>
      </c>
      <c r="BL670" t="s">
        <v>1163</v>
      </c>
      <c r="BM670" t="s">
        <v>10066</v>
      </c>
      <c r="BN670" t="s">
        <v>74</v>
      </c>
      <c r="BO670" t="s">
        <v>74</v>
      </c>
      <c r="BP670" t="s">
        <v>74</v>
      </c>
      <c r="BQ670" t="s">
        <v>74</v>
      </c>
      <c r="BR670" t="s">
        <v>6098</v>
      </c>
      <c r="BS670" t="s">
        <v>10067</v>
      </c>
      <c r="BT670" t="str">
        <f>HYPERLINK("https%3A%2F%2Fwww.webofscience.com%2Fwos%2Fwoscc%2Ffull-record%2FWOS:000772763700001","View Full Record in Web of Science")</f>
        <v>View Full Record in Web of Science</v>
      </c>
      <c r="BU670" t="s">
        <v>6100</v>
      </c>
      <c r="BV670" s="1" t="s">
        <v>10653</v>
      </c>
    </row>
    <row r="671" spans="1:75" x14ac:dyDescent="0.35">
      <c r="A671" t="s">
        <v>72</v>
      </c>
      <c r="B671" t="s">
        <v>10068</v>
      </c>
      <c r="C671" t="s">
        <v>74</v>
      </c>
      <c r="D671" t="s">
        <v>74</v>
      </c>
      <c r="E671" t="s">
        <v>74</v>
      </c>
      <c r="F671" t="s">
        <v>10069</v>
      </c>
      <c r="G671" t="s">
        <v>74</v>
      </c>
      <c r="H671" t="s">
        <v>74</v>
      </c>
      <c r="I671" t="s">
        <v>10070</v>
      </c>
      <c r="J671" t="s">
        <v>3737</v>
      </c>
      <c r="K671" t="s">
        <v>74</v>
      </c>
      <c r="L671" t="s">
        <v>74</v>
      </c>
      <c r="M671" t="s">
        <v>78</v>
      </c>
      <c r="N671" t="s">
        <v>110</v>
      </c>
      <c r="O671" t="s">
        <v>74</v>
      </c>
      <c r="P671" t="s">
        <v>74</v>
      </c>
      <c r="Q671" t="s">
        <v>74</v>
      </c>
      <c r="R671" t="s">
        <v>74</v>
      </c>
      <c r="S671" t="s">
        <v>74</v>
      </c>
      <c r="T671" t="s">
        <v>10071</v>
      </c>
      <c r="U671" t="s">
        <v>10072</v>
      </c>
      <c r="V671" t="s">
        <v>10073</v>
      </c>
      <c r="W671" t="s">
        <v>10074</v>
      </c>
      <c r="X671" t="s">
        <v>10075</v>
      </c>
      <c r="Y671" t="s">
        <v>10076</v>
      </c>
      <c r="Z671" t="s">
        <v>10077</v>
      </c>
      <c r="AA671" t="s">
        <v>8513</v>
      </c>
      <c r="AB671" t="s">
        <v>10078</v>
      </c>
      <c r="AC671" t="s">
        <v>74</v>
      </c>
      <c r="AD671" t="s">
        <v>74</v>
      </c>
      <c r="AE671" t="s">
        <v>74</v>
      </c>
      <c r="AF671" t="s">
        <v>74</v>
      </c>
      <c r="AG671">
        <v>75</v>
      </c>
      <c r="AH671">
        <v>1</v>
      </c>
      <c r="AI671">
        <v>1</v>
      </c>
      <c r="AJ671">
        <v>22</v>
      </c>
      <c r="AK671">
        <v>22</v>
      </c>
      <c r="AL671" t="s">
        <v>324</v>
      </c>
      <c r="AM671" t="s">
        <v>325</v>
      </c>
      <c r="AN671" t="s">
        <v>2004</v>
      </c>
      <c r="AO671" t="s">
        <v>3743</v>
      </c>
      <c r="AP671" t="s">
        <v>3831</v>
      </c>
      <c r="AQ671" t="s">
        <v>74</v>
      </c>
      <c r="AR671" t="s">
        <v>3744</v>
      </c>
      <c r="AS671" t="s">
        <v>3745</v>
      </c>
      <c r="AT671" t="s">
        <v>213</v>
      </c>
      <c r="AU671">
        <v>2023</v>
      </c>
      <c r="AV671">
        <v>154</v>
      </c>
      <c r="AW671" t="s">
        <v>74</v>
      </c>
      <c r="AX671" t="s">
        <v>74</v>
      </c>
      <c r="AY671" t="s">
        <v>74</v>
      </c>
      <c r="AZ671" t="s">
        <v>74</v>
      </c>
      <c r="BA671" t="s">
        <v>74</v>
      </c>
      <c r="BB671" t="s">
        <v>74</v>
      </c>
      <c r="BC671" t="s">
        <v>74</v>
      </c>
      <c r="BD671">
        <v>113377</v>
      </c>
      <c r="BE671" t="s">
        <v>10079</v>
      </c>
      <c r="BF671" t="str">
        <f>HYPERLINK("http://dx.doi.org/10.1016/j.jbusres.2022.113377","http://dx.doi.org/10.1016/j.jbusres.2022.113377")</f>
        <v>http://dx.doi.org/10.1016/j.jbusres.2022.113377</v>
      </c>
      <c r="BG671" t="s">
        <v>74</v>
      </c>
      <c r="BH671" t="s">
        <v>74</v>
      </c>
      <c r="BI671">
        <v>11</v>
      </c>
      <c r="BJ671" t="s">
        <v>153</v>
      </c>
      <c r="BK671" t="s">
        <v>101</v>
      </c>
      <c r="BL671" t="s">
        <v>154</v>
      </c>
      <c r="BM671" t="s">
        <v>10080</v>
      </c>
      <c r="BN671" t="s">
        <v>74</v>
      </c>
      <c r="BO671" t="s">
        <v>828</v>
      </c>
      <c r="BP671" t="s">
        <v>74</v>
      </c>
      <c r="BQ671" t="s">
        <v>74</v>
      </c>
      <c r="BR671" t="s">
        <v>6098</v>
      </c>
      <c r="BS671" t="s">
        <v>10081</v>
      </c>
      <c r="BT671" t="str">
        <f>HYPERLINK("https%3A%2F%2Fwww.webofscience.com%2Fwos%2Fwoscc%2Ffull-record%2FWOS:000896885200008","View Full Record in Web of Science")</f>
        <v>View Full Record in Web of Science</v>
      </c>
      <c r="BU671" t="s">
        <v>6100</v>
      </c>
      <c r="BV671" s="1" t="s">
        <v>10653</v>
      </c>
      <c r="BW671" s="1" t="s">
        <v>10653</v>
      </c>
    </row>
    <row r="672" spans="1:75" x14ac:dyDescent="0.35">
      <c r="A672" t="s">
        <v>72</v>
      </c>
      <c r="B672" t="s">
        <v>10376</v>
      </c>
      <c r="C672" t="s">
        <v>74</v>
      </c>
      <c r="D672" t="s">
        <v>74</v>
      </c>
      <c r="E672" t="s">
        <v>74</v>
      </c>
      <c r="F672" t="s">
        <v>10377</v>
      </c>
      <c r="G672" t="s">
        <v>74</v>
      </c>
      <c r="H672" t="s">
        <v>74</v>
      </c>
      <c r="I672" t="s">
        <v>10378</v>
      </c>
      <c r="J672" t="s">
        <v>8245</v>
      </c>
      <c r="K672" t="s">
        <v>74</v>
      </c>
      <c r="L672" t="s">
        <v>74</v>
      </c>
      <c r="M672" t="s">
        <v>78</v>
      </c>
      <c r="N672" t="s">
        <v>79</v>
      </c>
      <c r="O672" t="s">
        <v>74</v>
      </c>
      <c r="P672" t="s">
        <v>74</v>
      </c>
      <c r="Q672" t="s">
        <v>74</v>
      </c>
      <c r="R672" t="s">
        <v>74</v>
      </c>
      <c r="S672" t="s">
        <v>74</v>
      </c>
      <c r="T672" t="s">
        <v>10379</v>
      </c>
      <c r="U672" t="s">
        <v>10380</v>
      </c>
      <c r="V672" t="s">
        <v>10381</v>
      </c>
      <c r="W672" t="s">
        <v>10382</v>
      </c>
      <c r="X672" t="s">
        <v>10383</v>
      </c>
      <c r="Y672" t="s">
        <v>10384</v>
      </c>
      <c r="Z672" t="s">
        <v>10385</v>
      </c>
      <c r="AA672" t="s">
        <v>10386</v>
      </c>
      <c r="AB672" t="s">
        <v>10387</v>
      </c>
      <c r="AC672" t="s">
        <v>10388</v>
      </c>
      <c r="AD672" t="s">
        <v>10389</v>
      </c>
      <c r="AE672" t="s">
        <v>10390</v>
      </c>
      <c r="AF672" t="s">
        <v>74</v>
      </c>
      <c r="AG672">
        <v>39</v>
      </c>
      <c r="AH672">
        <v>0</v>
      </c>
      <c r="AI672">
        <v>0</v>
      </c>
      <c r="AJ672">
        <v>18</v>
      </c>
      <c r="AK672">
        <v>20</v>
      </c>
      <c r="AL672" t="s">
        <v>1982</v>
      </c>
      <c r="AM672" t="s">
        <v>1983</v>
      </c>
      <c r="AN672" t="s">
        <v>2573</v>
      </c>
      <c r="AO672" t="s">
        <v>8255</v>
      </c>
      <c r="AP672" t="s">
        <v>8256</v>
      </c>
      <c r="AQ672" t="s">
        <v>74</v>
      </c>
      <c r="AR672" t="s">
        <v>8257</v>
      </c>
      <c r="AS672" t="s">
        <v>8258</v>
      </c>
      <c r="AT672" t="s">
        <v>5080</v>
      </c>
      <c r="AU672">
        <v>2023</v>
      </c>
      <c r="AV672">
        <v>35</v>
      </c>
      <c r="AW672">
        <v>1</v>
      </c>
      <c r="AX672" t="s">
        <v>74</v>
      </c>
      <c r="AY672" t="s">
        <v>74</v>
      </c>
      <c r="AZ672" t="s">
        <v>74</v>
      </c>
      <c r="BA672" t="s">
        <v>74</v>
      </c>
      <c r="BB672">
        <v>159</v>
      </c>
      <c r="BC672">
        <v>185</v>
      </c>
      <c r="BD672" t="s">
        <v>74</v>
      </c>
      <c r="BE672" t="s">
        <v>10391</v>
      </c>
      <c r="BF672" t="str">
        <f>HYPERLINK("http://dx.doi.org/10.1108/IJCHM-12-2021-1474","http://dx.doi.org/10.1108/IJCHM-12-2021-1474")</f>
        <v>http://dx.doi.org/10.1108/IJCHM-12-2021-1474</v>
      </c>
      <c r="BG672" t="s">
        <v>74</v>
      </c>
      <c r="BH672" t="s">
        <v>4383</v>
      </c>
      <c r="BI672">
        <v>27</v>
      </c>
      <c r="BJ672" t="s">
        <v>6387</v>
      </c>
      <c r="BK672" t="s">
        <v>101</v>
      </c>
      <c r="BL672" t="s">
        <v>6388</v>
      </c>
      <c r="BM672" t="s">
        <v>10392</v>
      </c>
      <c r="BN672" t="s">
        <v>74</v>
      </c>
      <c r="BO672" t="s">
        <v>74</v>
      </c>
      <c r="BP672" t="s">
        <v>74</v>
      </c>
      <c r="BQ672" t="s">
        <v>74</v>
      </c>
      <c r="BR672" t="s">
        <v>6098</v>
      </c>
      <c r="BS672" t="s">
        <v>10393</v>
      </c>
      <c r="BT672" t="str">
        <f>HYPERLINK("https%3A%2F%2Fwww.webofscience.com%2Fwos%2Fwoscc%2Ffull-record%2FWOS:000842627700001","View Full Record in Web of Science")</f>
        <v>View Full Record in Web of Science</v>
      </c>
      <c r="BU672" t="s">
        <v>6100</v>
      </c>
      <c r="BV672" s="1" t="s">
        <v>10653</v>
      </c>
    </row>
    <row r="673" spans="1:75" ht="275.5" x14ac:dyDescent="0.35">
      <c r="A673" s="1" t="s">
        <v>72</v>
      </c>
      <c r="B673" s="1" t="s">
        <v>4298</v>
      </c>
      <c r="C673" s="1" t="s">
        <v>74</v>
      </c>
      <c r="D673" s="1" t="s">
        <v>74</v>
      </c>
      <c r="E673" s="1" t="s">
        <v>74</v>
      </c>
      <c r="F673" s="1" t="s">
        <v>4299</v>
      </c>
      <c r="G673" s="1" t="s">
        <v>74</v>
      </c>
      <c r="H673" s="1" t="s">
        <v>74</v>
      </c>
      <c r="I673" s="1" t="s">
        <v>4300</v>
      </c>
      <c r="J673" s="1" t="s">
        <v>4301</v>
      </c>
      <c r="K673" s="1" t="s">
        <v>74</v>
      </c>
      <c r="L673" s="1" t="s">
        <v>74</v>
      </c>
      <c r="M673" s="1" t="s">
        <v>78</v>
      </c>
      <c r="N673" s="1" t="s">
        <v>4302</v>
      </c>
      <c r="O673" s="1" t="s">
        <v>74</v>
      </c>
      <c r="P673" s="1" t="s">
        <v>74</v>
      </c>
      <c r="Q673" s="1" t="s">
        <v>74</v>
      </c>
      <c r="R673" s="1" t="s">
        <v>74</v>
      </c>
      <c r="S673" s="1" t="s">
        <v>74</v>
      </c>
      <c r="T673" s="1" t="s">
        <v>4303</v>
      </c>
      <c r="U673" s="1" t="s">
        <v>4304</v>
      </c>
      <c r="V673" s="1" t="s">
        <v>4305</v>
      </c>
      <c r="W673" s="1" t="s">
        <v>4306</v>
      </c>
      <c r="X673" s="1" t="s">
        <v>4307</v>
      </c>
      <c r="Y673" s="1" t="s">
        <v>4308</v>
      </c>
      <c r="Z673" s="1" t="s">
        <v>4309</v>
      </c>
      <c r="AA673" s="1" t="s">
        <v>74</v>
      </c>
      <c r="AB673" s="1" t="s">
        <v>4310</v>
      </c>
      <c r="AC673" s="1" t="s">
        <v>74</v>
      </c>
      <c r="AD673" s="1" t="s">
        <v>74</v>
      </c>
      <c r="AE673" s="1" t="s">
        <v>74</v>
      </c>
      <c r="AF673" s="1" t="s">
        <v>74</v>
      </c>
      <c r="AG673" s="1">
        <v>48</v>
      </c>
      <c r="AH673" s="1">
        <v>0</v>
      </c>
      <c r="AI673" s="1">
        <v>0</v>
      </c>
      <c r="AJ673" s="1">
        <v>5</v>
      </c>
      <c r="AK673" s="1">
        <v>5</v>
      </c>
      <c r="AL673" s="1" t="s">
        <v>144</v>
      </c>
      <c r="AM673" s="1" t="s">
        <v>145</v>
      </c>
      <c r="AN673" s="1" t="s">
        <v>146</v>
      </c>
      <c r="AO673" s="1" t="s">
        <v>4311</v>
      </c>
      <c r="AP673" s="1" t="s">
        <v>4312</v>
      </c>
      <c r="AQ673" s="1" t="s">
        <v>74</v>
      </c>
      <c r="AR673" s="1" t="s">
        <v>4301</v>
      </c>
      <c r="AS673" s="1" t="s">
        <v>4313</v>
      </c>
      <c r="AT673" s="1" t="s">
        <v>74</v>
      </c>
      <c r="AU673" s="1" t="s">
        <v>74</v>
      </c>
      <c r="AV673" s="1" t="s">
        <v>74</v>
      </c>
      <c r="AW673" s="1" t="s">
        <v>74</v>
      </c>
      <c r="AX673" s="1" t="s">
        <v>74</v>
      </c>
      <c r="AY673" s="1" t="s">
        <v>74</v>
      </c>
      <c r="AZ673" s="1" t="s">
        <v>74</v>
      </c>
      <c r="BA673" s="1" t="s">
        <v>74</v>
      </c>
      <c r="BB673" s="1" t="s">
        <v>74</v>
      </c>
      <c r="BC673" s="1" t="s">
        <v>74</v>
      </c>
      <c r="BD673" s="1" t="s">
        <v>74</v>
      </c>
      <c r="BE673" s="1" t="s">
        <v>4314</v>
      </c>
      <c r="BF673" s="1" t="str">
        <f>HYPERLINK("http://dx.doi.org/10.1177/14648849221136946","http://dx.doi.org/10.1177/14648849221136946")</f>
        <v>http://dx.doi.org/10.1177/14648849221136946</v>
      </c>
      <c r="BG673" s="1" t="s">
        <v>74</v>
      </c>
      <c r="BH673" s="1" t="s">
        <v>4315</v>
      </c>
      <c r="BI673" s="1">
        <v>19</v>
      </c>
      <c r="BJ673" s="1" t="s">
        <v>1016</v>
      </c>
      <c r="BK673" s="1" t="s">
        <v>101</v>
      </c>
      <c r="BL673" s="1" t="s">
        <v>1016</v>
      </c>
      <c r="BM673" s="1" t="s">
        <v>4316</v>
      </c>
      <c r="BN673" s="1" t="s">
        <v>74</v>
      </c>
      <c r="BO673" s="1" t="s">
        <v>74</v>
      </c>
      <c r="BP673" s="1" t="s">
        <v>74</v>
      </c>
      <c r="BQ673" s="1" t="s">
        <v>74</v>
      </c>
      <c r="BR673" s="1" t="s">
        <v>4296</v>
      </c>
      <c r="BS673" s="1" t="s">
        <v>4317</v>
      </c>
      <c r="BT673" s="1" t="str">
        <f>HYPERLINK("https%3A%2F%2Fwww.webofscience.com%2Fwos%2Fwoscc%2Ffull-record%2FWOS:000884373200001","View Full Record in Web of Science")</f>
        <v>View Full Record in Web of Science</v>
      </c>
      <c r="BU673" s="1" t="s">
        <v>5876</v>
      </c>
      <c r="BV673" s="1" t="s">
        <v>10653</v>
      </c>
    </row>
    <row r="674" spans="1:75" ht="409.5" x14ac:dyDescent="0.35">
      <c r="A674" s="1" t="s">
        <v>72</v>
      </c>
      <c r="B674" s="1" t="s">
        <v>4371</v>
      </c>
      <c r="C674" s="1" t="s">
        <v>74</v>
      </c>
      <c r="D674" s="1" t="s">
        <v>74</v>
      </c>
      <c r="E674" s="1" t="s">
        <v>74</v>
      </c>
      <c r="F674" s="1" t="s">
        <v>4372</v>
      </c>
      <c r="G674" s="1" t="s">
        <v>74</v>
      </c>
      <c r="H674" s="1" t="s">
        <v>74</v>
      </c>
      <c r="I674" s="1" t="s">
        <v>4373</v>
      </c>
      <c r="J674" s="1" t="s">
        <v>436</v>
      </c>
      <c r="K674" s="1" t="s">
        <v>74</v>
      </c>
      <c r="L674" s="1" t="s">
        <v>74</v>
      </c>
      <c r="M674" s="1" t="s">
        <v>78</v>
      </c>
      <c r="N674" s="1" t="s">
        <v>4302</v>
      </c>
      <c r="O674" s="1" t="s">
        <v>74</v>
      </c>
      <c r="P674" s="1" t="s">
        <v>74</v>
      </c>
      <c r="Q674" s="1" t="s">
        <v>74</v>
      </c>
      <c r="R674" s="1" t="s">
        <v>74</v>
      </c>
      <c r="S674" s="1" t="s">
        <v>74</v>
      </c>
      <c r="T674" s="1" t="s">
        <v>4374</v>
      </c>
      <c r="U674" s="1" t="s">
        <v>4375</v>
      </c>
      <c r="V674" s="1" t="s">
        <v>4376</v>
      </c>
      <c r="W674" s="1" t="s">
        <v>4377</v>
      </c>
      <c r="X674" s="1" t="s">
        <v>4378</v>
      </c>
      <c r="Y674" s="1" t="s">
        <v>4379</v>
      </c>
      <c r="Z674" s="1" t="s">
        <v>4380</v>
      </c>
      <c r="AA674" s="1" t="s">
        <v>74</v>
      </c>
      <c r="AB674" s="1" t="s">
        <v>4381</v>
      </c>
      <c r="AC674" s="1" t="s">
        <v>74</v>
      </c>
      <c r="AD674" s="1" t="s">
        <v>74</v>
      </c>
      <c r="AE674" s="1" t="s">
        <v>74</v>
      </c>
      <c r="AF674" s="1" t="s">
        <v>74</v>
      </c>
      <c r="AG674" s="1">
        <v>28</v>
      </c>
      <c r="AH674" s="1">
        <v>2</v>
      </c>
      <c r="AI674" s="1">
        <v>2</v>
      </c>
      <c r="AJ674" s="1">
        <v>34</v>
      </c>
      <c r="AK674" s="1">
        <v>43</v>
      </c>
      <c r="AL674" s="1" t="s">
        <v>446</v>
      </c>
      <c r="AM674" s="1" t="s">
        <v>447</v>
      </c>
      <c r="AN674" s="1" t="s">
        <v>448</v>
      </c>
      <c r="AO674" s="1" t="s">
        <v>449</v>
      </c>
      <c r="AP674" s="1" t="s">
        <v>450</v>
      </c>
      <c r="AQ674" s="1" t="s">
        <v>74</v>
      </c>
      <c r="AR674" s="1" t="s">
        <v>451</v>
      </c>
      <c r="AS674" s="1" t="s">
        <v>452</v>
      </c>
      <c r="AT674" s="1" t="s">
        <v>74</v>
      </c>
      <c r="AU674" s="1" t="s">
        <v>74</v>
      </c>
      <c r="AV674" s="1" t="s">
        <v>74</v>
      </c>
      <c r="AW674" s="1" t="s">
        <v>74</v>
      </c>
      <c r="AX674" s="1" t="s">
        <v>74</v>
      </c>
      <c r="AY674" s="1" t="s">
        <v>74</v>
      </c>
      <c r="AZ674" s="1" t="s">
        <v>74</v>
      </c>
      <c r="BA674" s="1" t="s">
        <v>74</v>
      </c>
      <c r="BB674" s="1" t="s">
        <v>74</v>
      </c>
      <c r="BC674" s="1" t="s">
        <v>74</v>
      </c>
      <c r="BD674" s="1" t="s">
        <v>74</v>
      </c>
      <c r="BE674" s="1" t="s">
        <v>4382</v>
      </c>
      <c r="BF674" s="1" t="str">
        <f>HYPERLINK("http://dx.doi.org/10.1287/mksc.2022.1372","http://dx.doi.org/10.1287/mksc.2022.1372")</f>
        <v>http://dx.doi.org/10.1287/mksc.2022.1372</v>
      </c>
      <c r="BG674" s="1" t="s">
        <v>74</v>
      </c>
      <c r="BH674" s="1" t="s">
        <v>4383</v>
      </c>
      <c r="BI674" s="1">
        <v>17</v>
      </c>
      <c r="BJ674" s="1" t="s">
        <v>153</v>
      </c>
      <c r="BK674" s="1" t="s">
        <v>101</v>
      </c>
      <c r="BL674" s="1" t="s">
        <v>154</v>
      </c>
      <c r="BM674" s="1" t="s">
        <v>4384</v>
      </c>
      <c r="BN674" s="1" t="s">
        <v>74</v>
      </c>
      <c r="BO674" s="1" t="s">
        <v>74</v>
      </c>
      <c r="BP674" s="1" t="s">
        <v>74</v>
      </c>
      <c r="BQ674" s="1" t="s">
        <v>74</v>
      </c>
      <c r="BR674" s="1" t="s">
        <v>4296</v>
      </c>
      <c r="BS674" s="1" t="s">
        <v>4385</v>
      </c>
      <c r="BT674" s="1" t="str">
        <f>HYPERLINK("https%3A%2F%2Fwww.webofscience.com%2Fwos%2Fwoscc%2Ffull-record%2FWOS:000836245500001","View Full Record in Web of Science")</f>
        <v>View Full Record in Web of Science</v>
      </c>
      <c r="BU674" s="1" t="s">
        <v>5876</v>
      </c>
      <c r="BV674" s="1" t="s">
        <v>6080</v>
      </c>
      <c r="BW674" s="1" t="s">
        <v>6080</v>
      </c>
    </row>
    <row r="675" spans="1:75" x14ac:dyDescent="0.35">
      <c r="A675" t="s">
        <v>72</v>
      </c>
      <c r="B675" t="s">
        <v>6132</v>
      </c>
      <c r="C675" t="s">
        <v>74</v>
      </c>
      <c r="D675" t="s">
        <v>74</v>
      </c>
      <c r="E675" t="s">
        <v>74</v>
      </c>
      <c r="F675" t="s">
        <v>5891</v>
      </c>
      <c r="G675" t="s">
        <v>74</v>
      </c>
      <c r="H675" t="s">
        <v>74</v>
      </c>
      <c r="I675" t="s">
        <v>5937</v>
      </c>
      <c r="J675" t="s">
        <v>136</v>
      </c>
      <c r="K675" t="s">
        <v>74</v>
      </c>
      <c r="L675" t="s">
        <v>74</v>
      </c>
      <c r="M675" t="s">
        <v>78</v>
      </c>
      <c r="N675" t="s">
        <v>4302</v>
      </c>
      <c r="O675" t="s">
        <v>74</v>
      </c>
      <c r="P675" t="s">
        <v>74</v>
      </c>
      <c r="Q675" t="s">
        <v>74</v>
      </c>
      <c r="R675" t="s">
        <v>74</v>
      </c>
      <c r="S675" t="s">
        <v>74</v>
      </c>
      <c r="T675" t="s">
        <v>6133</v>
      </c>
      <c r="U675" t="s">
        <v>6134</v>
      </c>
      <c r="V675" t="s">
        <v>6042</v>
      </c>
      <c r="W675" t="s">
        <v>6135</v>
      </c>
      <c r="X675" t="s">
        <v>6136</v>
      </c>
      <c r="Y675" t="s">
        <v>6137</v>
      </c>
      <c r="Z675" t="s">
        <v>6138</v>
      </c>
      <c r="AA675" t="s">
        <v>74</v>
      </c>
      <c r="AB675" t="s">
        <v>74</v>
      </c>
      <c r="AC675" t="s">
        <v>6139</v>
      </c>
      <c r="AD675" t="s">
        <v>6140</v>
      </c>
      <c r="AE675" t="s">
        <v>6141</v>
      </c>
      <c r="AF675" t="s">
        <v>74</v>
      </c>
      <c r="AG675">
        <v>110</v>
      </c>
      <c r="AH675">
        <v>0</v>
      </c>
      <c r="AI675">
        <v>0</v>
      </c>
      <c r="AJ675">
        <v>7</v>
      </c>
      <c r="AK675">
        <v>7</v>
      </c>
      <c r="AL675" t="s">
        <v>144</v>
      </c>
      <c r="AM675" t="s">
        <v>145</v>
      </c>
      <c r="AN675" t="s">
        <v>146</v>
      </c>
      <c r="AO675" t="s">
        <v>147</v>
      </c>
      <c r="AP675" t="s">
        <v>148</v>
      </c>
      <c r="AQ675" t="s">
        <v>74</v>
      </c>
      <c r="AR675" t="s">
        <v>149</v>
      </c>
      <c r="AS675" t="s">
        <v>150</v>
      </c>
      <c r="AT675" t="s">
        <v>74</v>
      </c>
      <c r="AU675" t="s">
        <v>74</v>
      </c>
      <c r="AV675" t="s">
        <v>74</v>
      </c>
      <c r="AW675" t="s">
        <v>74</v>
      </c>
      <c r="AX675" t="s">
        <v>74</v>
      </c>
      <c r="AY675" t="s">
        <v>74</v>
      </c>
      <c r="AZ675" t="s">
        <v>74</v>
      </c>
      <c r="BA675" t="s">
        <v>74</v>
      </c>
      <c r="BB675" t="s">
        <v>74</v>
      </c>
      <c r="BC675" t="s">
        <v>74</v>
      </c>
      <c r="BD675" t="s">
        <v>74</v>
      </c>
      <c r="BE675" t="s">
        <v>6142</v>
      </c>
      <c r="BF675" t="str">
        <f>HYPERLINK("http://dx.doi.org/10.1177/00222437221134115","http://dx.doi.org/10.1177/00222437221134115")</f>
        <v>http://dx.doi.org/10.1177/00222437221134115</v>
      </c>
      <c r="BG675" t="s">
        <v>74</v>
      </c>
      <c r="BH675" t="s">
        <v>6143</v>
      </c>
      <c r="BI675">
        <v>20</v>
      </c>
      <c r="BJ675" t="s">
        <v>153</v>
      </c>
      <c r="BK675" t="s">
        <v>101</v>
      </c>
      <c r="BL675" t="s">
        <v>154</v>
      </c>
      <c r="BM675" t="s">
        <v>6144</v>
      </c>
      <c r="BN675" t="s">
        <v>74</v>
      </c>
      <c r="BO675" t="s">
        <v>828</v>
      </c>
      <c r="BP675" t="s">
        <v>74</v>
      </c>
      <c r="BQ675" t="s">
        <v>74</v>
      </c>
      <c r="BR675" t="s">
        <v>6098</v>
      </c>
      <c r="BS675" t="s">
        <v>6145</v>
      </c>
      <c r="BT675" t="str">
        <f>HYPERLINK("https%3A%2F%2Fwww.webofscience.com%2Fwos%2Fwoscc%2Ffull-record%2FWOS:000934176500001","View Full Record in Web of Science")</f>
        <v>View Full Record in Web of Science</v>
      </c>
      <c r="BU675" t="s">
        <v>6100</v>
      </c>
      <c r="BV675" s="1" t="s">
        <v>6080</v>
      </c>
      <c r="BW675" s="1" t="s">
        <v>6080</v>
      </c>
    </row>
    <row r="676" spans="1:75" x14ac:dyDescent="0.35">
      <c r="A676" t="s">
        <v>72</v>
      </c>
      <c r="B676" t="s">
        <v>6199</v>
      </c>
      <c r="C676" t="s">
        <v>74</v>
      </c>
      <c r="D676" t="s">
        <v>74</v>
      </c>
      <c r="E676" t="s">
        <v>74</v>
      </c>
      <c r="F676" t="s">
        <v>6200</v>
      </c>
      <c r="G676" t="s">
        <v>74</v>
      </c>
      <c r="H676" t="s">
        <v>74</v>
      </c>
      <c r="I676" t="s">
        <v>6201</v>
      </c>
      <c r="J676" t="s">
        <v>6202</v>
      </c>
      <c r="K676" t="s">
        <v>74</v>
      </c>
      <c r="L676" t="s">
        <v>74</v>
      </c>
      <c r="M676" t="s">
        <v>78</v>
      </c>
      <c r="N676" t="s">
        <v>4302</v>
      </c>
      <c r="O676" t="s">
        <v>74</v>
      </c>
      <c r="P676" t="s">
        <v>74</v>
      </c>
      <c r="Q676" t="s">
        <v>74</v>
      </c>
      <c r="R676" t="s">
        <v>74</v>
      </c>
      <c r="S676" t="s">
        <v>74</v>
      </c>
      <c r="T676" t="s">
        <v>6203</v>
      </c>
      <c r="U676" t="s">
        <v>6204</v>
      </c>
      <c r="V676" t="s">
        <v>6205</v>
      </c>
      <c r="W676" t="s">
        <v>6206</v>
      </c>
      <c r="X676" t="s">
        <v>6207</v>
      </c>
      <c r="Y676" t="s">
        <v>6208</v>
      </c>
      <c r="Z676" t="s">
        <v>6209</v>
      </c>
      <c r="AA676" t="s">
        <v>74</v>
      </c>
      <c r="AB676" t="s">
        <v>6210</v>
      </c>
      <c r="AC676" t="s">
        <v>74</v>
      </c>
      <c r="AD676" t="s">
        <v>74</v>
      </c>
      <c r="AE676" t="s">
        <v>74</v>
      </c>
      <c r="AF676" t="s">
        <v>74</v>
      </c>
      <c r="AG676">
        <v>68</v>
      </c>
      <c r="AH676">
        <v>3</v>
      </c>
      <c r="AI676">
        <v>3</v>
      </c>
      <c r="AJ676">
        <v>17</v>
      </c>
      <c r="AK676">
        <v>76</v>
      </c>
      <c r="AL676" t="s">
        <v>820</v>
      </c>
      <c r="AM676" t="s">
        <v>2119</v>
      </c>
      <c r="AN676" t="s">
        <v>2120</v>
      </c>
      <c r="AO676" t="s">
        <v>6211</v>
      </c>
      <c r="AP676" t="s">
        <v>6212</v>
      </c>
      <c r="AQ676" t="s">
        <v>74</v>
      </c>
      <c r="AR676" t="s">
        <v>6213</v>
      </c>
      <c r="AS676" t="s">
        <v>6214</v>
      </c>
      <c r="AT676" t="s">
        <v>74</v>
      </c>
      <c r="AU676" t="s">
        <v>74</v>
      </c>
      <c r="AV676" t="s">
        <v>74</v>
      </c>
      <c r="AW676" t="s">
        <v>74</v>
      </c>
      <c r="AX676" t="s">
        <v>74</v>
      </c>
      <c r="AY676" t="s">
        <v>74</v>
      </c>
      <c r="AZ676" t="s">
        <v>74</v>
      </c>
      <c r="BA676" t="s">
        <v>74</v>
      </c>
      <c r="BB676" t="s">
        <v>74</v>
      </c>
      <c r="BC676" t="s">
        <v>74</v>
      </c>
      <c r="BD676" t="s">
        <v>74</v>
      </c>
      <c r="BE676" t="s">
        <v>6215</v>
      </c>
      <c r="BF676" t="str">
        <f>HYPERLINK("http://dx.doi.org/10.1007/s10660-021-09498-5","http://dx.doi.org/10.1007/s10660-021-09498-5")</f>
        <v>http://dx.doi.org/10.1007/s10660-021-09498-5</v>
      </c>
      <c r="BG676" t="s">
        <v>74</v>
      </c>
      <c r="BH676" t="s">
        <v>6216</v>
      </c>
      <c r="BI676">
        <v>23</v>
      </c>
      <c r="BJ676" t="s">
        <v>877</v>
      </c>
      <c r="BK676" t="s">
        <v>101</v>
      </c>
      <c r="BL676" t="s">
        <v>154</v>
      </c>
      <c r="BM676" t="s">
        <v>6217</v>
      </c>
      <c r="BN676" t="s">
        <v>74</v>
      </c>
      <c r="BO676" t="s">
        <v>74</v>
      </c>
      <c r="BP676" t="s">
        <v>74</v>
      </c>
      <c r="BQ676" t="s">
        <v>74</v>
      </c>
      <c r="BR676" t="s">
        <v>6098</v>
      </c>
      <c r="BS676" t="s">
        <v>6218</v>
      </c>
      <c r="BT676" t="str">
        <f>HYPERLINK("https%3A%2F%2Fwww.webofscience.com%2Fwos%2Fwoscc%2Ffull-record%2FWOS:000667580400001","View Full Record in Web of Science")</f>
        <v>View Full Record in Web of Science</v>
      </c>
      <c r="BU676" t="s">
        <v>6100</v>
      </c>
      <c r="BV676" s="1" t="s">
        <v>10653</v>
      </c>
    </row>
    <row r="677" spans="1:75" x14ac:dyDescent="0.35">
      <c r="A677" t="s">
        <v>72</v>
      </c>
      <c r="B677" t="s">
        <v>6598</v>
      </c>
      <c r="C677" t="s">
        <v>74</v>
      </c>
      <c r="D677" t="s">
        <v>74</v>
      </c>
      <c r="E677" t="s">
        <v>74</v>
      </c>
      <c r="F677" t="s">
        <v>6599</v>
      </c>
      <c r="G677" t="s">
        <v>74</v>
      </c>
      <c r="H677" t="s">
        <v>74</v>
      </c>
      <c r="I677" t="s">
        <v>6600</v>
      </c>
      <c r="J677" t="s">
        <v>6236</v>
      </c>
      <c r="K677" t="s">
        <v>74</v>
      </c>
      <c r="L677" t="s">
        <v>74</v>
      </c>
      <c r="M677" t="s">
        <v>78</v>
      </c>
      <c r="N677" t="s">
        <v>4302</v>
      </c>
      <c r="O677" t="s">
        <v>74</v>
      </c>
      <c r="P677" t="s">
        <v>74</v>
      </c>
      <c r="Q677" t="s">
        <v>74</v>
      </c>
      <c r="R677" t="s">
        <v>74</v>
      </c>
      <c r="S677" t="s">
        <v>74</v>
      </c>
      <c r="T677" t="s">
        <v>6601</v>
      </c>
      <c r="U677" t="s">
        <v>6602</v>
      </c>
      <c r="V677" t="s">
        <v>6603</v>
      </c>
      <c r="W677" t="s">
        <v>6604</v>
      </c>
      <c r="X677" t="s">
        <v>6605</v>
      </c>
      <c r="Y677" t="s">
        <v>6606</v>
      </c>
      <c r="Z677" t="s">
        <v>6607</v>
      </c>
      <c r="AA677" t="s">
        <v>6608</v>
      </c>
      <c r="AB677" t="s">
        <v>74</v>
      </c>
      <c r="AC677" t="s">
        <v>74</v>
      </c>
      <c r="AD677" t="s">
        <v>74</v>
      </c>
      <c r="AE677" t="s">
        <v>74</v>
      </c>
      <c r="AF677" t="s">
        <v>74</v>
      </c>
      <c r="AG677">
        <v>74</v>
      </c>
      <c r="AH677">
        <v>3</v>
      </c>
      <c r="AI677">
        <v>3</v>
      </c>
      <c r="AJ677">
        <v>6</v>
      </c>
      <c r="AK677">
        <v>10</v>
      </c>
      <c r="AL677" t="s">
        <v>1982</v>
      </c>
      <c r="AM677" t="s">
        <v>1983</v>
      </c>
      <c r="AN677" t="s">
        <v>2573</v>
      </c>
      <c r="AO677" t="s">
        <v>6244</v>
      </c>
      <c r="AP677" t="s">
        <v>6245</v>
      </c>
      <c r="AQ677" t="s">
        <v>74</v>
      </c>
      <c r="AR677" t="s">
        <v>6246</v>
      </c>
      <c r="AS677" t="s">
        <v>6247</v>
      </c>
      <c r="AT677" t="s">
        <v>74</v>
      </c>
      <c r="AU677" t="s">
        <v>74</v>
      </c>
      <c r="AV677" t="s">
        <v>74</v>
      </c>
      <c r="AW677" t="s">
        <v>74</v>
      </c>
      <c r="AX677" t="s">
        <v>74</v>
      </c>
      <c r="AY677" t="s">
        <v>74</v>
      </c>
      <c r="AZ677" t="s">
        <v>74</v>
      </c>
      <c r="BA677" t="s">
        <v>74</v>
      </c>
      <c r="BB677" t="s">
        <v>74</v>
      </c>
      <c r="BC677" t="s">
        <v>74</v>
      </c>
      <c r="BD677" t="s">
        <v>74</v>
      </c>
      <c r="BE677" t="s">
        <v>6609</v>
      </c>
      <c r="BF677" t="str">
        <f>HYPERLINK("http://dx.doi.org/10.1108/IMR-06-2021-0194","http://dx.doi.org/10.1108/IMR-06-2021-0194")</f>
        <v>http://dx.doi.org/10.1108/IMR-06-2021-0194</v>
      </c>
      <c r="BG677" t="s">
        <v>74</v>
      </c>
      <c r="BH677" t="s">
        <v>4501</v>
      </c>
      <c r="BI677">
        <v>25</v>
      </c>
      <c r="BJ677" t="s">
        <v>153</v>
      </c>
      <c r="BK677" t="s">
        <v>101</v>
      </c>
      <c r="BL677" t="s">
        <v>154</v>
      </c>
      <c r="BM677" t="s">
        <v>6610</v>
      </c>
      <c r="BN677" t="s">
        <v>74</v>
      </c>
      <c r="BO677" t="s">
        <v>74</v>
      </c>
      <c r="BP677" t="s">
        <v>74</v>
      </c>
      <c r="BQ677" t="s">
        <v>74</v>
      </c>
      <c r="BR677" t="s">
        <v>6098</v>
      </c>
      <c r="BS677" t="s">
        <v>6611</v>
      </c>
      <c r="BT677" t="str">
        <f>HYPERLINK("https%3A%2F%2Fwww.webofscience.com%2Fwos%2Fwoscc%2Ffull-record%2FWOS:000762799200001","View Full Record in Web of Science")</f>
        <v>View Full Record in Web of Science</v>
      </c>
      <c r="BU677" t="s">
        <v>6100</v>
      </c>
      <c r="BV677" s="1" t="s">
        <v>6080</v>
      </c>
      <c r="BW677" s="1" t="s">
        <v>6080</v>
      </c>
    </row>
    <row r="678" spans="1:75" x14ac:dyDescent="0.35">
      <c r="A678" t="s">
        <v>72</v>
      </c>
      <c r="B678" t="s">
        <v>10406</v>
      </c>
      <c r="C678" t="s">
        <v>74</v>
      </c>
      <c r="D678" t="s">
        <v>74</v>
      </c>
      <c r="E678" t="s">
        <v>74</v>
      </c>
      <c r="F678" t="s">
        <v>10407</v>
      </c>
      <c r="G678" t="s">
        <v>74</v>
      </c>
      <c r="H678" t="s">
        <v>74</v>
      </c>
      <c r="I678" t="s">
        <v>10408</v>
      </c>
      <c r="J678" t="s">
        <v>10409</v>
      </c>
      <c r="K678" t="s">
        <v>74</v>
      </c>
      <c r="L678" t="s">
        <v>74</v>
      </c>
      <c r="M678" t="s">
        <v>78</v>
      </c>
      <c r="N678" t="s">
        <v>79</v>
      </c>
      <c r="O678" t="s">
        <v>74</v>
      </c>
      <c r="P678" t="s">
        <v>74</v>
      </c>
      <c r="Q678" t="s">
        <v>74</v>
      </c>
      <c r="R678" t="s">
        <v>74</v>
      </c>
      <c r="S678" t="s">
        <v>74</v>
      </c>
      <c r="T678" t="s">
        <v>10410</v>
      </c>
      <c r="U678" t="s">
        <v>10411</v>
      </c>
      <c r="V678" t="s">
        <v>10412</v>
      </c>
      <c r="W678" t="s">
        <v>10413</v>
      </c>
      <c r="X678" t="s">
        <v>10414</v>
      </c>
      <c r="Y678" t="s">
        <v>10415</v>
      </c>
      <c r="Z678" t="s">
        <v>10416</v>
      </c>
      <c r="AA678" t="s">
        <v>10417</v>
      </c>
      <c r="AB678" t="s">
        <v>10418</v>
      </c>
      <c r="AC678" t="s">
        <v>74</v>
      </c>
      <c r="AD678" t="s">
        <v>74</v>
      </c>
      <c r="AE678" t="s">
        <v>74</v>
      </c>
      <c r="AF678" t="s">
        <v>74</v>
      </c>
      <c r="AG678">
        <v>49</v>
      </c>
      <c r="AH678">
        <v>73</v>
      </c>
      <c r="AI678">
        <v>73</v>
      </c>
      <c r="AJ678">
        <v>7</v>
      </c>
      <c r="AK678">
        <v>85</v>
      </c>
      <c r="AL678" t="s">
        <v>1982</v>
      </c>
      <c r="AM678" t="s">
        <v>1983</v>
      </c>
      <c r="AN678" t="s">
        <v>2573</v>
      </c>
      <c r="AO678" t="s">
        <v>10419</v>
      </c>
      <c r="AP678" t="s">
        <v>10420</v>
      </c>
      <c r="AQ678" t="s">
        <v>74</v>
      </c>
      <c r="AR678" t="s">
        <v>10421</v>
      </c>
      <c r="AS678" t="s">
        <v>10422</v>
      </c>
      <c r="AT678" t="s">
        <v>74</v>
      </c>
      <c r="AU678">
        <v>2011</v>
      </c>
      <c r="AV678">
        <v>41</v>
      </c>
      <c r="AW678" t="s">
        <v>6264</v>
      </c>
      <c r="AX678" t="s">
        <v>74</v>
      </c>
      <c r="AY678" t="s">
        <v>74</v>
      </c>
      <c r="AZ678" t="s">
        <v>74</v>
      </c>
      <c r="BA678" t="s">
        <v>74</v>
      </c>
      <c r="BB678">
        <v>601</v>
      </c>
      <c r="BC678">
        <v>622</v>
      </c>
      <c r="BD678" t="s">
        <v>74</v>
      </c>
      <c r="BE678" t="s">
        <v>10423</v>
      </c>
      <c r="BF678" t="str">
        <f>HYPERLINK("http://dx.doi.org/10.1108/09600031111147835","http://dx.doi.org/10.1108/09600031111147835")</f>
        <v>http://dx.doi.org/10.1108/09600031111147835</v>
      </c>
      <c r="BG678" t="s">
        <v>74</v>
      </c>
      <c r="BH678" t="s">
        <v>74</v>
      </c>
      <c r="BI678">
        <v>22</v>
      </c>
      <c r="BJ678" t="s">
        <v>2493</v>
      </c>
      <c r="BK678" t="s">
        <v>101</v>
      </c>
      <c r="BL678" t="s">
        <v>154</v>
      </c>
      <c r="BM678" t="s">
        <v>10424</v>
      </c>
      <c r="BN678" t="s">
        <v>74</v>
      </c>
      <c r="BO678" t="s">
        <v>74</v>
      </c>
      <c r="BP678" t="s">
        <v>74</v>
      </c>
      <c r="BQ678" t="s">
        <v>74</v>
      </c>
      <c r="BR678" t="s">
        <v>6098</v>
      </c>
      <c r="BS678" t="s">
        <v>10425</v>
      </c>
      <c r="BT678" t="str">
        <f>HYPERLINK("https%3A%2F%2Fwww.webofscience.com%2Fwos%2Fwoscc%2Ffull-record%2FWOS:000294588400008","View Full Record in Web of Science")</f>
        <v>View Full Record in Web of Science</v>
      </c>
      <c r="BU678" t="s">
        <v>6100</v>
      </c>
      <c r="BV678" s="1" t="s">
        <v>6080</v>
      </c>
      <c r="BW678" s="1" t="s">
        <v>10653</v>
      </c>
    </row>
    <row r="679" spans="1:75" x14ac:dyDescent="0.35">
      <c r="A679" t="s">
        <v>72</v>
      </c>
      <c r="B679" t="s">
        <v>7180</v>
      </c>
      <c r="C679" t="s">
        <v>74</v>
      </c>
      <c r="D679" t="s">
        <v>74</v>
      </c>
      <c r="E679" t="s">
        <v>74</v>
      </c>
      <c r="F679" t="s">
        <v>7181</v>
      </c>
      <c r="G679" t="s">
        <v>74</v>
      </c>
      <c r="H679" t="s">
        <v>74</v>
      </c>
      <c r="I679" t="s">
        <v>7182</v>
      </c>
      <c r="J679" t="s">
        <v>6202</v>
      </c>
      <c r="K679" t="s">
        <v>74</v>
      </c>
      <c r="L679" t="s">
        <v>74</v>
      </c>
      <c r="M679" t="s">
        <v>78</v>
      </c>
      <c r="N679" t="s">
        <v>4302</v>
      </c>
      <c r="O679" t="s">
        <v>74</v>
      </c>
      <c r="P679" t="s">
        <v>74</v>
      </c>
      <c r="Q679" t="s">
        <v>74</v>
      </c>
      <c r="R679" t="s">
        <v>74</v>
      </c>
      <c r="S679" t="s">
        <v>74</v>
      </c>
      <c r="T679" t="s">
        <v>7183</v>
      </c>
      <c r="U679" t="s">
        <v>7184</v>
      </c>
      <c r="V679" t="s">
        <v>7185</v>
      </c>
      <c r="W679" t="s">
        <v>7186</v>
      </c>
      <c r="X679" t="s">
        <v>7187</v>
      </c>
      <c r="Y679" t="s">
        <v>7188</v>
      </c>
      <c r="Z679" t="s">
        <v>7189</v>
      </c>
      <c r="AA679" t="s">
        <v>74</v>
      </c>
      <c r="AB679" t="s">
        <v>74</v>
      </c>
      <c r="AC679" t="s">
        <v>7190</v>
      </c>
      <c r="AD679" t="s">
        <v>7191</v>
      </c>
      <c r="AE679" t="s">
        <v>7192</v>
      </c>
      <c r="AF679" t="s">
        <v>74</v>
      </c>
      <c r="AG679">
        <v>40</v>
      </c>
      <c r="AH679">
        <v>0</v>
      </c>
      <c r="AI679">
        <v>0</v>
      </c>
      <c r="AJ679">
        <v>16</v>
      </c>
      <c r="AK679">
        <v>39</v>
      </c>
      <c r="AL679" t="s">
        <v>820</v>
      </c>
      <c r="AM679" t="s">
        <v>2119</v>
      </c>
      <c r="AN679" t="s">
        <v>2120</v>
      </c>
      <c r="AO679" t="s">
        <v>6211</v>
      </c>
      <c r="AP679" t="s">
        <v>6212</v>
      </c>
      <c r="AQ679" t="s">
        <v>74</v>
      </c>
      <c r="AR679" t="s">
        <v>6213</v>
      </c>
      <c r="AS679" t="s">
        <v>6214</v>
      </c>
      <c r="AT679" t="s">
        <v>74</v>
      </c>
      <c r="AU679" t="s">
        <v>74</v>
      </c>
      <c r="AV679" t="s">
        <v>74</v>
      </c>
      <c r="AW679" t="s">
        <v>74</v>
      </c>
      <c r="AX679" t="s">
        <v>74</v>
      </c>
      <c r="AY679" t="s">
        <v>74</v>
      </c>
      <c r="AZ679" t="s">
        <v>74</v>
      </c>
      <c r="BA679" t="s">
        <v>74</v>
      </c>
      <c r="BB679" t="s">
        <v>74</v>
      </c>
      <c r="BC679" t="s">
        <v>74</v>
      </c>
      <c r="BD679" t="s">
        <v>74</v>
      </c>
      <c r="BE679" t="s">
        <v>7193</v>
      </c>
      <c r="BF679" t="str">
        <f>HYPERLINK("http://dx.doi.org/10.1007/s10660-021-09512-w","http://dx.doi.org/10.1007/s10660-021-09512-w")</f>
        <v>http://dx.doi.org/10.1007/s10660-021-09512-w</v>
      </c>
      <c r="BG679" t="s">
        <v>74</v>
      </c>
      <c r="BH679" t="s">
        <v>4579</v>
      </c>
      <c r="BI679">
        <v>26</v>
      </c>
      <c r="BJ679" t="s">
        <v>877</v>
      </c>
      <c r="BK679" t="s">
        <v>101</v>
      </c>
      <c r="BL679" t="s">
        <v>154</v>
      </c>
      <c r="BM679" t="s">
        <v>7194</v>
      </c>
      <c r="BN679" t="s">
        <v>74</v>
      </c>
      <c r="BO679" t="s">
        <v>74</v>
      </c>
      <c r="BP679" t="s">
        <v>74</v>
      </c>
      <c r="BQ679" t="s">
        <v>74</v>
      </c>
      <c r="BR679" t="s">
        <v>6098</v>
      </c>
      <c r="BS679" t="s">
        <v>7195</v>
      </c>
      <c r="BT679" t="str">
        <f>HYPERLINK("https%3A%2F%2Fwww.webofscience.com%2Fwos%2Fwoscc%2Ffull-record%2FWOS:000708322000001","View Full Record in Web of Science")</f>
        <v>View Full Record in Web of Science</v>
      </c>
      <c r="BU679" t="s">
        <v>6100</v>
      </c>
      <c r="BV679" s="1" t="s">
        <v>10653</v>
      </c>
    </row>
    <row r="680" spans="1:75" x14ac:dyDescent="0.35">
      <c r="A680" t="s">
        <v>72</v>
      </c>
      <c r="B680" t="s">
        <v>7218</v>
      </c>
      <c r="C680" t="s">
        <v>74</v>
      </c>
      <c r="D680" t="s">
        <v>74</v>
      </c>
      <c r="E680" t="s">
        <v>74</v>
      </c>
      <c r="F680" t="s">
        <v>7219</v>
      </c>
      <c r="G680" t="s">
        <v>74</v>
      </c>
      <c r="H680" t="s">
        <v>74</v>
      </c>
      <c r="I680" t="s">
        <v>7220</v>
      </c>
      <c r="J680" t="s">
        <v>7221</v>
      </c>
      <c r="K680" t="s">
        <v>74</v>
      </c>
      <c r="L680" t="s">
        <v>74</v>
      </c>
      <c r="M680" t="s">
        <v>78</v>
      </c>
      <c r="N680" t="s">
        <v>4302</v>
      </c>
      <c r="O680" t="s">
        <v>74</v>
      </c>
      <c r="P680" t="s">
        <v>74</v>
      </c>
      <c r="Q680" t="s">
        <v>74</v>
      </c>
      <c r="R680" t="s">
        <v>74</v>
      </c>
      <c r="S680" t="s">
        <v>74</v>
      </c>
      <c r="T680" t="s">
        <v>7222</v>
      </c>
      <c r="U680" t="s">
        <v>7223</v>
      </c>
      <c r="V680" t="s">
        <v>7224</v>
      </c>
      <c r="W680" t="s">
        <v>7225</v>
      </c>
      <c r="X680" t="s">
        <v>7226</v>
      </c>
      <c r="Y680" t="s">
        <v>7227</v>
      </c>
      <c r="Z680" t="s">
        <v>7228</v>
      </c>
      <c r="AA680" t="s">
        <v>74</v>
      </c>
      <c r="AB680" t="s">
        <v>74</v>
      </c>
      <c r="AC680" t="s">
        <v>74</v>
      </c>
      <c r="AD680" t="s">
        <v>74</v>
      </c>
      <c r="AE680" t="s">
        <v>74</v>
      </c>
      <c r="AF680" t="s">
        <v>74</v>
      </c>
      <c r="AG680">
        <v>94</v>
      </c>
      <c r="AH680">
        <v>0</v>
      </c>
      <c r="AI680">
        <v>0</v>
      </c>
      <c r="AJ680">
        <v>7</v>
      </c>
      <c r="AK680">
        <v>10</v>
      </c>
      <c r="AL680" t="s">
        <v>7170</v>
      </c>
      <c r="AM680" t="s">
        <v>7171</v>
      </c>
      <c r="AN680" t="s">
        <v>7172</v>
      </c>
      <c r="AO680" t="s">
        <v>7229</v>
      </c>
      <c r="AP680" t="s">
        <v>7230</v>
      </c>
      <c r="AQ680" t="s">
        <v>74</v>
      </c>
      <c r="AR680" t="s">
        <v>7231</v>
      </c>
      <c r="AS680" t="s">
        <v>7232</v>
      </c>
      <c r="AT680" t="s">
        <v>74</v>
      </c>
      <c r="AU680" t="s">
        <v>74</v>
      </c>
      <c r="AV680" t="s">
        <v>74</v>
      </c>
      <c r="AW680" t="s">
        <v>74</v>
      </c>
      <c r="AX680" t="s">
        <v>74</v>
      </c>
      <c r="AY680" t="s">
        <v>74</v>
      </c>
      <c r="AZ680" t="s">
        <v>74</v>
      </c>
      <c r="BA680" t="s">
        <v>74</v>
      </c>
      <c r="BB680" t="s">
        <v>74</v>
      </c>
      <c r="BC680" t="s">
        <v>74</v>
      </c>
      <c r="BD680" t="s">
        <v>74</v>
      </c>
      <c r="BE680" t="s">
        <v>7233</v>
      </c>
      <c r="BF680" t="str">
        <f>HYPERLINK("http://dx.doi.org/10.1007/s40821-022-00221-4","http://dx.doi.org/10.1007/s40821-022-00221-4")</f>
        <v>http://dx.doi.org/10.1007/s40821-022-00221-4</v>
      </c>
      <c r="BG680" t="s">
        <v>74</v>
      </c>
      <c r="BH680" t="s">
        <v>7234</v>
      </c>
      <c r="BI680">
        <v>26</v>
      </c>
      <c r="BJ680" t="s">
        <v>7128</v>
      </c>
      <c r="BK680" t="s">
        <v>101</v>
      </c>
      <c r="BL680" t="s">
        <v>154</v>
      </c>
      <c r="BM680" t="s">
        <v>7235</v>
      </c>
      <c r="BN680" t="s">
        <v>74</v>
      </c>
      <c r="BO680" t="s">
        <v>74</v>
      </c>
      <c r="BP680" t="s">
        <v>74</v>
      </c>
      <c r="BQ680" t="s">
        <v>74</v>
      </c>
      <c r="BR680" t="s">
        <v>6098</v>
      </c>
      <c r="BS680" t="s">
        <v>7236</v>
      </c>
      <c r="BT680" t="str">
        <f>HYPERLINK("https%3A%2F%2Fwww.webofscience.com%2Fwos%2Fwoscc%2Ffull-record%2FWOS:000817070500001","View Full Record in Web of Science")</f>
        <v>View Full Record in Web of Science</v>
      </c>
      <c r="BU680" t="s">
        <v>6100</v>
      </c>
      <c r="BV680" s="1" t="s">
        <v>10653</v>
      </c>
    </row>
    <row r="681" spans="1:75" x14ac:dyDescent="0.35">
      <c r="A681" t="s">
        <v>72</v>
      </c>
      <c r="B681" t="s">
        <v>7337</v>
      </c>
      <c r="C681" t="s">
        <v>74</v>
      </c>
      <c r="D681" t="s">
        <v>74</v>
      </c>
      <c r="E681" t="s">
        <v>74</v>
      </c>
      <c r="F681" t="s">
        <v>7338</v>
      </c>
      <c r="G681" t="s">
        <v>74</v>
      </c>
      <c r="H681" t="s">
        <v>74</v>
      </c>
      <c r="I681" t="s">
        <v>7339</v>
      </c>
      <c r="J681" t="s">
        <v>6202</v>
      </c>
      <c r="K681" t="s">
        <v>74</v>
      </c>
      <c r="L681" t="s">
        <v>74</v>
      </c>
      <c r="M681" t="s">
        <v>78</v>
      </c>
      <c r="N681" t="s">
        <v>4302</v>
      </c>
      <c r="O681" t="s">
        <v>74</v>
      </c>
      <c r="P681" t="s">
        <v>74</v>
      </c>
      <c r="Q681" t="s">
        <v>74</v>
      </c>
      <c r="R681" t="s">
        <v>74</v>
      </c>
      <c r="S681" t="s">
        <v>74</v>
      </c>
      <c r="T681" t="s">
        <v>7340</v>
      </c>
      <c r="U681" t="s">
        <v>7341</v>
      </c>
      <c r="V681" t="s">
        <v>7342</v>
      </c>
      <c r="W681" t="s">
        <v>7343</v>
      </c>
      <c r="X681" t="s">
        <v>7344</v>
      </c>
      <c r="Y681" t="s">
        <v>7345</v>
      </c>
      <c r="Z681" t="s">
        <v>7346</v>
      </c>
      <c r="AA681" t="s">
        <v>74</v>
      </c>
      <c r="AB681" t="s">
        <v>7347</v>
      </c>
      <c r="AC681" t="s">
        <v>7348</v>
      </c>
      <c r="AD681" t="s">
        <v>7349</v>
      </c>
      <c r="AE681" t="s">
        <v>7350</v>
      </c>
      <c r="AF681" t="s">
        <v>74</v>
      </c>
      <c r="AG681">
        <v>73</v>
      </c>
      <c r="AH681">
        <v>0</v>
      </c>
      <c r="AI681">
        <v>0</v>
      </c>
      <c r="AJ681">
        <v>5</v>
      </c>
      <c r="AK681">
        <v>5</v>
      </c>
      <c r="AL681" t="s">
        <v>820</v>
      </c>
      <c r="AM681" t="s">
        <v>2119</v>
      </c>
      <c r="AN681" t="s">
        <v>2120</v>
      </c>
      <c r="AO681" t="s">
        <v>6211</v>
      </c>
      <c r="AP681" t="s">
        <v>6212</v>
      </c>
      <c r="AQ681" t="s">
        <v>74</v>
      </c>
      <c r="AR681" t="s">
        <v>6213</v>
      </c>
      <c r="AS681" t="s">
        <v>6214</v>
      </c>
      <c r="AT681" t="s">
        <v>74</v>
      </c>
      <c r="AU681" t="s">
        <v>74</v>
      </c>
      <c r="AV681" t="s">
        <v>74</v>
      </c>
      <c r="AW681" t="s">
        <v>74</v>
      </c>
      <c r="AX681" t="s">
        <v>74</v>
      </c>
      <c r="AY681" t="s">
        <v>74</v>
      </c>
      <c r="AZ681" t="s">
        <v>74</v>
      </c>
      <c r="BA681" t="s">
        <v>74</v>
      </c>
      <c r="BB681" t="s">
        <v>74</v>
      </c>
      <c r="BC681" t="s">
        <v>74</v>
      </c>
      <c r="BD681" t="s">
        <v>74</v>
      </c>
      <c r="BE681" t="s">
        <v>7351</v>
      </c>
      <c r="BF681" t="str">
        <f>HYPERLINK("http://dx.doi.org/10.1007/s10660-022-09652-7","http://dx.doi.org/10.1007/s10660-022-09652-7")</f>
        <v>http://dx.doi.org/10.1007/s10660-022-09652-7</v>
      </c>
      <c r="BG681" t="s">
        <v>74</v>
      </c>
      <c r="BH681" t="s">
        <v>4294</v>
      </c>
      <c r="BI681">
        <v>29</v>
      </c>
      <c r="BJ681" t="s">
        <v>877</v>
      </c>
      <c r="BK681" t="s">
        <v>101</v>
      </c>
      <c r="BL681" t="s">
        <v>154</v>
      </c>
      <c r="BM681" t="s">
        <v>7352</v>
      </c>
      <c r="BN681" t="s">
        <v>74</v>
      </c>
      <c r="BO681" t="s">
        <v>74</v>
      </c>
      <c r="BP681" t="s">
        <v>74</v>
      </c>
      <c r="BQ681" t="s">
        <v>74</v>
      </c>
      <c r="BR681" t="s">
        <v>6098</v>
      </c>
      <c r="BS681" t="s">
        <v>7353</v>
      </c>
      <c r="BT681" t="str">
        <f>HYPERLINK("https%3A%2F%2Fwww.webofscience.com%2Fwos%2Fwoscc%2Ffull-record%2FWOS:000911924100001","View Full Record in Web of Science")</f>
        <v>View Full Record in Web of Science</v>
      </c>
      <c r="BU681" t="s">
        <v>6100</v>
      </c>
      <c r="BV681" s="1" t="s">
        <v>10653</v>
      </c>
    </row>
    <row r="682" spans="1:75" x14ac:dyDescent="0.35">
      <c r="A682" t="s">
        <v>72</v>
      </c>
      <c r="B682" t="s">
        <v>7758</v>
      </c>
      <c r="C682" t="s">
        <v>74</v>
      </c>
      <c r="D682" t="s">
        <v>74</v>
      </c>
      <c r="E682" t="s">
        <v>74</v>
      </c>
      <c r="F682" t="s">
        <v>7759</v>
      </c>
      <c r="G682" t="s">
        <v>74</v>
      </c>
      <c r="H682" t="s">
        <v>74</v>
      </c>
      <c r="I682" t="s">
        <v>7760</v>
      </c>
      <c r="J682" t="s">
        <v>6581</v>
      </c>
      <c r="K682" t="s">
        <v>74</v>
      </c>
      <c r="L682" t="s">
        <v>74</v>
      </c>
      <c r="M682" t="s">
        <v>78</v>
      </c>
      <c r="N682" t="s">
        <v>4302</v>
      </c>
      <c r="O682" t="s">
        <v>74</v>
      </c>
      <c r="P682" t="s">
        <v>74</v>
      </c>
      <c r="Q682" t="s">
        <v>74</v>
      </c>
      <c r="R682" t="s">
        <v>74</v>
      </c>
      <c r="S682" t="s">
        <v>74</v>
      </c>
      <c r="T682" t="s">
        <v>7761</v>
      </c>
      <c r="U682" t="s">
        <v>7762</v>
      </c>
      <c r="V682" t="s">
        <v>7763</v>
      </c>
      <c r="W682" t="s">
        <v>7764</v>
      </c>
      <c r="X682" t="s">
        <v>7765</v>
      </c>
      <c r="Y682" t="s">
        <v>7766</v>
      </c>
      <c r="Z682" t="s">
        <v>7767</v>
      </c>
      <c r="AA682" t="s">
        <v>74</v>
      </c>
      <c r="AB682" t="s">
        <v>74</v>
      </c>
      <c r="AC682" t="s">
        <v>74</v>
      </c>
      <c r="AD682" t="s">
        <v>74</v>
      </c>
      <c r="AE682" t="s">
        <v>74</v>
      </c>
      <c r="AF682" t="s">
        <v>74</v>
      </c>
      <c r="AG682">
        <v>86</v>
      </c>
      <c r="AH682">
        <v>0</v>
      </c>
      <c r="AI682">
        <v>0</v>
      </c>
      <c r="AJ682">
        <v>4</v>
      </c>
      <c r="AK682">
        <v>4</v>
      </c>
      <c r="AL682" t="s">
        <v>1982</v>
      </c>
      <c r="AM682" t="s">
        <v>1983</v>
      </c>
      <c r="AN682" t="s">
        <v>2573</v>
      </c>
      <c r="AO682" t="s">
        <v>6591</v>
      </c>
      <c r="AP682" t="s">
        <v>6592</v>
      </c>
      <c r="AQ682" t="s">
        <v>74</v>
      </c>
      <c r="AR682" t="s">
        <v>6593</v>
      </c>
      <c r="AS682" t="s">
        <v>6594</v>
      </c>
      <c r="AT682" t="s">
        <v>74</v>
      </c>
      <c r="AU682" t="s">
        <v>74</v>
      </c>
      <c r="AV682" t="s">
        <v>74</v>
      </c>
      <c r="AW682" t="s">
        <v>74</v>
      </c>
      <c r="AX682" t="s">
        <v>74</v>
      </c>
      <c r="AY682" t="s">
        <v>74</v>
      </c>
      <c r="AZ682" t="s">
        <v>74</v>
      </c>
      <c r="BA682" t="s">
        <v>74</v>
      </c>
      <c r="BB682" t="s">
        <v>74</v>
      </c>
      <c r="BC682" t="s">
        <v>74</v>
      </c>
      <c r="BD682" t="s">
        <v>74</v>
      </c>
      <c r="BE682" t="s">
        <v>7768</v>
      </c>
      <c r="BF682" t="str">
        <f>HYPERLINK("http://dx.doi.org/10.1108/JPBM-06-2022-4035","http://dx.doi.org/10.1108/JPBM-06-2022-4035")</f>
        <v>http://dx.doi.org/10.1108/JPBM-06-2022-4035</v>
      </c>
      <c r="BG682" t="s">
        <v>74</v>
      </c>
      <c r="BH682" t="s">
        <v>4294</v>
      </c>
      <c r="BI682">
        <v>14</v>
      </c>
      <c r="BJ682" t="s">
        <v>877</v>
      </c>
      <c r="BK682" t="s">
        <v>101</v>
      </c>
      <c r="BL682" t="s">
        <v>154</v>
      </c>
      <c r="BM682" t="s">
        <v>7769</v>
      </c>
      <c r="BN682" t="s">
        <v>74</v>
      </c>
      <c r="BO682" t="s">
        <v>74</v>
      </c>
      <c r="BP682" t="s">
        <v>74</v>
      </c>
      <c r="BQ682" t="s">
        <v>74</v>
      </c>
      <c r="BR682" t="s">
        <v>6098</v>
      </c>
      <c r="BS682" t="s">
        <v>7770</v>
      </c>
      <c r="BT682" t="str">
        <f>HYPERLINK("https%3A%2F%2Fwww.webofscience.com%2Fwos%2Fwoscc%2Ffull-record%2FWOS:000911067100001","View Full Record in Web of Science")</f>
        <v>View Full Record in Web of Science</v>
      </c>
      <c r="BU682" t="s">
        <v>6100</v>
      </c>
      <c r="BV682" s="1" t="s">
        <v>6080</v>
      </c>
      <c r="BW682" s="1" t="s">
        <v>6080</v>
      </c>
    </row>
    <row r="683" spans="1:75" x14ac:dyDescent="0.35">
      <c r="A683" t="s">
        <v>72</v>
      </c>
      <c r="B683" t="s">
        <v>8090</v>
      </c>
      <c r="C683" t="s">
        <v>74</v>
      </c>
      <c r="D683" t="s">
        <v>74</v>
      </c>
      <c r="E683" t="s">
        <v>74</v>
      </c>
      <c r="F683" t="s">
        <v>8091</v>
      </c>
      <c r="G683" t="s">
        <v>74</v>
      </c>
      <c r="H683" t="s">
        <v>74</v>
      </c>
      <c r="I683" t="s">
        <v>8092</v>
      </c>
      <c r="J683" t="s">
        <v>6220</v>
      </c>
      <c r="K683" t="s">
        <v>74</v>
      </c>
      <c r="L683" t="s">
        <v>74</v>
      </c>
      <c r="M683" t="s">
        <v>78</v>
      </c>
      <c r="N683" t="s">
        <v>4302</v>
      </c>
      <c r="O683" t="s">
        <v>74</v>
      </c>
      <c r="P683" t="s">
        <v>74</v>
      </c>
      <c r="Q683" t="s">
        <v>74</v>
      </c>
      <c r="R683" t="s">
        <v>74</v>
      </c>
      <c r="S683" t="s">
        <v>74</v>
      </c>
      <c r="T683" t="s">
        <v>74</v>
      </c>
      <c r="U683" t="s">
        <v>8093</v>
      </c>
      <c r="V683" t="s">
        <v>8094</v>
      </c>
      <c r="W683" t="s">
        <v>8095</v>
      </c>
      <c r="X683" t="s">
        <v>8096</v>
      </c>
      <c r="Y683" t="s">
        <v>8097</v>
      </c>
      <c r="Z683" t="s">
        <v>8098</v>
      </c>
      <c r="AA683" t="s">
        <v>8099</v>
      </c>
      <c r="AB683" t="s">
        <v>8100</v>
      </c>
      <c r="AC683" t="s">
        <v>8101</v>
      </c>
      <c r="AD683" t="s">
        <v>8101</v>
      </c>
      <c r="AE683" t="s">
        <v>8102</v>
      </c>
      <c r="AF683" t="s">
        <v>74</v>
      </c>
      <c r="AG683">
        <v>84</v>
      </c>
      <c r="AH683">
        <v>0</v>
      </c>
      <c r="AI683">
        <v>0</v>
      </c>
      <c r="AJ683">
        <v>14</v>
      </c>
      <c r="AK683">
        <v>48</v>
      </c>
      <c r="AL683" t="s">
        <v>206</v>
      </c>
      <c r="AM683" t="s">
        <v>207</v>
      </c>
      <c r="AN683" t="s">
        <v>208</v>
      </c>
      <c r="AO683" t="s">
        <v>6226</v>
      </c>
      <c r="AP683" t="s">
        <v>6227</v>
      </c>
      <c r="AQ683" t="s">
        <v>74</v>
      </c>
      <c r="AR683" t="s">
        <v>6228</v>
      </c>
      <c r="AS683" t="s">
        <v>6229</v>
      </c>
      <c r="AT683" t="s">
        <v>74</v>
      </c>
      <c r="AU683" t="s">
        <v>74</v>
      </c>
      <c r="AV683" t="s">
        <v>74</v>
      </c>
      <c r="AW683" t="s">
        <v>74</v>
      </c>
      <c r="AX683" t="s">
        <v>74</v>
      </c>
      <c r="AY683" t="s">
        <v>74</v>
      </c>
      <c r="AZ683" t="s">
        <v>74</v>
      </c>
      <c r="BA683" t="s">
        <v>74</v>
      </c>
      <c r="BB683" t="s">
        <v>74</v>
      </c>
      <c r="BC683" t="s">
        <v>74</v>
      </c>
      <c r="BD683" t="s">
        <v>74</v>
      </c>
      <c r="BE683" t="s">
        <v>8103</v>
      </c>
      <c r="BF683" t="str">
        <f>HYPERLINK("http://dx.doi.org/10.1002/cb.1969","http://dx.doi.org/10.1002/cb.1969")</f>
        <v>http://dx.doi.org/10.1002/cb.1969</v>
      </c>
      <c r="BG683" t="s">
        <v>74</v>
      </c>
      <c r="BH683" t="s">
        <v>6216</v>
      </c>
      <c r="BI683">
        <v>12</v>
      </c>
      <c r="BJ683" t="s">
        <v>153</v>
      </c>
      <c r="BK683" t="s">
        <v>101</v>
      </c>
      <c r="BL683" t="s">
        <v>154</v>
      </c>
      <c r="BM683" t="s">
        <v>8104</v>
      </c>
      <c r="BN683" t="s">
        <v>74</v>
      </c>
      <c r="BO683" t="s">
        <v>662</v>
      </c>
      <c r="BP683" t="s">
        <v>74</v>
      </c>
      <c r="BQ683" t="s">
        <v>74</v>
      </c>
      <c r="BR683" t="s">
        <v>6098</v>
      </c>
      <c r="BS683" t="s">
        <v>8105</v>
      </c>
      <c r="BT683" t="str">
        <f>HYPERLINK("https%3A%2F%2Fwww.webofscience.com%2Fwos%2Fwoscc%2Ffull-record%2FWOS:000667969600001","View Full Record in Web of Science")</f>
        <v>View Full Record in Web of Science</v>
      </c>
      <c r="BU683" t="s">
        <v>6100</v>
      </c>
      <c r="BV683" s="1" t="s">
        <v>6080</v>
      </c>
      <c r="BW683" s="1" t="s">
        <v>6080</v>
      </c>
    </row>
    <row r="684" spans="1:75" ht="246.5" x14ac:dyDescent="0.35">
      <c r="A684" t="s">
        <v>72</v>
      </c>
      <c r="B684" t="s">
        <v>8230</v>
      </c>
      <c r="C684" t="s">
        <v>74</v>
      </c>
      <c r="D684" t="s">
        <v>74</v>
      </c>
      <c r="E684" t="s">
        <v>74</v>
      </c>
      <c r="F684" t="s">
        <v>8231</v>
      </c>
      <c r="G684" t="s">
        <v>74</v>
      </c>
      <c r="H684" t="s">
        <v>74</v>
      </c>
      <c r="I684" t="s">
        <v>8232</v>
      </c>
      <c r="J684" t="s">
        <v>6902</v>
      </c>
      <c r="K684" t="s">
        <v>74</v>
      </c>
      <c r="L684" t="s">
        <v>74</v>
      </c>
      <c r="M684" t="s">
        <v>78</v>
      </c>
      <c r="N684" t="s">
        <v>4302</v>
      </c>
      <c r="O684" t="s">
        <v>74</v>
      </c>
      <c r="P684" t="s">
        <v>74</v>
      </c>
      <c r="Q684" t="s">
        <v>74</v>
      </c>
      <c r="R684" t="s">
        <v>74</v>
      </c>
      <c r="S684" t="s">
        <v>74</v>
      </c>
      <c r="T684" t="s">
        <v>74</v>
      </c>
      <c r="U684" t="s">
        <v>8233</v>
      </c>
      <c r="V684" s="1" t="s">
        <v>8234</v>
      </c>
      <c r="W684" t="s">
        <v>8235</v>
      </c>
      <c r="X684" t="s">
        <v>8236</v>
      </c>
      <c r="Y684" t="s">
        <v>8237</v>
      </c>
      <c r="Z684" t="s">
        <v>8238</v>
      </c>
      <c r="AA684" t="s">
        <v>74</v>
      </c>
      <c r="AB684" t="s">
        <v>74</v>
      </c>
      <c r="AC684" t="s">
        <v>74</v>
      </c>
      <c r="AD684" t="s">
        <v>74</v>
      </c>
      <c r="AE684" t="s">
        <v>74</v>
      </c>
      <c r="AF684" t="s">
        <v>74</v>
      </c>
      <c r="AG684">
        <v>44</v>
      </c>
      <c r="AH684">
        <v>0</v>
      </c>
      <c r="AI684">
        <v>0</v>
      </c>
      <c r="AJ684">
        <v>0</v>
      </c>
      <c r="AK684">
        <v>0</v>
      </c>
      <c r="AL684" t="s">
        <v>3363</v>
      </c>
      <c r="AM684" t="s">
        <v>1181</v>
      </c>
      <c r="AN684" t="s">
        <v>6910</v>
      </c>
      <c r="AO684" t="s">
        <v>6911</v>
      </c>
      <c r="AP684" t="s">
        <v>6912</v>
      </c>
      <c r="AQ684" t="s">
        <v>74</v>
      </c>
      <c r="AR684" t="s">
        <v>6913</v>
      </c>
      <c r="AS684" t="s">
        <v>6914</v>
      </c>
      <c r="AT684" t="s">
        <v>74</v>
      </c>
      <c r="AU684" t="s">
        <v>74</v>
      </c>
      <c r="AV684" t="s">
        <v>74</v>
      </c>
      <c r="AW684" t="s">
        <v>74</v>
      </c>
      <c r="AX684" t="s">
        <v>74</v>
      </c>
      <c r="AY684" t="s">
        <v>74</v>
      </c>
      <c r="AZ684" t="s">
        <v>74</v>
      </c>
      <c r="BA684" t="s">
        <v>74</v>
      </c>
      <c r="BB684" t="s">
        <v>74</v>
      </c>
      <c r="BC684" t="s">
        <v>74</v>
      </c>
      <c r="BD684" t="s">
        <v>74</v>
      </c>
      <c r="BE684" t="s">
        <v>8239</v>
      </c>
      <c r="BF684" t="str">
        <f>HYPERLINK("http://dx.doi.org/10.1080/10641734.2022.2155890","http://dx.doi.org/10.1080/10641734.2022.2155890")</f>
        <v>http://dx.doi.org/10.1080/10641734.2022.2155890</v>
      </c>
      <c r="BG684" t="s">
        <v>74</v>
      </c>
      <c r="BH684" t="s">
        <v>7801</v>
      </c>
      <c r="BI684">
        <v>13</v>
      </c>
      <c r="BJ684" t="s">
        <v>2010</v>
      </c>
      <c r="BK684" t="s">
        <v>3880</v>
      </c>
      <c r="BL684" t="s">
        <v>2011</v>
      </c>
      <c r="BM684" t="s">
        <v>8240</v>
      </c>
      <c r="BN684" t="s">
        <v>74</v>
      </c>
      <c r="BO684" t="s">
        <v>74</v>
      </c>
      <c r="BP684" t="s">
        <v>74</v>
      </c>
      <c r="BQ684" t="s">
        <v>74</v>
      </c>
      <c r="BR684" t="s">
        <v>6098</v>
      </c>
      <c r="BS684" t="s">
        <v>8241</v>
      </c>
      <c r="BT684" t="str">
        <f>HYPERLINK("https%3A%2F%2Fwww.webofscience.com%2Fwos%2Fwoscc%2Ffull-record%2FWOS:000912752900001","View Full Record in Web of Science")</f>
        <v>View Full Record in Web of Science</v>
      </c>
      <c r="BU684" t="s">
        <v>6100</v>
      </c>
      <c r="BV684" s="1" t="s">
        <v>6080</v>
      </c>
      <c r="BW684" s="1" t="s">
        <v>6080</v>
      </c>
    </row>
    <row r="685" spans="1:75" x14ac:dyDescent="0.35">
      <c r="A685" t="s">
        <v>72</v>
      </c>
      <c r="B685" t="s">
        <v>10527</v>
      </c>
      <c r="C685" t="s">
        <v>74</v>
      </c>
      <c r="D685" t="s">
        <v>74</v>
      </c>
      <c r="E685" t="s">
        <v>74</v>
      </c>
      <c r="F685" t="s">
        <v>10528</v>
      </c>
      <c r="G685" t="s">
        <v>74</v>
      </c>
      <c r="H685" t="s">
        <v>74</v>
      </c>
      <c r="I685" t="s">
        <v>10529</v>
      </c>
      <c r="J685" t="s">
        <v>10530</v>
      </c>
      <c r="K685" t="s">
        <v>74</v>
      </c>
      <c r="L685" t="s">
        <v>74</v>
      </c>
      <c r="M685" t="s">
        <v>78</v>
      </c>
      <c r="N685" t="s">
        <v>79</v>
      </c>
      <c r="O685" t="s">
        <v>74</v>
      </c>
      <c r="P685" t="s">
        <v>74</v>
      </c>
      <c r="Q685" t="s">
        <v>74</v>
      </c>
      <c r="R685" t="s">
        <v>74</v>
      </c>
      <c r="S685" t="s">
        <v>74</v>
      </c>
      <c r="T685" t="s">
        <v>10531</v>
      </c>
      <c r="U685" t="s">
        <v>10532</v>
      </c>
      <c r="V685" t="s">
        <v>10533</v>
      </c>
      <c r="W685" t="s">
        <v>10534</v>
      </c>
      <c r="X685" t="s">
        <v>10535</v>
      </c>
      <c r="Y685" t="s">
        <v>10536</v>
      </c>
      <c r="Z685" t="s">
        <v>10537</v>
      </c>
      <c r="AA685" t="s">
        <v>10538</v>
      </c>
      <c r="AB685" t="s">
        <v>10539</v>
      </c>
      <c r="AC685" t="s">
        <v>74</v>
      </c>
      <c r="AD685" t="s">
        <v>74</v>
      </c>
      <c r="AE685" t="s">
        <v>74</v>
      </c>
      <c r="AF685" t="s">
        <v>74</v>
      </c>
      <c r="AG685">
        <v>92</v>
      </c>
      <c r="AH685">
        <v>6</v>
      </c>
      <c r="AI685">
        <v>6</v>
      </c>
      <c r="AJ685">
        <v>1</v>
      </c>
      <c r="AK685">
        <v>5</v>
      </c>
      <c r="AL685" t="s">
        <v>1180</v>
      </c>
      <c r="AM685" t="s">
        <v>1181</v>
      </c>
      <c r="AN685" t="s">
        <v>1182</v>
      </c>
      <c r="AO685" t="s">
        <v>10540</v>
      </c>
      <c r="AP685" t="s">
        <v>10541</v>
      </c>
      <c r="AQ685" t="s">
        <v>74</v>
      </c>
      <c r="AR685" t="s">
        <v>10542</v>
      </c>
      <c r="AS685" t="s">
        <v>10543</v>
      </c>
      <c r="AT685" t="s">
        <v>74</v>
      </c>
      <c r="AU685">
        <v>2018</v>
      </c>
      <c r="AV685">
        <v>13</v>
      </c>
      <c r="AW685">
        <v>3</v>
      </c>
      <c r="AX685" t="s">
        <v>74</v>
      </c>
      <c r="AY685" t="s">
        <v>74</v>
      </c>
      <c r="AZ685" t="s">
        <v>74</v>
      </c>
      <c r="BA685" t="s">
        <v>74</v>
      </c>
      <c r="BB685">
        <v>236</v>
      </c>
      <c r="BC685">
        <v>257</v>
      </c>
      <c r="BD685" t="s">
        <v>74</v>
      </c>
      <c r="BE685" t="s">
        <v>10544</v>
      </c>
      <c r="BF685" t="str">
        <f>HYPERLINK("http://dx.doi.org/10.1080/17449359.2018.1547648","http://dx.doi.org/10.1080/17449359.2018.1547648")</f>
        <v>http://dx.doi.org/10.1080/17449359.2018.1547648</v>
      </c>
      <c r="BG685" t="s">
        <v>74</v>
      </c>
      <c r="BH685" t="s">
        <v>74</v>
      </c>
      <c r="BI685">
        <v>22</v>
      </c>
      <c r="BJ685" t="s">
        <v>10545</v>
      </c>
      <c r="BK685" t="s">
        <v>101</v>
      </c>
      <c r="BL685" t="s">
        <v>10546</v>
      </c>
      <c r="BM685" t="s">
        <v>10547</v>
      </c>
      <c r="BN685" t="s">
        <v>74</v>
      </c>
      <c r="BO685" t="s">
        <v>74</v>
      </c>
      <c r="BP685" t="s">
        <v>74</v>
      </c>
      <c r="BQ685" t="s">
        <v>74</v>
      </c>
      <c r="BR685" t="s">
        <v>6098</v>
      </c>
      <c r="BS685" t="s">
        <v>10548</v>
      </c>
      <c r="BT685" t="str">
        <f>HYPERLINK("https%3A%2F%2Fwww.webofscience.com%2Fwos%2Fwoscc%2Ffull-record%2FWOS:000456794200003","View Full Record in Web of Science")</f>
        <v>View Full Record in Web of Science</v>
      </c>
      <c r="BU685" t="s">
        <v>6100</v>
      </c>
      <c r="BV685" s="1" t="s">
        <v>6080</v>
      </c>
      <c r="BW685" s="1" t="s">
        <v>10653</v>
      </c>
    </row>
    <row r="686" spans="1:75" x14ac:dyDescent="0.35">
      <c r="A686" t="s">
        <v>72</v>
      </c>
      <c r="B686" t="s">
        <v>9107</v>
      </c>
      <c r="C686" t="s">
        <v>74</v>
      </c>
      <c r="D686" t="s">
        <v>74</v>
      </c>
      <c r="E686" t="s">
        <v>74</v>
      </c>
      <c r="F686" t="s">
        <v>9108</v>
      </c>
      <c r="G686" t="s">
        <v>74</v>
      </c>
      <c r="H686" t="s">
        <v>74</v>
      </c>
      <c r="I686" t="s">
        <v>9109</v>
      </c>
      <c r="J686" t="s">
        <v>161</v>
      </c>
      <c r="K686" t="s">
        <v>74</v>
      </c>
      <c r="L686" t="s">
        <v>74</v>
      </c>
      <c r="M686" t="s">
        <v>78</v>
      </c>
      <c r="N686" t="s">
        <v>4302</v>
      </c>
      <c r="O686" t="s">
        <v>74</v>
      </c>
      <c r="P686" t="s">
        <v>74</v>
      </c>
      <c r="Q686" t="s">
        <v>74</v>
      </c>
      <c r="R686" t="s">
        <v>74</v>
      </c>
      <c r="S686" t="s">
        <v>74</v>
      </c>
      <c r="T686" t="s">
        <v>9110</v>
      </c>
      <c r="U686" t="s">
        <v>9111</v>
      </c>
      <c r="V686" t="s">
        <v>9112</v>
      </c>
      <c r="W686" t="s">
        <v>9113</v>
      </c>
      <c r="X686" t="s">
        <v>9114</v>
      </c>
      <c r="Y686" t="s">
        <v>4828</v>
      </c>
      <c r="Z686" t="s">
        <v>9115</v>
      </c>
      <c r="AA686" t="s">
        <v>74</v>
      </c>
      <c r="AB686" t="s">
        <v>74</v>
      </c>
      <c r="AC686" t="s">
        <v>2306</v>
      </c>
      <c r="AD686" t="s">
        <v>2307</v>
      </c>
      <c r="AE686" t="s">
        <v>9116</v>
      </c>
      <c r="AF686" t="s">
        <v>74</v>
      </c>
      <c r="AG686">
        <v>95</v>
      </c>
      <c r="AH686">
        <v>0</v>
      </c>
      <c r="AI686">
        <v>0</v>
      </c>
      <c r="AJ686">
        <v>10</v>
      </c>
      <c r="AK686">
        <v>10</v>
      </c>
      <c r="AL686" t="s">
        <v>170</v>
      </c>
      <c r="AM686" t="s">
        <v>171</v>
      </c>
      <c r="AN686" t="s">
        <v>172</v>
      </c>
      <c r="AO686" t="s">
        <v>173</v>
      </c>
      <c r="AP686" t="s">
        <v>174</v>
      </c>
      <c r="AQ686" t="s">
        <v>74</v>
      </c>
      <c r="AR686" t="s">
        <v>175</v>
      </c>
      <c r="AS686" t="s">
        <v>176</v>
      </c>
      <c r="AT686" t="s">
        <v>74</v>
      </c>
      <c r="AU686" t="s">
        <v>74</v>
      </c>
      <c r="AV686" t="s">
        <v>74</v>
      </c>
      <c r="AW686" t="s">
        <v>74</v>
      </c>
      <c r="AX686" t="s">
        <v>74</v>
      </c>
      <c r="AY686" t="s">
        <v>74</v>
      </c>
      <c r="AZ686" t="s">
        <v>74</v>
      </c>
      <c r="BA686" t="s">
        <v>74</v>
      </c>
      <c r="BB686" t="s">
        <v>74</v>
      </c>
      <c r="BC686" t="s">
        <v>74</v>
      </c>
      <c r="BD686" t="s">
        <v>74</v>
      </c>
      <c r="BE686" t="s">
        <v>9117</v>
      </c>
      <c r="BF686" t="str">
        <f>HYPERLINK("http://dx.doi.org/10.1093/jcr/ucad006","http://dx.doi.org/10.1093/jcr/ucad006")</f>
        <v>http://dx.doi.org/10.1093/jcr/ucad006</v>
      </c>
      <c r="BG686" t="s">
        <v>74</v>
      </c>
      <c r="BH686" t="s">
        <v>4294</v>
      </c>
      <c r="BI686">
        <v>16</v>
      </c>
      <c r="BJ686" t="s">
        <v>153</v>
      </c>
      <c r="BK686" t="s">
        <v>101</v>
      </c>
      <c r="BL686" t="s">
        <v>154</v>
      </c>
      <c r="BM686" t="s">
        <v>9118</v>
      </c>
      <c r="BN686" t="s">
        <v>74</v>
      </c>
      <c r="BO686" t="s">
        <v>74</v>
      </c>
      <c r="BP686" t="s">
        <v>74</v>
      </c>
      <c r="BQ686" t="s">
        <v>74</v>
      </c>
      <c r="BR686" t="s">
        <v>6098</v>
      </c>
      <c r="BS686" t="s">
        <v>9119</v>
      </c>
      <c r="BT686" t="str">
        <f>HYPERLINK("https%3A%2F%2Fwww.webofscience.com%2Fwos%2Fwoscc%2Ffull-record%2FWOS:000934604400001","View Full Record in Web of Science")</f>
        <v>View Full Record in Web of Science</v>
      </c>
      <c r="BU686" t="s">
        <v>6100</v>
      </c>
      <c r="BV686" s="1" t="s">
        <v>6080</v>
      </c>
      <c r="BW686" s="1" t="s">
        <v>6080</v>
      </c>
    </row>
    <row r="687" spans="1:75" x14ac:dyDescent="0.35">
      <c r="A687" t="s">
        <v>72</v>
      </c>
      <c r="B687" t="s">
        <v>9284</v>
      </c>
      <c r="C687" t="s">
        <v>74</v>
      </c>
      <c r="D687" t="s">
        <v>74</v>
      </c>
      <c r="E687" t="s">
        <v>74</v>
      </c>
      <c r="F687" t="s">
        <v>9285</v>
      </c>
      <c r="G687" t="s">
        <v>74</v>
      </c>
      <c r="H687" t="s">
        <v>74</v>
      </c>
      <c r="I687" t="s">
        <v>9286</v>
      </c>
      <c r="J687" t="s">
        <v>9287</v>
      </c>
      <c r="K687" t="s">
        <v>74</v>
      </c>
      <c r="L687" t="s">
        <v>74</v>
      </c>
      <c r="M687" t="s">
        <v>78</v>
      </c>
      <c r="N687" t="s">
        <v>4302</v>
      </c>
      <c r="O687" t="s">
        <v>74</v>
      </c>
      <c r="P687" t="s">
        <v>74</v>
      </c>
      <c r="Q687" t="s">
        <v>74</v>
      </c>
      <c r="R687" t="s">
        <v>74</v>
      </c>
      <c r="S687" t="s">
        <v>74</v>
      </c>
      <c r="T687" t="s">
        <v>9288</v>
      </c>
      <c r="U687" t="s">
        <v>9289</v>
      </c>
      <c r="V687" t="s">
        <v>9290</v>
      </c>
      <c r="W687" t="s">
        <v>9291</v>
      </c>
      <c r="X687" t="s">
        <v>9292</v>
      </c>
      <c r="Y687" t="s">
        <v>9293</v>
      </c>
      <c r="Z687" t="s">
        <v>9294</v>
      </c>
      <c r="AA687" t="s">
        <v>74</v>
      </c>
      <c r="AB687" t="s">
        <v>74</v>
      </c>
      <c r="AC687" t="s">
        <v>74</v>
      </c>
      <c r="AD687" t="s">
        <v>74</v>
      </c>
      <c r="AE687" t="s">
        <v>74</v>
      </c>
      <c r="AF687" t="s">
        <v>74</v>
      </c>
      <c r="AG687">
        <v>47</v>
      </c>
      <c r="AH687">
        <v>0</v>
      </c>
      <c r="AI687">
        <v>0</v>
      </c>
      <c r="AJ687">
        <v>0</v>
      </c>
      <c r="AK687">
        <v>0</v>
      </c>
      <c r="AL687" t="s">
        <v>1886</v>
      </c>
      <c r="AM687" t="s">
        <v>121</v>
      </c>
      <c r="AN687" t="s">
        <v>1887</v>
      </c>
      <c r="AO687" t="s">
        <v>9295</v>
      </c>
      <c r="AP687" t="s">
        <v>9296</v>
      </c>
      <c r="AQ687" t="s">
        <v>74</v>
      </c>
      <c r="AR687" t="s">
        <v>9297</v>
      </c>
      <c r="AS687" t="s">
        <v>9298</v>
      </c>
      <c r="AT687" t="s">
        <v>74</v>
      </c>
      <c r="AU687" t="s">
        <v>74</v>
      </c>
      <c r="AV687" t="s">
        <v>74</v>
      </c>
      <c r="AW687" t="s">
        <v>74</v>
      </c>
      <c r="AX687" t="s">
        <v>74</v>
      </c>
      <c r="AY687" t="s">
        <v>74</v>
      </c>
      <c r="AZ687" t="s">
        <v>74</v>
      </c>
      <c r="BA687" t="s">
        <v>74</v>
      </c>
      <c r="BB687" t="s">
        <v>74</v>
      </c>
      <c r="BC687" t="s">
        <v>74</v>
      </c>
      <c r="BD687" t="s">
        <v>74</v>
      </c>
      <c r="BE687" t="s">
        <v>9299</v>
      </c>
      <c r="BF687" t="str">
        <f>HYPERLINK("http://dx.doi.org/10.1177/13567667231161843","http://dx.doi.org/10.1177/13567667231161843")</f>
        <v>http://dx.doi.org/10.1177/13567667231161843</v>
      </c>
      <c r="BG687" t="s">
        <v>74</v>
      </c>
      <c r="BH687" t="s">
        <v>9300</v>
      </c>
      <c r="BI687">
        <v>15</v>
      </c>
      <c r="BJ687" t="s">
        <v>9301</v>
      </c>
      <c r="BK687" t="s">
        <v>101</v>
      </c>
      <c r="BL687" t="s">
        <v>7215</v>
      </c>
      <c r="BM687" t="s">
        <v>9302</v>
      </c>
      <c r="BN687" t="s">
        <v>74</v>
      </c>
      <c r="BO687" t="s">
        <v>74</v>
      </c>
      <c r="BP687" t="s">
        <v>74</v>
      </c>
      <c r="BQ687" t="s">
        <v>74</v>
      </c>
      <c r="BR687" t="s">
        <v>6098</v>
      </c>
      <c r="BS687" t="s">
        <v>9303</v>
      </c>
      <c r="BT687" t="str">
        <f>HYPERLINK("https%3A%2F%2Fwww.webofscience.com%2Fwos%2Fwoscc%2Ffull-record%2FWOS:000946116100001","View Full Record in Web of Science")</f>
        <v>View Full Record in Web of Science</v>
      </c>
      <c r="BU687" t="s">
        <v>6100</v>
      </c>
      <c r="BV687" s="1" t="s">
        <v>6080</v>
      </c>
      <c r="BW687" s="1" t="s">
        <v>6080</v>
      </c>
    </row>
    <row r="688" spans="1:75" x14ac:dyDescent="0.35">
      <c r="A688" t="s">
        <v>72</v>
      </c>
      <c r="B688" t="s">
        <v>9618</v>
      </c>
      <c r="C688" t="s">
        <v>74</v>
      </c>
      <c r="D688" t="s">
        <v>74</v>
      </c>
      <c r="E688" t="s">
        <v>74</v>
      </c>
      <c r="F688" t="s">
        <v>9619</v>
      </c>
      <c r="G688" t="s">
        <v>74</v>
      </c>
      <c r="H688" t="s">
        <v>74</v>
      </c>
      <c r="I688" t="s">
        <v>9620</v>
      </c>
      <c r="J688" t="s">
        <v>9621</v>
      </c>
      <c r="K688" t="s">
        <v>74</v>
      </c>
      <c r="L688" t="s">
        <v>74</v>
      </c>
      <c r="M688" t="s">
        <v>78</v>
      </c>
      <c r="N688" t="s">
        <v>4302</v>
      </c>
      <c r="O688" t="s">
        <v>74</v>
      </c>
      <c r="P688" t="s">
        <v>74</v>
      </c>
      <c r="Q688" t="s">
        <v>74</v>
      </c>
      <c r="R688" t="s">
        <v>74</v>
      </c>
      <c r="S688" t="s">
        <v>74</v>
      </c>
      <c r="T688" t="s">
        <v>9622</v>
      </c>
      <c r="U688" t="s">
        <v>9623</v>
      </c>
      <c r="V688" t="s">
        <v>9624</v>
      </c>
      <c r="W688" t="s">
        <v>9625</v>
      </c>
      <c r="X688" t="s">
        <v>9626</v>
      </c>
      <c r="Y688" t="s">
        <v>9627</v>
      </c>
      <c r="Z688" t="s">
        <v>9628</v>
      </c>
      <c r="AA688" t="s">
        <v>74</v>
      </c>
      <c r="AB688" t="s">
        <v>74</v>
      </c>
      <c r="AC688" t="s">
        <v>74</v>
      </c>
      <c r="AD688" t="s">
        <v>74</v>
      </c>
      <c r="AE688" t="s">
        <v>74</v>
      </c>
      <c r="AF688" t="s">
        <v>74</v>
      </c>
      <c r="AG688">
        <v>81</v>
      </c>
      <c r="AH688">
        <v>0</v>
      </c>
      <c r="AI688">
        <v>0</v>
      </c>
      <c r="AJ688">
        <v>8</v>
      </c>
      <c r="AK688">
        <v>8</v>
      </c>
      <c r="AL688" t="s">
        <v>1982</v>
      </c>
      <c r="AM688" t="s">
        <v>1983</v>
      </c>
      <c r="AN688" t="s">
        <v>2573</v>
      </c>
      <c r="AO688" t="s">
        <v>9629</v>
      </c>
      <c r="AP688" t="s">
        <v>9630</v>
      </c>
      <c r="AQ688" t="s">
        <v>74</v>
      </c>
      <c r="AR688" t="s">
        <v>9631</v>
      </c>
      <c r="AS688" t="s">
        <v>9632</v>
      </c>
      <c r="AT688" t="s">
        <v>74</v>
      </c>
      <c r="AU688" t="s">
        <v>74</v>
      </c>
      <c r="AV688" t="s">
        <v>74</v>
      </c>
      <c r="AW688" t="s">
        <v>74</v>
      </c>
      <c r="AX688" t="s">
        <v>74</v>
      </c>
      <c r="AY688" t="s">
        <v>74</v>
      </c>
      <c r="AZ688" t="s">
        <v>74</v>
      </c>
      <c r="BA688" t="s">
        <v>74</v>
      </c>
      <c r="BB688" t="s">
        <v>74</v>
      </c>
      <c r="BC688" t="s">
        <v>74</v>
      </c>
      <c r="BD688" t="s">
        <v>74</v>
      </c>
      <c r="BE688" t="s">
        <v>9633</v>
      </c>
      <c r="BF688" t="str">
        <f>HYPERLINK("http://dx.doi.org/10.1108/IJEBR-01-2022-0071","http://dx.doi.org/10.1108/IJEBR-01-2022-0071")</f>
        <v>http://dx.doi.org/10.1108/IJEBR-01-2022-0071</v>
      </c>
      <c r="BG688" t="s">
        <v>74</v>
      </c>
      <c r="BH688" t="s">
        <v>7801</v>
      </c>
      <c r="BI688">
        <v>30</v>
      </c>
      <c r="BJ688" t="s">
        <v>877</v>
      </c>
      <c r="BK688" t="s">
        <v>101</v>
      </c>
      <c r="BL688" t="s">
        <v>154</v>
      </c>
      <c r="BM688" t="s">
        <v>9634</v>
      </c>
      <c r="BN688" t="s">
        <v>74</v>
      </c>
      <c r="BO688" t="s">
        <v>74</v>
      </c>
      <c r="BP688" t="s">
        <v>74</v>
      </c>
      <c r="BQ688" t="s">
        <v>74</v>
      </c>
      <c r="BR688" t="s">
        <v>6098</v>
      </c>
      <c r="BS688" t="s">
        <v>9635</v>
      </c>
      <c r="BT688" t="str">
        <f>HYPERLINK("https%3A%2F%2Fwww.webofscience.com%2Fwos%2Fwoscc%2Ffull-record%2FWOS:000892566700001","View Full Record in Web of Science")</f>
        <v>View Full Record in Web of Science</v>
      </c>
      <c r="BU688" t="s">
        <v>6100</v>
      </c>
      <c r="BV688" s="1" t="s">
        <v>10653</v>
      </c>
    </row>
    <row r="689" spans="1:75" x14ac:dyDescent="0.35">
      <c r="A689" t="s">
        <v>72</v>
      </c>
      <c r="B689" t="s">
        <v>10597</v>
      </c>
      <c r="C689" t="s">
        <v>74</v>
      </c>
      <c r="D689" t="s">
        <v>74</v>
      </c>
      <c r="E689" t="s">
        <v>74</v>
      </c>
      <c r="F689" t="s">
        <v>10598</v>
      </c>
      <c r="G689" t="s">
        <v>74</v>
      </c>
      <c r="H689" t="s">
        <v>74</v>
      </c>
      <c r="I689" t="s">
        <v>10599</v>
      </c>
      <c r="J689" t="s">
        <v>10600</v>
      </c>
      <c r="K689" t="s">
        <v>74</v>
      </c>
      <c r="L689" t="s">
        <v>74</v>
      </c>
      <c r="M689" t="s">
        <v>78</v>
      </c>
      <c r="N689" t="s">
        <v>79</v>
      </c>
      <c r="O689" t="s">
        <v>74</v>
      </c>
      <c r="P689" t="s">
        <v>74</v>
      </c>
      <c r="Q689" t="s">
        <v>74</v>
      </c>
      <c r="R689" t="s">
        <v>74</v>
      </c>
      <c r="S689" t="s">
        <v>74</v>
      </c>
      <c r="T689" t="s">
        <v>10601</v>
      </c>
      <c r="U689" t="s">
        <v>10602</v>
      </c>
      <c r="V689" t="s">
        <v>10603</v>
      </c>
      <c r="W689" t="s">
        <v>10604</v>
      </c>
      <c r="X689" t="s">
        <v>10605</v>
      </c>
      <c r="Y689" t="s">
        <v>10606</v>
      </c>
      <c r="Z689" t="s">
        <v>10607</v>
      </c>
      <c r="AA689" t="s">
        <v>74</v>
      </c>
      <c r="AB689" t="s">
        <v>10608</v>
      </c>
      <c r="AC689" t="s">
        <v>74</v>
      </c>
      <c r="AD689" t="s">
        <v>74</v>
      </c>
      <c r="AE689" t="s">
        <v>74</v>
      </c>
      <c r="AF689" t="s">
        <v>74</v>
      </c>
      <c r="AG689">
        <v>93</v>
      </c>
      <c r="AH689">
        <v>0</v>
      </c>
      <c r="AI689">
        <v>0</v>
      </c>
      <c r="AJ689">
        <v>1</v>
      </c>
      <c r="AK689">
        <v>5</v>
      </c>
      <c r="AL689" t="s">
        <v>10609</v>
      </c>
      <c r="AM689" t="s">
        <v>10610</v>
      </c>
      <c r="AN689" t="s">
        <v>10611</v>
      </c>
      <c r="AO689" t="s">
        <v>10612</v>
      </c>
      <c r="AP689" t="s">
        <v>10613</v>
      </c>
      <c r="AQ689" t="s">
        <v>74</v>
      </c>
      <c r="AR689" t="s">
        <v>10614</v>
      </c>
      <c r="AS689" t="s">
        <v>10615</v>
      </c>
      <c r="AT689" t="s">
        <v>74</v>
      </c>
      <c r="AU689">
        <v>2022</v>
      </c>
      <c r="AV689">
        <v>15</v>
      </c>
      <c r="AW689">
        <v>1</v>
      </c>
      <c r="AX689" t="s">
        <v>74</v>
      </c>
      <c r="AY689" t="s">
        <v>74</v>
      </c>
      <c r="AZ689" t="s">
        <v>74</v>
      </c>
      <c r="BA689" t="s">
        <v>74</v>
      </c>
      <c r="BB689">
        <v>79</v>
      </c>
      <c r="BC689">
        <v>92</v>
      </c>
      <c r="BD689" t="s">
        <v>74</v>
      </c>
      <c r="BE689" t="s">
        <v>74</v>
      </c>
      <c r="BF689" t="s">
        <v>74</v>
      </c>
      <c r="BG689" t="s">
        <v>74</v>
      </c>
      <c r="BH689" t="s">
        <v>74</v>
      </c>
      <c r="BI689">
        <v>14</v>
      </c>
      <c r="BJ689" t="s">
        <v>2493</v>
      </c>
      <c r="BK689" t="s">
        <v>3880</v>
      </c>
      <c r="BL689" t="s">
        <v>154</v>
      </c>
      <c r="BM689" t="s">
        <v>10616</v>
      </c>
      <c r="BN689" t="s">
        <v>74</v>
      </c>
      <c r="BO689" t="s">
        <v>74</v>
      </c>
      <c r="BP689" t="s">
        <v>74</v>
      </c>
      <c r="BQ689" t="s">
        <v>74</v>
      </c>
      <c r="BR689" t="s">
        <v>6098</v>
      </c>
      <c r="BS689" t="s">
        <v>10617</v>
      </c>
      <c r="BT689" t="str">
        <f>HYPERLINK("https%3A%2F%2Fwww.webofscience.com%2Fwos%2Fwoscc%2Ffull-record%2FWOS:000747828800007","View Full Record in Web of Science")</f>
        <v>View Full Record in Web of Science</v>
      </c>
      <c r="BU689" t="s">
        <v>6100</v>
      </c>
      <c r="BV689" s="1" t="s">
        <v>10653</v>
      </c>
      <c r="BW689" s="1" t="s">
        <v>10653</v>
      </c>
    </row>
    <row r="690" spans="1:75" x14ac:dyDescent="0.35">
      <c r="A690" t="s">
        <v>72</v>
      </c>
      <c r="B690" t="s">
        <v>10136</v>
      </c>
      <c r="C690" t="s">
        <v>74</v>
      </c>
      <c r="D690" t="s">
        <v>74</v>
      </c>
      <c r="E690" t="s">
        <v>74</v>
      </c>
      <c r="F690" t="s">
        <v>10137</v>
      </c>
      <c r="G690" t="s">
        <v>74</v>
      </c>
      <c r="H690" t="s">
        <v>74</v>
      </c>
      <c r="I690" t="s">
        <v>10138</v>
      </c>
      <c r="J690" t="s">
        <v>267</v>
      </c>
      <c r="K690" t="s">
        <v>74</v>
      </c>
      <c r="L690" t="s">
        <v>74</v>
      </c>
      <c r="M690" t="s">
        <v>78</v>
      </c>
      <c r="N690" t="s">
        <v>4302</v>
      </c>
      <c r="O690" t="s">
        <v>74</v>
      </c>
      <c r="P690" t="s">
        <v>74</v>
      </c>
      <c r="Q690" t="s">
        <v>74</v>
      </c>
      <c r="R690" t="s">
        <v>74</v>
      </c>
      <c r="S690" t="s">
        <v>74</v>
      </c>
      <c r="T690" t="s">
        <v>10139</v>
      </c>
      <c r="U690" t="s">
        <v>10140</v>
      </c>
      <c r="V690" t="s">
        <v>10141</v>
      </c>
      <c r="W690" t="s">
        <v>10142</v>
      </c>
      <c r="X690" t="s">
        <v>10143</v>
      </c>
      <c r="Y690" t="s">
        <v>10144</v>
      </c>
      <c r="Z690" t="s">
        <v>10145</v>
      </c>
      <c r="AA690" t="s">
        <v>10146</v>
      </c>
      <c r="AB690" t="s">
        <v>10147</v>
      </c>
      <c r="AC690" t="s">
        <v>74</v>
      </c>
      <c r="AD690" t="s">
        <v>74</v>
      </c>
      <c r="AE690" t="s">
        <v>74</v>
      </c>
      <c r="AF690" t="s">
        <v>74</v>
      </c>
      <c r="AG690">
        <v>114</v>
      </c>
      <c r="AH690">
        <v>0</v>
      </c>
      <c r="AI690">
        <v>0</v>
      </c>
      <c r="AJ690">
        <v>34</v>
      </c>
      <c r="AK690">
        <v>48</v>
      </c>
      <c r="AL690" t="s">
        <v>274</v>
      </c>
      <c r="AM690" t="s">
        <v>275</v>
      </c>
      <c r="AN690" t="s">
        <v>276</v>
      </c>
      <c r="AO690" t="s">
        <v>277</v>
      </c>
      <c r="AP690" t="s">
        <v>278</v>
      </c>
      <c r="AQ690" t="s">
        <v>74</v>
      </c>
      <c r="AR690" t="s">
        <v>279</v>
      </c>
      <c r="AS690" t="s">
        <v>280</v>
      </c>
      <c r="AT690" t="s">
        <v>74</v>
      </c>
      <c r="AU690" t="s">
        <v>74</v>
      </c>
      <c r="AV690" t="s">
        <v>74</v>
      </c>
      <c r="AW690" t="s">
        <v>74</v>
      </c>
      <c r="AX690" t="s">
        <v>74</v>
      </c>
      <c r="AY690" t="s">
        <v>74</v>
      </c>
      <c r="AZ690" t="s">
        <v>74</v>
      </c>
      <c r="BA690" t="s">
        <v>74</v>
      </c>
      <c r="BB690" t="s">
        <v>74</v>
      </c>
      <c r="BC690" t="s">
        <v>74</v>
      </c>
      <c r="BD690" t="s">
        <v>74</v>
      </c>
      <c r="BE690" t="s">
        <v>10148</v>
      </c>
      <c r="BF690" t="str">
        <f>HYPERLINK("http://dx.doi.org/10.1002/jcpy.1317","http://dx.doi.org/10.1002/jcpy.1317")</f>
        <v>http://dx.doi.org/10.1002/jcpy.1317</v>
      </c>
      <c r="BG690" t="s">
        <v>74</v>
      </c>
      <c r="BH690" t="s">
        <v>7369</v>
      </c>
      <c r="BI690">
        <v>20</v>
      </c>
      <c r="BJ690" t="s">
        <v>215</v>
      </c>
      <c r="BK690" t="s">
        <v>101</v>
      </c>
      <c r="BL690" t="s">
        <v>216</v>
      </c>
      <c r="BM690" t="s">
        <v>10149</v>
      </c>
      <c r="BN690" t="s">
        <v>74</v>
      </c>
      <c r="BO690" t="s">
        <v>4965</v>
      </c>
      <c r="BP690" t="s">
        <v>74</v>
      </c>
      <c r="BQ690" t="s">
        <v>74</v>
      </c>
      <c r="BR690" t="s">
        <v>6098</v>
      </c>
      <c r="BS690" t="s">
        <v>10150</v>
      </c>
      <c r="BT690" t="str">
        <f>HYPERLINK("https%3A%2F%2Fwww.webofscience.com%2Fwos%2Fwoscc%2Ffull-record%2FWOS:000832672000001","View Full Record in Web of Science")</f>
        <v>View Full Record in Web of Science</v>
      </c>
      <c r="BU690" t="s">
        <v>6100</v>
      </c>
      <c r="BV690" s="1" t="s">
        <v>6080</v>
      </c>
      <c r="BW690" s="1" t="s">
        <v>6080</v>
      </c>
    </row>
    <row r="691" spans="1:75" x14ac:dyDescent="0.35">
      <c r="A691" t="s">
        <v>72</v>
      </c>
      <c r="B691" t="s">
        <v>10394</v>
      </c>
      <c r="C691" t="s">
        <v>74</v>
      </c>
      <c r="D691" t="s">
        <v>74</v>
      </c>
      <c r="E691" t="s">
        <v>74</v>
      </c>
      <c r="F691" t="s">
        <v>10395</v>
      </c>
      <c r="G691" t="s">
        <v>74</v>
      </c>
      <c r="H691" t="s">
        <v>74</v>
      </c>
      <c r="I691" t="s">
        <v>10396</v>
      </c>
      <c r="J691" t="s">
        <v>8549</v>
      </c>
      <c r="K691" t="s">
        <v>74</v>
      </c>
      <c r="L691" t="s">
        <v>74</v>
      </c>
      <c r="M691" t="s">
        <v>78</v>
      </c>
      <c r="N691" t="s">
        <v>4302</v>
      </c>
      <c r="O691" t="s">
        <v>74</v>
      </c>
      <c r="P691" t="s">
        <v>74</v>
      </c>
      <c r="Q691" t="s">
        <v>74</v>
      </c>
      <c r="R691" t="s">
        <v>74</v>
      </c>
      <c r="S691" t="s">
        <v>74</v>
      </c>
      <c r="T691" t="s">
        <v>10397</v>
      </c>
      <c r="U691" t="s">
        <v>10398</v>
      </c>
      <c r="V691" t="s">
        <v>10399</v>
      </c>
      <c r="W691" t="s">
        <v>10400</v>
      </c>
      <c r="X691" t="s">
        <v>6398</v>
      </c>
      <c r="Y691" t="s">
        <v>10401</v>
      </c>
      <c r="Z691" t="s">
        <v>6400</v>
      </c>
      <c r="AA691" t="s">
        <v>74</v>
      </c>
      <c r="AB691" t="s">
        <v>10402</v>
      </c>
      <c r="AC691" t="s">
        <v>74</v>
      </c>
      <c r="AD691" t="s">
        <v>74</v>
      </c>
      <c r="AE691" t="s">
        <v>74</v>
      </c>
      <c r="AF691" t="s">
        <v>74</v>
      </c>
      <c r="AG691">
        <v>53</v>
      </c>
      <c r="AH691">
        <v>0</v>
      </c>
      <c r="AI691">
        <v>0</v>
      </c>
      <c r="AJ691">
        <v>7</v>
      </c>
      <c r="AK691">
        <v>7</v>
      </c>
      <c r="AL691" t="s">
        <v>1180</v>
      </c>
      <c r="AM691" t="s">
        <v>1181</v>
      </c>
      <c r="AN691" t="s">
        <v>1182</v>
      </c>
      <c r="AO691" t="s">
        <v>8556</v>
      </c>
      <c r="AP691" t="s">
        <v>8557</v>
      </c>
      <c r="AQ691" t="s">
        <v>74</v>
      </c>
      <c r="AR691" t="s">
        <v>8558</v>
      </c>
      <c r="AS691" t="s">
        <v>8559</v>
      </c>
      <c r="AT691" t="s">
        <v>74</v>
      </c>
      <c r="AU691" t="s">
        <v>74</v>
      </c>
      <c r="AV691" t="s">
        <v>74</v>
      </c>
      <c r="AW691" t="s">
        <v>74</v>
      </c>
      <c r="AX691" t="s">
        <v>74</v>
      </c>
      <c r="AY691" t="s">
        <v>74</v>
      </c>
      <c r="AZ691" t="s">
        <v>74</v>
      </c>
      <c r="BA691" t="s">
        <v>74</v>
      </c>
      <c r="BB691" t="s">
        <v>74</v>
      </c>
      <c r="BC691" t="s">
        <v>74</v>
      </c>
      <c r="BD691" t="s">
        <v>74</v>
      </c>
      <c r="BE691" t="s">
        <v>10403</v>
      </c>
      <c r="BF691" t="str">
        <f>HYPERLINK("http://dx.doi.org/10.1080/0965254X.2022.2160484","http://dx.doi.org/10.1080/0965254X.2022.2160484")</f>
        <v>http://dx.doi.org/10.1080/0965254X.2022.2160484</v>
      </c>
      <c r="BG691" t="s">
        <v>74</v>
      </c>
      <c r="BH691" t="s">
        <v>7801</v>
      </c>
      <c r="BI691">
        <v>20</v>
      </c>
      <c r="BJ691" t="s">
        <v>153</v>
      </c>
      <c r="BK691" t="s">
        <v>3880</v>
      </c>
      <c r="BL691" t="s">
        <v>154</v>
      </c>
      <c r="BM691" t="s">
        <v>10404</v>
      </c>
      <c r="BN691" t="s">
        <v>74</v>
      </c>
      <c r="BO691" t="s">
        <v>74</v>
      </c>
      <c r="BP691" t="s">
        <v>74</v>
      </c>
      <c r="BQ691" t="s">
        <v>74</v>
      </c>
      <c r="BR691" t="s">
        <v>6098</v>
      </c>
      <c r="BS691" t="s">
        <v>10405</v>
      </c>
      <c r="BT691" t="str">
        <f>HYPERLINK("https%3A%2F%2Fwww.webofscience.com%2Fwos%2Fwoscc%2Ffull-record%2FWOS:000902982100001","View Full Record in Web of Science")</f>
        <v>View Full Record in Web of Science</v>
      </c>
      <c r="BU691" t="s">
        <v>6100</v>
      </c>
      <c r="BV691" s="1" t="s">
        <v>6080</v>
      </c>
      <c r="BW691" s="1" t="s">
        <v>6080</v>
      </c>
    </row>
    <row r="692" spans="1:75" ht="203" x14ac:dyDescent="0.35">
      <c r="I692" s="1" t="s">
        <v>5896</v>
      </c>
      <c r="J692" s="1" t="s">
        <v>5956</v>
      </c>
      <c r="V692" s="1" t="s">
        <v>5988</v>
      </c>
      <c r="BU692" s="1" t="s">
        <v>10652</v>
      </c>
      <c r="BV692" s="1" t="s">
        <v>6080</v>
      </c>
      <c r="BW692" s="1" t="s">
        <v>6080</v>
      </c>
    </row>
    <row r="693" spans="1:75" ht="275.5" x14ac:dyDescent="0.35">
      <c r="I693" s="1" t="s">
        <v>5935</v>
      </c>
      <c r="J693" s="1" t="s">
        <v>5980</v>
      </c>
      <c r="V693" s="1" t="s">
        <v>6035</v>
      </c>
      <c r="BU693" s="1" t="s">
        <v>10652</v>
      </c>
      <c r="BV693" s="1" t="s">
        <v>6080</v>
      </c>
      <c r="BW693" s="1" t="s">
        <v>6080</v>
      </c>
    </row>
    <row r="694" spans="1:75" ht="409.5" x14ac:dyDescent="0.35">
      <c r="I694" s="1" t="s">
        <v>1925</v>
      </c>
      <c r="J694" s="1" t="s">
        <v>5983</v>
      </c>
      <c r="V694" s="1" t="s">
        <v>6055</v>
      </c>
      <c r="BU694" s="1" t="s">
        <v>10652</v>
      </c>
      <c r="BV694" s="1" t="s">
        <v>6080</v>
      </c>
      <c r="BW694" s="1" t="s">
        <v>6080</v>
      </c>
    </row>
    <row r="695" spans="1:75" ht="406" x14ac:dyDescent="0.35">
      <c r="I695" s="1" t="s">
        <v>1840</v>
      </c>
      <c r="J695" s="1" t="s">
        <v>5983</v>
      </c>
      <c r="V695" s="1" t="s">
        <v>6049</v>
      </c>
      <c r="BU695" s="1" t="s">
        <v>10652</v>
      </c>
      <c r="BV695" s="1" t="s">
        <v>6080</v>
      </c>
      <c r="BW695" s="1" t="s">
        <v>6080</v>
      </c>
    </row>
    <row r="696" spans="1:75" ht="409.5" x14ac:dyDescent="0.35">
      <c r="I696" s="1" t="s">
        <v>1813</v>
      </c>
      <c r="J696" s="1" t="s">
        <v>5983</v>
      </c>
      <c r="V696" s="1" t="s">
        <v>6058</v>
      </c>
      <c r="BU696" s="1" t="s">
        <v>10652</v>
      </c>
      <c r="BV696" s="1" t="s">
        <v>6080</v>
      </c>
      <c r="BW696" s="1" t="s">
        <v>6080</v>
      </c>
    </row>
    <row r="697" spans="1:75" ht="406" x14ac:dyDescent="0.35">
      <c r="I697" s="1" t="s">
        <v>1573</v>
      </c>
      <c r="J697" s="1" t="s">
        <v>5983</v>
      </c>
      <c r="V697" s="1" t="s">
        <v>1576</v>
      </c>
      <c r="BU697" s="1" t="s">
        <v>10652</v>
      </c>
      <c r="BV697" s="1" t="s">
        <v>6080</v>
      </c>
      <c r="BW697" s="1" t="s">
        <v>6080</v>
      </c>
    </row>
    <row r="698" spans="1:75" ht="409.5" x14ac:dyDescent="0.35">
      <c r="I698" s="1" t="s">
        <v>1277</v>
      </c>
      <c r="J698" s="1" t="s">
        <v>5983</v>
      </c>
      <c r="V698" s="1" t="s">
        <v>6048</v>
      </c>
      <c r="BU698" s="1" t="s">
        <v>10652</v>
      </c>
      <c r="BV698" s="1" t="s">
        <v>6080</v>
      </c>
      <c r="BW698" s="1" t="s">
        <v>6080</v>
      </c>
    </row>
    <row r="699" spans="1:75" ht="409.5" x14ac:dyDescent="0.35">
      <c r="I699" s="1" t="s">
        <v>5943</v>
      </c>
      <c r="J699" s="1" t="s">
        <v>5983</v>
      </c>
      <c r="V699" s="1" t="s">
        <v>6051</v>
      </c>
      <c r="BU699" s="1" t="s">
        <v>10652</v>
      </c>
      <c r="BV699" s="1" t="s">
        <v>6080</v>
      </c>
      <c r="BW699" s="1" t="s">
        <v>6080</v>
      </c>
    </row>
    <row r="700" spans="1:75" ht="409.5" x14ac:dyDescent="0.35">
      <c r="I700" s="1" t="s">
        <v>4251</v>
      </c>
      <c r="J700" s="1" t="s">
        <v>5983</v>
      </c>
      <c r="V700" s="1" t="s">
        <v>6053</v>
      </c>
      <c r="BU700" s="1" t="s">
        <v>10652</v>
      </c>
      <c r="BV700" s="1" t="s">
        <v>6080</v>
      </c>
      <c r="BW700" s="1" t="s">
        <v>6080</v>
      </c>
    </row>
    <row r="701" spans="1:75" ht="362.5" x14ac:dyDescent="0.35">
      <c r="I701" s="1" t="s">
        <v>5259</v>
      </c>
      <c r="J701" s="1" t="s">
        <v>5983</v>
      </c>
      <c r="V701" s="1" t="s">
        <v>6056</v>
      </c>
      <c r="BU701" s="1" t="s">
        <v>10652</v>
      </c>
      <c r="BV701" s="1" t="s">
        <v>6080</v>
      </c>
      <c r="BW701" s="1" t="s">
        <v>6080</v>
      </c>
    </row>
    <row r="702" spans="1:75" ht="246.5" x14ac:dyDescent="0.35">
      <c r="I702" s="1" t="s">
        <v>950</v>
      </c>
      <c r="J702" s="1" t="s">
        <v>5983</v>
      </c>
      <c r="V702" s="1" t="s">
        <v>953</v>
      </c>
      <c r="BU702" s="1" t="s">
        <v>10652</v>
      </c>
      <c r="BV702" s="1" t="s">
        <v>6080</v>
      </c>
      <c r="BW702" s="1" t="s">
        <v>6080</v>
      </c>
    </row>
    <row r="703" spans="1:75" ht="362.5" x14ac:dyDescent="0.35">
      <c r="I703" s="1" t="s">
        <v>5942</v>
      </c>
      <c r="J703" s="1" t="s">
        <v>5983</v>
      </c>
      <c r="V703" s="1" t="s">
        <v>6047</v>
      </c>
      <c r="BU703" s="1" t="s">
        <v>10652</v>
      </c>
      <c r="BV703" s="1" t="s">
        <v>6080</v>
      </c>
      <c r="BW703" s="1" t="s">
        <v>6080</v>
      </c>
    </row>
    <row r="704" spans="1:75" ht="409.5" x14ac:dyDescent="0.35">
      <c r="I704" s="1" t="s">
        <v>2090</v>
      </c>
      <c r="J704" s="1" t="s">
        <v>5983</v>
      </c>
      <c r="V704" s="1" t="s">
        <v>6050</v>
      </c>
      <c r="BU704" s="1" t="s">
        <v>10652</v>
      </c>
      <c r="BV704" s="1" t="s">
        <v>6080</v>
      </c>
      <c r="BW704" s="1" t="s">
        <v>6080</v>
      </c>
    </row>
    <row r="705" spans="9:75" ht="391.5" x14ac:dyDescent="0.35">
      <c r="I705" s="1" t="s">
        <v>5944</v>
      </c>
      <c r="J705" s="1" t="s">
        <v>5983</v>
      </c>
      <c r="V705" s="1" t="s">
        <v>6052</v>
      </c>
      <c r="BU705" s="1" t="s">
        <v>10652</v>
      </c>
      <c r="BV705" s="1" t="s">
        <v>6080</v>
      </c>
      <c r="BW705" s="1" t="s">
        <v>6080</v>
      </c>
    </row>
    <row r="706" spans="9:75" ht="348" x14ac:dyDescent="0.35">
      <c r="I706" s="1" t="s">
        <v>5945</v>
      </c>
      <c r="J706" s="1" t="s">
        <v>5983</v>
      </c>
      <c r="V706" s="1" t="s">
        <v>6059</v>
      </c>
      <c r="BU706" s="1" t="s">
        <v>10652</v>
      </c>
      <c r="BV706" s="1" t="s">
        <v>6080</v>
      </c>
      <c r="BW706" s="1" t="s">
        <v>6080</v>
      </c>
    </row>
    <row r="707" spans="9:75" ht="409.5" x14ac:dyDescent="0.35">
      <c r="I707" s="1" t="s">
        <v>2043</v>
      </c>
      <c r="J707" s="1" t="s">
        <v>5984</v>
      </c>
      <c r="V707" s="1" t="s">
        <v>6064</v>
      </c>
      <c r="BU707" s="1" t="s">
        <v>10652</v>
      </c>
      <c r="BV707" s="1" t="s">
        <v>10653</v>
      </c>
    </row>
    <row r="708" spans="9:75" ht="232" x14ac:dyDescent="0.35">
      <c r="I708" s="1" t="s">
        <v>5947</v>
      </c>
      <c r="J708" s="1" t="s">
        <v>5984</v>
      </c>
      <c r="V708" s="1" t="s">
        <v>6062</v>
      </c>
      <c r="BU708" s="1" t="s">
        <v>10652</v>
      </c>
      <c r="BV708" s="1" t="s">
        <v>10653</v>
      </c>
      <c r="BW708" s="1" t="s">
        <v>10653</v>
      </c>
    </row>
    <row r="709" spans="9:75" ht="275.5" x14ac:dyDescent="0.35">
      <c r="I709" s="1" t="s">
        <v>435</v>
      </c>
      <c r="J709" s="1" t="s">
        <v>5983</v>
      </c>
      <c r="V709" s="1" t="s">
        <v>6054</v>
      </c>
      <c r="BU709" s="1" t="s">
        <v>10652</v>
      </c>
      <c r="BV709" s="1" t="s">
        <v>6080</v>
      </c>
      <c r="BW709" s="1" t="s">
        <v>6080</v>
      </c>
    </row>
    <row r="710" spans="9:75" ht="217.5" x14ac:dyDescent="0.35">
      <c r="I710" s="1" t="s">
        <v>5897</v>
      </c>
      <c r="J710" s="1" t="s">
        <v>5957</v>
      </c>
      <c r="V710" s="1" t="s">
        <v>5989</v>
      </c>
      <c r="BU710" s="1" t="s">
        <v>10652</v>
      </c>
      <c r="BV710" s="1" t="s">
        <v>10653</v>
      </c>
    </row>
    <row r="711" spans="9:75" ht="348" x14ac:dyDescent="0.35">
      <c r="I711" s="1" t="s">
        <v>5901</v>
      </c>
      <c r="J711" s="1" t="s">
        <v>5960</v>
      </c>
      <c r="V711" s="1" t="s">
        <v>5993</v>
      </c>
      <c r="BU711" s="1" t="s">
        <v>10652</v>
      </c>
      <c r="BV711" s="1" t="s">
        <v>6080</v>
      </c>
      <c r="BW711" s="1" t="s">
        <v>6080</v>
      </c>
    </row>
    <row r="712" spans="9:75" ht="261" x14ac:dyDescent="0.35">
      <c r="I712" s="1" t="s">
        <v>5948</v>
      </c>
      <c r="J712" s="1" t="s">
        <v>5984</v>
      </c>
      <c r="V712" s="1" t="s">
        <v>6063</v>
      </c>
      <c r="BU712" s="1" t="s">
        <v>10652</v>
      </c>
      <c r="BV712" s="1" t="s">
        <v>10653</v>
      </c>
    </row>
    <row r="713" spans="9:75" ht="391.5" x14ac:dyDescent="0.35">
      <c r="I713" s="1" t="s">
        <v>5918</v>
      </c>
      <c r="J713" s="1" t="s">
        <v>5966</v>
      </c>
      <c r="V713" s="1" t="s">
        <v>6014</v>
      </c>
      <c r="BU713" s="1" t="s">
        <v>10652</v>
      </c>
      <c r="BV713" s="1" t="s">
        <v>6080</v>
      </c>
      <c r="BW713" s="1" t="s">
        <v>6080</v>
      </c>
    </row>
    <row r="714" spans="9:75" ht="391.5" x14ac:dyDescent="0.35">
      <c r="I714" s="1" t="s">
        <v>1828</v>
      </c>
      <c r="J714" s="1" t="s">
        <v>5953</v>
      </c>
      <c r="V714" s="1" t="s">
        <v>6069</v>
      </c>
      <c r="BU714" s="1" t="s">
        <v>10652</v>
      </c>
      <c r="BV714" s="1" t="s">
        <v>6080</v>
      </c>
      <c r="BW714" s="1" t="s">
        <v>6080</v>
      </c>
    </row>
    <row r="715" spans="9:75" ht="348" x14ac:dyDescent="0.35">
      <c r="I715" s="1" t="s">
        <v>5952</v>
      </c>
      <c r="J715" s="1" t="s">
        <v>5953</v>
      </c>
      <c r="V715" s="1" t="s">
        <v>6070</v>
      </c>
      <c r="BU715" s="1" t="s">
        <v>10652</v>
      </c>
      <c r="BV715" s="1" t="s">
        <v>6080</v>
      </c>
      <c r="BW715" s="1" t="s">
        <v>6080</v>
      </c>
    </row>
    <row r="716" spans="9:75" ht="348" x14ac:dyDescent="0.35">
      <c r="I716" s="1" t="s">
        <v>1444</v>
      </c>
      <c r="J716" s="1" t="s">
        <v>5953</v>
      </c>
      <c r="V716" s="1" t="s">
        <v>6072</v>
      </c>
      <c r="BU716" s="1" t="s">
        <v>10652</v>
      </c>
      <c r="BV716" s="1" t="s">
        <v>6080</v>
      </c>
      <c r="BW716" s="1" t="s">
        <v>6080</v>
      </c>
    </row>
    <row r="717" spans="9:75" ht="377" x14ac:dyDescent="0.35">
      <c r="I717" s="1" t="s">
        <v>882</v>
      </c>
      <c r="J717" s="1" t="s">
        <v>5953</v>
      </c>
      <c r="V717" s="1" t="s">
        <v>885</v>
      </c>
      <c r="BU717" s="1" t="s">
        <v>10652</v>
      </c>
      <c r="BV717" s="1" t="s">
        <v>6080</v>
      </c>
      <c r="BW717" s="1" t="s">
        <v>6080</v>
      </c>
    </row>
    <row r="718" spans="9:75" ht="333.5" x14ac:dyDescent="0.35">
      <c r="I718" s="1" t="s">
        <v>1399</v>
      </c>
      <c r="J718" s="1" t="s">
        <v>5953</v>
      </c>
      <c r="V718" s="1" t="s">
        <v>6040</v>
      </c>
      <c r="BU718" s="1" t="s">
        <v>10652</v>
      </c>
      <c r="BV718" s="1" t="s">
        <v>6080</v>
      </c>
      <c r="BW718" s="1" t="s">
        <v>6080</v>
      </c>
    </row>
    <row r="719" spans="9:75" ht="362.5" x14ac:dyDescent="0.35">
      <c r="I719" s="1" t="s">
        <v>1263</v>
      </c>
      <c r="J719" s="1" t="s">
        <v>5953</v>
      </c>
      <c r="V719" s="1" t="s">
        <v>6039</v>
      </c>
      <c r="BU719" s="1" t="s">
        <v>10652</v>
      </c>
      <c r="BV719" s="1" t="s">
        <v>6080</v>
      </c>
      <c r="BW719" s="1" t="s">
        <v>6080</v>
      </c>
    </row>
    <row r="720" spans="9:75" ht="174" x14ac:dyDescent="0.35">
      <c r="I720" s="1" t="s">
        <v>5951</v>
      </c>
      <c r="J720" s="1" t="s">
        <v>5953</v>
      </c>
      <c r="V720" s="1" t="s">
        <v>476</v>
      </c>
      <c r="BU720" s="1" t="s">
        <v>10652</v>
      </c>
      <c r="BV720" s="1" t="s">
        <v>6080</v>
      </c>
      <c r="BW720" s="1" t="s">
        <v>6080</v>
      </c>
    </row>
    <row r="721" spans="9:75" ht="304.5" x14ac:dyDescent="0.35">
      <c r="I721" s="1" t="s">
        <v>459</v>
      </c>
      <c r="J721" s="1" t="s">
        <v>5953</v>
      </c>
      <c r="V721" s="1" t="s">
        <v>6068</v>
      </c>
      <c r="BU721" s="1" t="s">
        <v>10652</v>
      </c>
      <c r="BV721" s="1" t="s">
        <v>6080</v>
      </c>
      <c r="BW721" s="1" t="s">
        <v>6080</v>
      </c>
    </row>
    <row r="722" spans="9:75" ht="377" x14ac:dyDescent="0.35">
      <c r="I722" s="1" t="s">
        <v>287</v>
      </c>
      <c r="J722" s="1" t="s">
        <v>5953</v>
      </c>
      <c r="V722" s="1" t="s">
        <v>290</v>
      </c>
      <c r="BU722" s="1" t="s">
        <v>10652</v>
      </c>
      <c r="BV722" s="1" t="s">
        <v>6080</v>
      </c>
      <c r="BW722" s="1" t="s">
        <v>6080</v>
      </c>
    </row>
    <row r="723" spans="9:75" ht="348" x14ac:dyDescent="0.35">
      <c r="I723" s="1" t="s">
        <v>3779</v>
      </c>
      <c r="J723" s="1" t="s">
        <v>5953</v>
      </c>
      <c r="V723" s="1" t="s">
        <v>6071</v>
      </c>
      <c r="BU723" s="1" t="s">
        <v>10652</v>
      </c>
      <c r="BV723" s="1" t="s">
        <v>6080</v>
      </c>
      <c r="BW723" s="1" t="s">
        <v>6080</v>
      </c>
    </row>
    <row r="724" spans="9:75" ht="377" x14ac:dyDescent="0.35">
      <c r="I724" s="1" t="s">
        <v>1786</v>
      </c>
      <c r="J724" s="1" t="s">
        <v>5981</v>
      </c>
      <c r="V724" s="1" t="s">
        <v>6037</v>
      </c>
      <c r="BU724" s="1" t="s">
        <v>10652</v>
      </c>
      <c r="BV724" s="1" t="s">
        <v>6080</v>
      </c>
      <c r="BW724" s="1" t="s">
        <v>6080</v>
      </c>
    </row>
    <row r="725" spans="9:75" ht="409.5" x14ac:dyDescent="0.35">
      <c r="I725" s="1" t="s">
        <v>2062</v>
      </c>
      <c r="J725" s="1" t="s">
        <v>5981</v>
      </c>
      <c r="V725" s="1" t="s">
        <v>6065</v>
      </c>
      <c r="BU725" s="1" t="s">
        <v>10652</v>
      </c>
      <c r="BV725" s="1" t="s">
        <v>6080</v>
      </c>
      <c r="BW725" s="1" t="s">
        <v>6080</v>
      </c>
    </row>
    <row r="726" spans="9:75" ht="377" x14ac:dyDescent="0.35">
      <c r="I726" s="1" t="s">
        <v>5949</v>
      </c>
      <c r="J726" s="1" t="s">
        <v>5981</v>
      </c>
      <c r="V726" s="1" t="s">
        <v>1133</v>
      </c>
      <c r="BU726" s="1" t="s">
        <v>10652</v>
      </c>
      <c r="BV726" s="1" t="s">
        <v>6080</v>
      </c>
      <c r="BW726" s="1" t="s">
        <v>6080</v>
      </c>
    </row>
    <row r="727" spans="9:75" ht="246.5" x14ac:dyDescent="0.35">
      <c r="I727" s="1" t="s">
        <v>5950</v>
      </c>
      <c r="J727" s="1" t="s">
        <v>5981</v>
      </c>
      <c r="V727" s="1" t="s">
        <v>6066</v>
      </c>
      <c r="BU727" s="1" t="s">
        <v>10652</v>
      </c>
      <c r="BV727" s="1" t="s">
        <v>6080</v>
      </c>
      <c r="BW727" s="1" t="s">
        <v>6080</v>
      </c>
    </row>
    <row r="728" spans="9:75" ht="348" x14ac:dyDescent="0.35">
      <c r="I728" s="1" t="s">
        <v>832</v>
      </c>
      <c r="J728" s="1" t="s">
        <v>5981</v>
      </c>
      <c r="V728" s="1" t="s">
        <v>6036</v>
      </c>
      <c r="BU728" s="1" t="s">
        <v>10652</v>
      </c>
      <c r="BV728" s="1" t="s">
        <v>6080</v>
      </c>
      <c r="BW728" s="1" t="s">
        <v>6080</v>
      </c>
    </row>
    <row r="729" spans="9:75" ht="290" x14ac:dyDescent="0.35">
      <c r="I729" s="1" t="s">
        <v>5140</v>
      </c>
      <c r="J729" s="1" t="s">
        <v>5956</v>
      </c>
      <c r="V729" s="1" t="s">
        <v>6004</v>
      </c>
      <c r="BU729" s="1" t="s">
        <v>10652</v>
      </c>
      <c r="BV729" s="1" t="s">
        <v>6080</v>
      </c>
      <c r="BW729" s="1" t="s">
        <v>6080</v>
      </c>
    </row>
    <row r="730" spans="9:75" ht="348" x14ac:dyDescent="0.35">
      <c r="I730" s="1" t="s">
        <v>1429</v>
      </c>
      <c r="J730" s="1" t="s">
        <v>5975</v>
      </c>
      <c r="V730" s="1" t="s">
        <v>6029</v>
      </c>
      <c r="BU730" s="1" t="s">
        <v>10652</v>
      </c>
      <c r="BV730" s="1" t="s">
        <v>6080</v>
      </c>
      <c r="BW730" s="1" t="s">
        <v>6080</v>
      </c>
    </row>
    <row r="731" spans="9:75" ht="261" x14ac:dyDescent="0.35">
      <c r="I731" s="1" t="s">
        <v>5929</v>
      </c>
      <c r="J731" s="1" t="s">
        <v>5974</v>
      </c>
      <c r="V731" s="1" t="s">
        <v>6025</v>
      </c>
      <c r="BU731" s="1" t="s">
        <v>10652</v>
      </c>
      <c r="BV731" s="1" t="s">
        <v>6080</v>
      </c>
      <c r="BW731" s="1" t="s">
        <v>6080</v>
      </c>
    </row>
    <row r="732" spans="9:75" ht="261" x14ac:dyDescent="0.35">
      <c r="I732" s="1" t="s">
        <v>5927</v>
      </c>
      <c r="J732" s="1" t="s">
        <v>5974</v>
      </c>
      <c r="V732" s="1" t="s">
        <v>6023</v>
      </c>
      <c r="BU732" s="1" t="s">
        <v>10652</v>
      </c>
      <c r="BV732" s="1" t="s">
        <v>6080</v>
      </c>
      <c r="BW732" s="1" t="s">
        <v>6080</v>
      </c>
    </row>
    <row r="733" spans="9:75" ht="391.5" x14ac:dyDescent="0.35">
      <c r="I733" s="1" t="s">
        <v>2127</v>
      </c>
      <c r="J733" s="1" t="s">
        <v>5975</v>
      </c>
      <c r="V733" s="1" t="s">
        <v>6028</v>
      </c>
      <c r="BU733" s="1" t="s">
        <v>10652</v>
      </c>
      <c r="BV733" s="1" t="s">
        <v>6080</v>
      </c>
      <c r="BW733" s="1" t="s">
        <v>6080</v>
      </c>
    </row>
    <row r="734" spans="9:75" ht="304.5" x14ac:dyDescent="0.35">
      <c r="I734" s="1" t="s">
        <v>5930</v>
      </c>
      <c r="J734" s="1" t="s">
        <v>5975</v>
      </c>
      <c r="V734" s="1" t="s">
        <v>6030</v>
      </c>
      <c r="BU734" s="1" t="s">
        <v>10652</v>
      </c>
      <c r="BV734" s="1" t="s">
        <v>6080</v>
      </c>
      <c r="BW734" s="1" t="s">
        <v>6080</v>
      </c>
    </row>
    <row r="735" spans="9:75" ht="406" x14ac:dyDescent="0.35">
      <c r="I735" s="1" t="s">
        <v>2298</v>
      </c>
      <c r="J735" s="1" t="s">
        <v>5975</v>
      </c>
      <c r="V735" s="1" t="s">
        <v>6027</v>
      </c>
      <c r="BU735" s="1" t="s">
        <v>10652</v>
      </c>
      <c r="BV735" s="1" t="s">
        <v>6080</v>
      </c>
      <c r="BW735" s="1" t="s">
        <v>6080</v>
      </c>
    </row>
    <row r="736" spans="9:75" ht="391.5" x14ac:dyDescent="0.35">
      <c r="I736" s="1" t="s">
        <v>5903</v>
      </c>
      <c r="J736" s="1" t="s">
        <v>5962</v>
      </c>
      <c r="V736" s="1" t="s">
        <v>5996</v>
      </c>
      <c r="BU736" s="1" t="s">
        <v>10652</v>
      </c>
      <c r="BV736" s="1" t="s">
        <v>6080</v>
      </c>
      <c r="BW736" s="1" t="s">
        <v>6080</v>
      </c>
    </row>
    <row r="737" spans="9:75" ht="409.5" x14ac:dyDescent="0.35">
      <c r="I737" s="1" t="s">
        <v>1337</v>
      </c>
      <c r="J737" s="1" t="s">
        <v>5962</v>
      </c>
      <c r="V737" s="1" t="s">
        <v>5998</v>
      </c>
      <c r="BU737" s="1" t="s">
        <v>10652</v>
      </c>
      <c r="BV737" s="1" t="s">
        <v>6080</v>
      </c>
      <c r="BW737" s="1" t="s">
        <v>6080</v>
      </c>
    </row>
    <row r="738" spans="9:75" ht="406" x14ac:dyDescent="0.35">
      <c r="I738" s="1" t="s">
        <v>787</v>
      </c>
      <c r="J738" s="1" t="s">
        <v>5962</v>
      </c>
      <c r="V738" s="1" t="s">
        <v>5999</v>
      </c>
      <c r="BU738" s="1" t="s">
        <v>10652</v>
      </c>
      <c r="BV738" s="1" t="s">
        <v>6080</v>
      </c>
      <c r="BW738" s="1" t="s">
        <v>6080</v>
      </c>
    </row>
    <row r="739" spans="9:75" ht="333.5" x14ac:dyDescent="0.35">
      <c r="I739" s="1" t="s">
        <v>1058</v>
      </c>
      <c r="J739" s="1" t="s">
        <v>5961</v>
      </c>
      <c r="V739" s="1" t="s">
        <v>5995</v>
      </c>
      <c r="BU739" s="1" t="s">
        <v>10652</v>
      </c>
      <c r="BV739" s="1" t="s">
        <v>6080</v>
      </c>
      <c r="BW739" s="1" t="s">
        <v>6080</v>
      </c>
    </row>
    <row r="740" spans="9:75" ht="409.5" x14ac:dyDescent="0.35">
      <c r="I740" s="1" t="s">
        <v>5931</v>
      </c>
      <c r="J740" s="1" t="s">
        <v>5976</v>
      </c>
      <c r="V740" s="1" t="s">
        <v>6031</v>
      </c>
      <c r="BU740" s="1" t="s">
        <v>10652</v>
      </c>
      <c r="BV740" s="1" t="s">
        <v>6080</v>
      </c>
      <c r="BW740" s="1" t="s">
        <v>6080</v>
      </c>
    </row>
    <row r="741" spans="9:75" ht="275.5" x14ac:dyDescent="0.35">
      <c r="I741" s="1" t="s">
        <v>5922</v>
      </c>
      <c r="J741" s="1" t="s">
        <v>5970</v>
      </c>
      <c r="V741" s="1" t="s">
        <v>6018</v>
      </c>
      <c r="BU741" s="1" t="s">
        <v>10652</v>
      </c>
      <c r="BV741" s="1" t="s">
        <v>6080</v>
      </c>
      <c r="BW741" s="1" t="s">
        <v>6080</v>
      </c>
    </row>
    <row r="742" spans="9:75" ht="409.5" x14ac:dyDescent="0.35">
      <c r="I742" s="1" t="s">
        <v>5946</v>
      </c>
      <c r="J742" s="1" t="s">
        <v>5983</v>
      </c>
      <c r="V742" s="1" t="s">
        <v>6060</v>
      </c>
      <c r="BU742" s="1" t="s">
        <v>10652</v>
      </c>
      <c r="BV742" s="1" t="s">
        <v>6080</v>
      </c>
      <c r="BW742" s="1" t="s">
        <v>6080</v>
      </c>
    </row>
    <row r="743" spans="9:75" ht="409.5" x14ac:dyDescent="0.35">
      <c r="I743" s="1" t="s">
        <v>4241</v>
      </c>
      <c r="J743" s="1" t="s">
        <v>5983</v>
      </c>
      <c r="V743" s="1" t="s">
        <v>6057</v>
      </c>
      <c r="BU743" s="1" t="s">
        <v>10652</v>
      </c>
      <c r="BV743" s="1" t="s">
        <v>6080</v>
      </c>
      <c r="BW743" s="1" t="s">
        <v>6080</v>
      </c>
    </row>
    <row r="744" spans="9:75" ht="333.5" x14ac:dyDescent="0.35">
      <c r="I744" s="1" t="s">
        <v>338</v>
      </c>
      <c r="J744" s="1" t="s">
        <v>5953</v>
      </c>
      <c r="V744" s="1" t="s">
        <v>5985</v>
      </c>
      <c r="BU744" s="1" t="s">
        <v>10652</v>
      </c>
      <c r="BV744" s="1" t="s">
        <v>6080</v>
      </c>
      <c r="BW744" s="1" t="s">
        <v>6080</v>
      </c>
    </row>
    <row r="745" spans="9:75" ht="409.5" x14ac:dyDescent="0.35">
      <c r="I745" s="1" t="s">
        <v>5894</v>
      </c>
      <c r="J745" s="1" t="s">
        <v>5954</v>
      </c>
      <c r="V745" s="1" t="s">
        <v>5986</v>
      </c>
      <c r="BU745" s="1" t="s">
        <v>10652</v>
      </c>
      <c r="BV745" s="1" t="s">
        <v>6080</v>
      </c>
      <c r="BW745" s="1" t="s">
        <v>6080</v>
      </c>
    </row>
    <row r="746" spans="9:75" ht="29" x14ac:dyDescent="0.35">
      <c r="I746" s="1" t="s">
        <v>5010</v>
      </c>
      <c r="J746" s="1" t="s">
        <v>10651</v>
      </c>
      <c r="BU746" s="1" t="s">
        <v>10652</v>
      </c>
      <c r="BV746" s="1" t="s">
        <v>10653</v>
      </c>
      <c r="BW746" s="1" t="s">
        <v>10653</v>
      </c>
    </row>
    <row r="747" spans="9:75" ht="409.5" x14ac:dyDescent="0.35">
      <c r="I747" s="1" t="s">
        <v>4373</v>
      </c>
      <c r="J747" s="1" t="s">
        <v>5983</v>
      </c>
      <c r="V747" s="1" t="s">
        <v>6061</v>
      </c>
      <c r="BU747" s="1" t="s">
        <v>10652</v>
      </c>
      <c r="BV747" s="1" t="s">
        <v>6080</v>
      </c>
      <c r="BW747" s="1" t="s">
        <v>6080</v>
      </c>
    </row>
    <row r="748" spans="9:75" ht="409.5" x14ac:dyDescent="0.35">
      <c r="I748" s="1" t="s">
        <v>1852</v>
      </c>
      <c r="J748" s="1" t="s">
        <v>5953</v>
      </c>
      <c r="V748" s="1" t="s">
        <v>1855</v>
      </c>
      <c r="BU748" s="1" t="s">
        <v>10652</v>
      </c>
      <c r="BV748" s="1" t="s">
        <v>6080</v>
      </c>
      <c r="BW748" s="1" t="s">
        <v>6080</v>
      </c>
    </row>
    <row r="749" spans="9:75" ht="377" x14ac:dyDescent="0.35">
      <c r="I749" s="1" t="s">
        <v>4230</v>
      </c>
      <c r="J749" s="1" t="s">
        <v>5953</v>
      </c>
      <c r="V749" s="1" t="s">
        <v>4231</v>
      </c>
      <c r="BU749" s="1" t="s">
        <v>10652</v>
      </c>
      <c r="BV749" s="1" t="s">
        <v>6080</v>
      </c>
      <c r="BW749" s="1" t="s">
        <v>6080</v>
      </c>
    </row>
    <row r="750" spans="9:75" ht="409.5" x14ac:dyDescent="0.35">
      <c r="I750" s="1" t="s">
        <v>5908</v>
      </c>
      <c r="J750" s="1" t="s">
        <v>5956</v>
      </c>
      <c r="V750" s="1" t="s">
        <v>6003</v>
      </c>
      <c r="BU750" s="1" t="s">
        <v>10652</v>
      </c>
      <c r="BV750" s="1" t="s">
        <v>6080</v>
      </c>
      <c r="BW750" s="1" t="s">
        <v>6080</v>
      </c>
    </row>
    <row r="751" spans="9:75" ht="406" x14ac:dyDescent="0.35">
      <c r="I751" s="1" t="s">
        <v>4199</v>
      </c>
      <c r="J751" s="1" t="s">
        <v>5953</v>
      </c>
      <c r="V751" s="1" t="s">
        <v>4202</v>
      </c>
      <c r="BU751" s="1" t="s">
        <v>10652</v>
      </c>
      <c r="BV751" s="1" t="s">
        <v>6080</v>
      </c>
      <c r="BW751" s="1" t="s">
        <v>6080</v>
      </c>
    </row>
    <row r="752" spans="9:75" ht="362.5" x14ac:dyDescent="0.35">
      <c r="I752" s="1" t="s">
        <v>5934</v>
      </c>
      <c r="J752" s="1" t="s">
        <v>5979</v>
      </c>
      <c r="V752" s="1" t="s">
        <v>6034</v>
      </c>
      <c r="BU752" s="1" t="s">
        <v>10652</v>
      </c>
      <c r="BV752" s="1" t="s">
        <v>6080</v>
      </c>
      <c r="BW752" s="1" t="s">
        <v>6080</v>
      </c>
    </row>
    <row r="753" spans="9:75" ht="348" x14ac:dyDescent="0.35">
      <c r="I753" s="1" t="s">
        <v>5923</v>
      </c>
      <c r="J753" s="1" t="s">
        <v>5971</v>
      </c>
      <c r="V753" s="1" t="s">
        <v>6019</v>
      </c>
      <c r="BU753" s="1" t="s">
        <v>10652</v>
      </c>
      <c r="BV753" s="1" t="s">
        <v>6080</v>
      </c>
      <c r="BW753" s="1" t="s">
        <v>6080</v>
      </c>
    </row>
    <row r="754" spans="9:75" ht="362.5" x14ac:dyDescent="0.35">
      <c r="I754" s="1" t="s">
        <v>5907</v>
      </c>
      <c r="J754" s="1" t="s">
        <v>5963</v>
      </c>
      <c r="V754" s="1" t="s">
        <v>6002</v>
      </c>
      <c r="BU754" s="1" t="s">
        <v>10652</v>
      </c>
      <c r="BV754" s="1" t="s">
        <v>6080</v>
      </c>
      <c r="BW754" s="1" t="s">
        <v>6080</v>
      </c>
    </row>
    <row r="755" spans="9:75" ht="333.5" x14ac:dyDescent="0.35">
      <c r="I755" s="1" t="s">
        <v>5917</v>
      </c>
      <c r="J755" s="1" t="s">
        <v>5965</v>
      </c>
      <c r="V755" s="1" t="s">
        <v>6013</v>
      </c>
      <c r="BU755" s="1" t="s">
        <v>10652</v>
      </c>
      <c r="BV755" s="1" t="s">
        <v>6080</v>
      </c>
      <c r="BW755" s="1" t="s">
        <v>6080</v>
      </c>
    </row>
    <row r="756" spans="9:75" ht="232" x14ac:dyDescent="0.35">
      <c r="I756" s="1" t="s">
        <v>5912</v>
      </c>
      <c r="J756" s="1" t="s">
        <v>5964</v>
      </c>
      <c r="V756" s="1" t="s">
        <v>6008</v>
      </c>
      <c r="BU756" s="1" t="s">
        <v>10652</v>
      </c>
      <c r="BV756" s="1" t="s">
        <v>10653</v>
      </c>
    </row>
    <row r="757" spans="9:75" ht="409.5" x14ac:dyDescent="0.35">
      <c r="I757" s="1" t="s">
        <v>5920</v>
      </c>
      <c r="J757" s="1" t="s">
        <v>5968</v>
      </c>
      <c r="V757" s="1" t="s">
        <v>6016</v>
      </c>
      <c r="BU757" s="1" t="s">
        <v>10652</v>
      </c>
      <c r="BV757" s="1" t="s">
        <v>6080</v>
      </c>
      <c r="BW757" s="1" t="s">
        <v>6080</v>
      </c>
    </row>
    <row r="758" spans="9:75" ht="333.5" x14ac:dyDescent="0.35">
      <c r="I758" s="1" t="s">
        <v>5910</v>
      </c>
      <c r="J758" s="1" t="s">
        <v>5964</v>
      </c>
      <c r="V758" s="1" t="s">
        <v>6006</v>
      </c>
      <c r="BU758" s="1" t="s">
        <v>10652</v>
      </c>
      <c r="BV758" s="1" t="s">
        <v>10653</v>
      </c>
    </row>
    <row r="759" spans="9:75" ht="377" x14ac:dyDescent="0.35">
      <c r="I759" s="1" t="s">
        <v>4784</v>
      </c>
      <c r="J759" s="1" t="s">
        <v>5975</v>
      </c>
      <c r="V759" s="1" t="s">
        <v>4787</v>
      </c>
      <c r="BU759" s="1" t="s">
        <v>10652</v>
      </c>
      <c r="BV759" s="1" t="s">
        <v>6080</v>
      </c>
      <c r="BW759" s="1" t="s">
        <v>6080</v>
      </c>
    </row>
    <row r="760" spans="9:75" ht="290" x14ac:dyDescent="0.35">
      <c r="I760" s="1" t="s">
        <v>5921</v>
      </c>
      <c r="J760" s="1" t="s">
        <v>5969</v>
      </c>
      <c r="V760" s="1" t="s">
        <v>6017</v>
      </c>
      <c r="BU760" s="1" t="s">
        <v>10652</v>
      </c>
      <c r="BV760" s="1" t="s">
        <v>6080</v>
      </c>
      <c r="BW760" s="1" t="s">
        <v>6080</v>
      </c>
    </row>
    <row r="761" spans="9:75" ht="409.5" x14ac:dyDescent="0.35">
      <c r="I761" s="1" t="s">
        <v>5933</v>
      </c>
      <c r="J761" s="1" t="s">
        <v>5978</v>
      </c>
      <c r="V761" s="1" t="s">
        <v>6033</v>
      </c>
      <c r="BU761" s="1" t="s">
        <v>10652</v>
      </c>
      <c r="BV761" s="1" t="s">
        <v>6080</v>
      </c>
      <c r="BW761" s="1" t="s">
        <v>6080</v>
      </c>
    </row>
    <row r="762" spans="9:75" ht="290" x14ac:dyDescent="0.35">
      <c r="I762" s="1" t="s">
        <v>5899</v>
      </c>
      <c r="J762" s="1" t="s">
        <v>5959</v>
      </c>
      <c r="V762" s="1" t="s">
        <v>5991</v>
      </c>
      <c r="BU762" s="1" t="s">
        <v>10652</v>
      </c>
      <c r="BV762" s="1" t="s">
        <v>6080</v>
      </c>
      <c r="BW762" s="1" t="s">
        <v>6080</v>
      </c>
    </row>
    <row r="763" spans="9:75" ht="409.5" x14ac:dyDescent="0.35">
      <c r="I763" s="1" t="s">
        <v>5936</v>
      </c>
      <c r="J763" s="1" t="s">
        <v>5981</v>
      </c>
      <c r="V763" s="1" t="s">
        <v>6038</v>
      </c>
      <c r="BU763" s="1" t="s">
        <v>10652</v>
      </c>
      <c r="BV763" s="1" t="s">
        <v>6080</v>
      </c>
      <c r="BW763" s="1" t="s">
        <v>6080</v>
      </c>
    </row>
    <row r="764" spans="9:75" ht="304.5" x14ac:dyDescent="0.35">
      <c r="I764" s="1" t="s">
        <v>5914</v>
      </c>
      <c r="J764" s="1" t="s">
        <v>5964</v>
      </c>
      <c r="V764" s="1" t="s">
        <v>6010</v>
      </c>
      <c r="BU764" s="1" t="s">
        <v>10652</v>
      </c>
      <c r="BV764" s="1" t="s">
        <v>10653</v>
      </c>
    </row>
    <row r="765" spans="9:75" ht="409.5" x14ac:dyDescent="0.35">
      <c r="I765" s="1" t="s">
        <v>5905</v>
      </c>
      <c r="J765" s="1" t="s">
        <v>5962</v>
      </c>
      <c r="V765" s="1" t="s">
        <v>6000</v>
      </c>
      <c r="BU765" s="1" t="s">
        <v>10652</v>
      </c>
      <c r="BV765" s="1" t="s">
        <v>6080</v>
      </c>
      <c r="BW765" s="1" t="s">
        <v>6080</v>
      </c>
    </row>
    <row r="766" spans="9:75" ht="319" x14ac:dyDescent="0.35">
      <c r="I766" s="1" t="s">
        <v>5902</v>
      </c>
      <c r="J766" s="1" t="s">
        <v>5960</v>
      </c>
      <c r="V766" s="1" t="s">
        <v>5994</v>
      </c>
      <c r="BU766" s="1" t="s">
        <v>10652</v>
      </c>
      <c r="BV766" s="1" t="s">
        <v>6080</v>
      </c>
      <c r="BW766" s="1" t="s">
        <v>6080</v>
      </c>
    </row>
    <row r="767" spans="9:75" ht="409.5" x14ac:dyDescent="0.35">
      <c r="I767" s="1" t="s">
        <v>5938</v>
      </c>
      <c r="J767" s="1" t="s">
        <v>5956</v>
      </c>
      <c r="V767" s="1" t="s">
        <v>6043</v>
      </c>
      <c r="BU767" s="1" t="s">
        <v>10652</v>
      </c>
      <c r="BV767" s="1" t="s">
        <v>6080</v>
      </c>
      <c r="BW767" s="1" t="s">
        <v>6080</v>
      </c>
    </row>
    <row r="768" spans="9:75" ht="319" x14ac:dyDescent="0.35">
      <c r="I768" s="1" t="s">
        <v>5941</v>
      </c>
      <c r="J768" s="1" t="s">
        <v>5982</v>
      </c>
      <c r="V768" s="1" t="s">
        <v>6046</v>
      </c>
      <c r="BU768" s="1" t="s">
        <v>10652</v>
      </c>
      <c r="BV768" s="1" t="s">
        <v>6080</v>
      </c>
      <c r="BW768" s="1" t="s">
        <v>6080</v>
      </c>
    </row>
    <row r="769" spans="9:75" ht="304.5" x14ac:dyDescent="0.35">
      <c r="I769" s="1" t="s">
        <v>5900</v>
      </c>
      <c r="J769" s="1" t="s">
        <v>5959</v>
      </c>
      <c r="V769" s="1" t="s">
        <v>5992</v>
      </c>
      <c r="BU769" s="1" t="s">
        <v>10652</v>
      </c>
      <c r="BV769" s="1" t="s">
        <v>6080</v>
      </c>
      <c r="BW769" s="1" t="s">
        <v>10653</v>
      </c>
    </row>
    <row r="770" spans="9:75" ht="348" x14ac:dyDescent="0.35">
      <c r="I770" s="1" t="s">
        <v>5937</v>
      </c>
      <c r="J770" s="1" t="s">
        <v>5953</v>
      </c>
      <c r="V770" s="1" t="s">
        <v>6042</v>
      </c>
      <c r="BU770" s="1" t="s">
        <v>10652</v>
      </c>
      <c r="BV770" s="1" t="s">
        <v>6080</v>
      </c>
      <c r="BW770" s="1" t="s">
        <v>6080</v>
      </c>
    </row>
    <row r="771" spans="9:75" ht="275.5" x14ac:dyDescent="0.35">
      <c r="I771" s="1" t="s">
        <v>5924</v>
      </c>
      <c r="J771" s="1" t="s">
        <v>5972</v>
      </c>
      <c r="V771" s="1" t="s">
        <v>6020</v>
      </c>
      <c r="BU771" s="1" t="s">
        <v>10652</v>
      </c>
      <c r="BV771" s="1" t="s">
        <v>6080</v>
      </c>
      <c r="BW771" s="1" t="s">
        <v>6080</v>
      </c>
    </row>
    <row r="772" spans="9:75" ht="409.5" x14ac:dyDescent="0.35">
      <c r="I772" s="1" t="s">
        <v>1045</v>
      </c>
      <c r="J772" s="1" t="s">
        <v>5953</v>
      </c>
      <c r="V772" s="1" t="s">
        <v>6067</v>
      </c>
      <c r="BU772" s="1" t="s">
        <v>10652</v>
      </c>
      <c r="BV772" s="1" t="s">
        <v>6080</v>
      </c>
      <c r="BW772" s="1" t="s">
        <v>6080</v>
      </c>
    </row>
    <row r="773" spans="9:75" ht="362.5" x14ac:dyDescent="0.35">
      <c r="I773" s="1" t="s">
        <v>5895</v>
      </c>
      <c r="J773" s="1" t="s">
        <v>5955</v>
      </c>
      <c r="V773" s="1" t="s">
        <v>5987</v>
      </c>
      <c r="BU773" s="1" t="s">
        <v>10652</v>
      </c>
      <c r="BV773" s="1" t="s">
        <v>6080</v>
      </c>
      <c r="BW773" s="1" t="s">
        <v>6080</v>
      </c>
    </row>
    <row r="774" spans="9:75" ht="409.5" x14ac:dyDescent="0.35">
      <c r="I774" s="1" t="s">
        <v>5904</v>
      </c>
      <c r="J774" s="1" t="s">
        <v>5962</v>
      </c>
      <c r="V774" s="1" t="s">
        <v>5997</v>
      </c>
      <c r="BU774" s="1" t="s">
        <v>10652</v>
      </c>
      <c r="BV774" s="1" t="s">
        <v>6080</v>
      </c>
      <c r="BW774" s="1" t="s">
        <v>6080</v>
      </c>
    </row>
    <row r="775" spans="9:75" ht="333.5" x14ac:dyDescent="0.35">
      <c r="I775" s="1" t="s">
        <v>5926</v>
      </c>
      <c r="J775" s="1" t="s">
        <v>5974</v>
      </c>
      <c r="V775" s="1" t="s">
        <v>6022</v>
      </c>
      <c r="BU775" s="1" t="s">
        <v>10652</v>
      </c>
      <c r="BV775" s="1" t="s">
        <v>6080</v>
      </c>
      <c r="BW775" s="1" t="s">
        <v>6080</v>
      </c>
    </row>
    <row r="776" spans="9:75" ht="232" x14ac:dyDescent="0.35">
      <c r="I776" s="1" t="s">
        <v>5925</v>
      </c>
      <c r="J776" s="1" t="s">
        <v>5973</v>
      </c>
      <c r="V776" s="1" t="s">
        <v>6021</v>
      </c>
      <c r="BU776" s="1" t="s">
        <v>10652</v>
      </c>
      <c r="BV776" s="1" t="s">
        <v>6080</v>
      </c>
      <c r="BW776" s="1" t="s">
        <v>6080</v>
      </c>
    </row>
    <row r="777" spans="9:75" ht="409.5" x14ac:dyDescent="0.35">
      <c r="I777" s="1" t="s">
        <v>5932</v>
      </c>
      <c r="J777" s="1" t="s">
        <v>5977</v>
      </c>
      <c r="V777" s="1" t="s">
        <v>6032</v>
      </c>
      <c r="BU777" s="1" t="s">
        <v>10652</v>
      </c>
      <c r="BV777" s="1" t="s">
        <v>6080</v>
      </c>
      <c r="BW777" s="1" t="s">
        <v>6080</v>
      </c>
    </row>
    <row r="778" spans="9:75" ht="290" x14ac:dyDescent="0.35">
      <c r="I778" s="1" t="s">
        <v>5928</v>
      </c>
      <c r="J778" s="1" t="s">
        <v>5974</v>
      </c>
      <c r="V778" s="1" t="s">
        <v>6024</v>
      </c>
      <c r="BU778" s="1" t="s">
        <v>10652</v>
      </c>
      <c r="BV778" s="1" t="s">
        <v>6080</v>
      </c>
      <c r="BW778" s="1" t="s">
        <v>6080</v>
      </c>
    </row>
    <row r="779" spans="9:75" ht="246.5" x14ac:dyDescent="0.35">
      <c r="I779" s="1" t="s">
        <v>5939</v>
      </c>
      <c r="J779" s="1" t="s">
        <v>5982</v>
      </c>
      <c r="V779" s="1" t="s">
        <v>6044</v>
      </c>
      <c r="BU779" s="1" t="s">
        <v>10652</v>
      </c>
      <c r="BV779" s="1" t="s">
        <v>6080</v>
      </c>
      <c r="BW779" s="1" t="s">
        <v>6080</v>
      </c>
    </row>
    <row r="780" spans="9:75" ht="290" x14ac:dyDescent="0.35">
      <c r="I780" s="1" t="s">
        <v>5915</v>
      </c>
      <c r="J780" s="1" t="s">
        <v>5964</v>
      </c>
      <c r="V780" s="1" t="s">
        <v>6011</v>
      </c>
      <c r="BU780" s="1" t="s">
        <v>10652</v>
      </c>
      <c r="BV780" s="1" t="s">
        <v>10653</v>
      </c>
    </row>
    <row r="781" spans="9:75" ht="304.5" x14ac:dyDescent="0.35">
      <c r="I781" s="1" t="s">
        <v>5916</v>
      </c>
      <c r="J781" s="1" t="s">
        <v>5964</v>
      </c>
      <c r="V781" s="1" t="s">
        <v>6012</v>
      </c>
      <c r="BU781" s="1" t="s">
        <v>10652</v>
      </c>
      <c r="BV781" s="1" t="s">
        <v>10653</v>
      </c>
    </row>
    <row r="782" spans="9:75" ht="409.5" x14ac:dyDescent="0.35">
      <c r="I782" s="1" t="s">
        <v>4640</v>
      </c>
      <c r="J782" s="1" t="s">
        <v>5975</v>
      </c>
      <c r="V782" s="1" t="s">
        <v>6026</v>
      </c>
      <c r="BU782" s="1" t="s">
        <v>10652</v>
      </c>
      <c r="BV782" s="1" t="s">
        <v>6080</v>
      </c>
      <c r="BW782" s="1" t="s">
        <v>6080</v>
      </c>
    </row>
    <row r="783" spans="9:75" ht="319" x14ac:dyDescent="0.35">
      <c r="I783" s="1" t="s">
        <v>5913</v>
      </c>
      <c r="J783" s="1" t="s">
        <v>5964</v>
      </c>
      <c r="V783" s="1" t="s">
        <v>6009</v>
      </c>
      <c r="BU783" s="1" t="s">
        <v>10652</v>
      </c>
      <c r="BV783" s="1" t="s">
        <v>10653</v>
      </c>
    </row>
    <row r="784" spans="9:75" ht="409.5" x14ac:dyDescent="0.35">
      <c r="I784" s="1" t="s">
        <v>4750</v>
      </c>
      <c r="J784" s="1" t="s">
        <v>5953</v>
      </c>
      <c r="V784" s="1" t="s">
        <v>6041</v>
      </c>
      <c r="BU784" s="1" t="s">
        <v>10652</v>
      </c>
      <c r="BV784" s="1" t="s">
        <v>6080</v>
      </c>
      <c r="BW784" s="1" t="s">
        <v>6080</v>
      </c>
    </row>
    <row r="785" spans="9:75" ht="333.5" x14ac:dyDescent="0.35">
      <c r="I785" s="1" t="s">
        <v>5909</v>
      </c>
      <c r="J785" s="1" t="s">
        <v>5964</v>
      </c>
      <c r="V785" s="1" t="s">
        <v>6005</v>
      </c>
      <c r="BU785" s="1" t="s">
        <v>10652</v>
      </c>
      <c r="BV785" s="1" t="s">
        <v>10653</v>
      </c>
    </row>
    <row r="786" spans="9:75" ht="304.5" x14ac:dyDescent="0.35">
      <c r="I786" s="1" t="s">
        <v>5911</v>
      </c>
      <c r="J786" s="1" t="s">
        <v>5964</v>
      </c>
      <c r="V786" s="1" t="s">
        <v>6007</v>
      </c>
      <c r="BU786" s="1" t="s">
        <v>10652</v>
      </c>
      <c r="BV786" s="1" t="s">
        <v>10653</v>
      </c>
    </row>
    <row r="787" spans="9:75" ht="362.5" x14ac:dyDescent="0.35">
      <c r="I787" s="1" t="s">
        <v>5906</v>
      </c>
      <c r="J787" s="1" t="s">
        <v>5963</v>
      </c>
      <c r="V787" s="1" t="s">
        <v>6001</v>
      </c>
      <c r="BU787" s="1" t="s">
        <v>10652</v>
      </c>
      <c r="BV787" s="1" t="s">
        <v>6080</v>
      </c>
      <c r="BW787" s="1" t="s">
        <v>6080</v>
      </c>
    </row>
    <row r="788" spans="9:75" ht="290" x14ac:dyDescent="0.35">
      <c r="I788" s="1" t="s">
        <v>5898</v>
      </c>
      <c r="J788" s="1" t="s">
        <v>5958</v>
      </c>
      <c r="V788" s="1" t="s">
        <v>5990</v>
      </c>
      <c r="BU788" s="1" t="s">
        <v>10652</v>
      </c>
      <c r="BV788" s="1" t="s">
        <v>10653</v>
      </c>
    </row>
    <row r="789" spans="9:75" ht="246.5" x14ac:dyDescent="0.35">
      <c r="I789" s="1" t="s">
        <v>5940</v>
      </c>
      <c r="J789" s="1" t="s">
        <v>5982</v>
      </c>
      <c r="V789" s="1" t="s">
        <v>6045</v>
      </c>
      <c r="BU789" s="1" t="s">
        <v>10652</v>
      </c>
      <c r="BV789" s="1" t="s">
        <v>6080</v>
      </c>
      <c r="BW789" s="1" t="s">
        <v>6080</v>
      </c>
    </row>
    <row r="790" spans="9:75" ht="409.5" x14ac:dyDescent="0.35">
      <c r="I790" s="1" t="s">
        <v>5919</v>
      </c>
      <c r="J790" s="1" t="s">
        <v>5967</v>
      </c>
      <c r="V790" s="1" t="s">
        <v>6015</v>
      </c>
      <c r="BU790" s="1" t="s">
        <v>10652</v>
      </c>
      <c r="BV790" s="1" t="s">
        <v>6080</v>
      </c>
      <c r="BW790" s="1" t="s">
        <v>6080</v>
      </c>
    </row>
    <row r="791" spans="9:75" ht="362.5" x14ac:dyDescent="0.35">
      <c r="I791" s="1" t="s">
        <v>1413</v>
      </c>
      <c r="J791" s="1" t="s">
        <v>5975</v>
      </c>
      <c r="V791" s="1" t="s">
        <v>1416</v>
      </c>
      <c r="BU791" s="1" t="s">
        <v>10652</v>
      </c>
      <c r="BV791" s="1" t="s">
        <v>6080</v>
      </c>
      <c r="BW791" s="1" t="s">
        <v>6080</v>
      </c>
    </row>
  </sheetData>
  <autoFilter ref="A1:BW791" xr:uid="{34E6AC61-E90E-477D-A67A-2B2BC364F7F2}">
    <sortState xmlns:xlrd2="http://schemas.microsoft.com/office/spreadsheetml/2017/richdata2" ref="A2:BW791">
      <sortCondition ref="AU1:AU791"/>
    </sortState>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635E-EAEA-4ED6-9E04-E90BCE3F881C}">
  <dimension ref="A1"/>
  <sheetViews>
    <sheetView workbookViewId="0">
      <selection activeCell="A16" sqref="A1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LEVALLOIS Clément</dc:creator>
  <cp:lastModifiedBy>LEVALLOIS Clément</cp:lastModifiedBy>
  <dcterms:created xsi:type="dcterms:W3CDTF">2023-03-09T12:13:20Z</dcterms:created>
  <dcterms:modified xsi:type="dcterms:W3CDTF">2023-06-28T09:39:22Z</dcterms:modified>
</cp:coreProperties>
</file>