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PycharmProjects\docx\"/>
    </mc:Choice>
  </mc:AlternateContent>
  <xr:revisionPtr revIDLastSave="0" documentId="13_ncr:1_{AE21F796-A321-4B30-8465-326BFE8E97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Экстрактор" sheetId="3" r:id="rId2"/>
    <sheet name="Исходные данные" sheetId="2" r:id="rId3"/>
  </sheets>
  <externalReferences>
    <externalReference r:id="rId4"/>
  </externalReferences>
  <definedNames>
    <definedName name="Тарелки">'Исходные данные'!$B$3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G14" i="3"/>
  <c r="G15" i="3"/>
  <c r="G16" i="3"/>
  <c r="G17" i="3"/>
  <c r="G18" i="3"/>
  <c r="G19" i="3"/>
  <c r="G20" i="3"/>
  <c r="G21" i="3"/>
  <c r="G22" i="3"/>
  <c r="G23" i="3"/>
  <c r="G24" i="3"/>
  <c r="G7" i="3"/>
  <c r="G8" i="3"/>
  <c r="G9" i="3"/>
  <c r="G10" i="3"/>
  <c r="G11" i="3"/>
  <c r="G12" i="3"/>
  <c r="G13" i="3"/>
  <c r="G6" i="3"/>
  <c r="C24" i="3"/>
  <c r="C14" i="3"/>
  <c r="C15" i="3"/>
  <c r="C16" i="3"/>
  <c r="C17" i="3"/>
  <c r="C18" i="3"/>
  <c r="C19" i="3"/>
  <c r="C20" i="3"/>
  <c r="C21" i="3"/>
  <c r="C22" i="3"/>
  <c r="C23" i="3"/>
  <c r="C7" i="3"/>
  <c r="C8" i="3"/>
  <c r="C9" i="3"/>
  <c r="C10" i="3"/>
  <c r="C11" i="3"/>
  <c r="C12" i="3"/>
  <c r="C13" i="3"/>
  <c r="C6" i="3"/>
  <c r="C4" i="3"/>
  <c r="G5" i="3"/>
  <c r="G4" i="3"/>
  <c r="C5" i="3"/>
  <c r="B131" i="3"/>
  <c r="H127" i="3"/>
  <c r="E95" i="3"/>
  <c r="E83" i="3"/>
  <c r="E86" i="3" s="1"/>
  <c r="E71" i="3"/>
  <c r="E59" i="3"/>
  <c r="E62" i="3" s="1"/>
  <c r="J48" i="3"/>
  <c r="F48" i="3"/>
  <c r="G48" i="3" s="1"/>
  <c r="C48" i="3"/>
  <c r="B48" i="3"/>
  <c r="G47" i="3"/>
  <c r="C47" i="3"/>
  <c r="C46" i="3"/>
  <c r="G46" i="3" s="1"/>
  <c r="C45" i="3"/>
  <c r="G45" i="3" s="1"/>
  <c r="K44" i="3"/>
  <c r="G44" i="3"/>
  <c r="C44" i="3"/>
  <c r="G43" i="3"/>
  <c r="K43" i="3" s="1"/>
  <c r="C43" i="3"/>
  <c r="C42" i="3"/>
  <c r="G42" i="3" s="1"/>
  <c r="C41" i="3"/>
  <c r="G41" i="3" s="1"/>
  <c r="K40" i="3"/>
  <c r="G40" i="3"/>
  <c r="C40" i="3"/>
  <c r="G39" i="3"/>
  <c r="K39" i="3" s="1"/>
  <c r="C39" i="3"/>
  <c r="C38" i="3"/>
  <c r="C37" i="3"/>
  <c r="B37" i="3"/>
  <c r="F36" i="3"/>
  <c r="C36" i="3"/>
  <c r="B36" i="3"/>
  <c r="J36" i="3" s="1"/>
  <c r="J35" i="3"/>
  <c r="F35" i="3"/>
  <c r="G35" i="3" s="1"/>
  <c r="C35" i="3"/>
  <c r="B35" i="3"/>
  <c r="J34" i="3"/>
  <c r="F34" i="3"/>
  <c r="G34" i="3" s="1"/>
  <c r="C34" i="3"/>
  <c r="B34" i="3"/>
  <c r="J33" i="3"/>
  <c r="G33" i="3"/>
  <c r="C33" i="3"/>
  <c r="B33" i="3"/>
  <c r="F33" i="3" s="1"/>
  <c r="J32" i="3"/>
  <c r="C32" i="3"/>
  <c r="G32" i="3" s="1"/>
  <c r="B32" i="3"/>
  <c r="F32" i="3" s="1"/>
  <c r="J31" i="3"/>
  <c r="C31" i="3"/>
  <c r="B130" i="3" s="1"/>
  <c r="B31" i="3"/>
  <c r="F31" i="3" s="1"/>
  <c r="C30" i="3"/>
  <c r="B129" i="3" s="1"/>
  <c r="B30" i="3"/>
  <c r="J30" i="3" s="1"/>
  <c r="C29" i="3"/>
  <c r="G29" i="3" s="1"/>
  <c r="K28" i="3"/>
  <c r="G28" i="3"/>
  <c r="E127" i="3" s="1"/>
  <c r="C28" i="3"/>
  <c r="K4" i="3"/>
  <c r="C25" i="3" l="1"/>
  <c r="F142" i="3" s="1"/>
  <c r="F145" i="3"/>
  <c r="I142" i="3"/>
  <c r="I146" i="3"/>
  <c r="F146" i="3"/>
  <c r="F143" i="3"/>
  <c r="I144" i="3"/>
  <c r="F144" i="3"/>
  <c r="I141" i="3"/>
  <c r="I128" i="3"/>
  <c r="F141" i="3"/>
  <c r="F128" i="3"/>
  <c r="I143" i="3"/>
  <c r="I145" i="3"/>
  <c r="H32" i="3"/>
  <c r="H44" i="3"/>
  <c r="H40" i="3"/>
  <c r="G36" i="3"/>
  <c r="D36" i="3"/>
  <c r="D9" i="3"/>
  <c r="H14" i="3"/>
  <c r="L14" i="3"/>
  <c r="J37" i="3"/>
  <c r="F37" i="3"/>
  <c r="L43" i="3"/>
  <c r="L23" i="3"/>
  <c r="L39" i="3"/>
  <c r="D8" i="3"/>
  <c r="D14" i="3"/>
  <c r="K46" i="3"/>
  <c r="L46" i="3" s="1"/>
  <c r="H46" i="3"/>
  <c r="D10" i="3"/>
  <c r="H15" i="3"/>
  <c r="D20" i="3"/>
  <c r="C49" i="3"/>
  <c r="D37" i="3"/>
  <c r="E74" i="3"/>
  <c r="E73" i="3"/>
  <c r="E72" i="3"/>
  <c r="L18" i="3"/>
  <c r="H18" i="3"/>
  <c r="H34" i="3"/>
  <c r="K34" i="3"/>
  <c r="L34" i="3" s="1"/>
  <c r="L24" i="3"/>
  <c r="H24" i="3"/>
  <c r="L10" i="3"/>
  <c r="H10" i="3"/>
  <c r="D21" i="3"/>
  <c r="K33" i="3"/>
  <c r="H33" i="3"/>
  <c r="H47" i="3"/>
  <c r="D6" i="3"/>
  <c r="H11" i="3"/>
  <c r="D16" i="3"/>
  <c r="D22" i="3"/>
  <c r="K35" i="3"/>
  <c r="L35" i="3" s="1"/>
  <c r="H35" i="3"/>
  <c r="D38" i="3"/>
  <c r="K41" i="3"/>
  <c r="L41" i="3" s="1"/>
  <c r="H41" i="3"/>
  <c r="E97" i="3"/>
  <c r="E107" i="3" s="1"/>
  <c r="E96" i="3"/>
  <c r="E98" i="3"/>
  <c r="D13" i="3"/>
  <c r="D5" i="3"/>
  <c r="L15" i="3"/>
  <c r="L40" i="3"/>
  <c r="K6" i="3"/>
  <c r="H6" i="3"/>
  <c r="L11" i="3"/>
  <c r="D17" i="3"/>
  <c r="L22" i="3"/>
  <c r="H22" i="3"/>
  <c r="K29" i="3"/>
  <c r="L29" i="3" s="1"/>
  <c r="H29" i="3"/>
  <c r="L44" i="3"/>
  <c r="D48" i="3"/>
  <c r="L7" i="3"/>
  <c r="H19" i="3"/>
  <c r="H7" i="3"/>
  <c r="D12" i="3"/>
  <c r="D18" i="3"/>
  <c r="H23" i="3"/>
  <c r="K32" i="3"/>
  <c r="E131" i="3"/>
  <c r="F131" i="3" s="1"/>
  <c r="K42" i="3"/>
  <c r="L42" i="3" s="1"/>
  <c r="H42" i="3"/>
  <c r="K45" i="3"/>
  <c r="L45" i="3" s="1"/>
  <c r="H45" i="3"/>
  <c r="K48" i="3"/>
  <c r="L48" i="3" s="1"/>
  <c r="H48" i="3"/>
  <c r="H39" i="3"/>
  <c r="D24" i="3"/>
  <c r="D30" i="3"/>
  <c r="G38" i="3"/>
  <c r="F30" i="3"/>
  <c r="G30" i="3" s="1"/>
  <c r="D31" i="3"/>
  <c r="G37" i="3"/>
  <c r="D41" i="3"/>
  <c r="D45" i="3"/>
  <c r="B127" i="3"/>
  <c r="D46" i="3"/>
  <c r="K47" i="3"/>
  <c r="L47" i="3" s="1"/>
  <c r="D7" i="3"/>
  <c r="D11" i="3"/>
  <c r="D15" i="3"/>
  <c r="D19" i="3"/>
  <c r="D23" i="3"/>
  <c r="D32" i="3"/>
  <c r="E60" i="3"/>
  <c r="E84" i="3"/>
  <c r="H43" i="3"/>
  <c r="G31" i="3"/>
  <c r="E61" i="3"/>
  <c r="E85" i="3"/>
  <c r="D42" i="3"/>
  <c r="L19" i="3" l="1"/>
  <c r="I140" i="3"/>
  <c r="F140" i="3"/>
  <c r="L6" i="3"/>
  <c r="G4" i="1"/>
  <c r="E129" i="3"/>
  <c r="H30" i="3"/>
  <c r="G49" i="3"/>
  <c r="K30" i="3"/>
  <c r="K37" i="3"/>
  <c r="H37" i="3"/>
  <c r="L9" i="3"/>
  <c r="H9" i="3"/>
  <c r="D4" i="3"/>
  <c r="D25" i="3" s="1"/>
  <c r="B136" i="3"/>
  <c r="E136" i="3"/>
  <c r="F136" i="3" s="1"/>
  <c r="H136" i="3"/>
  <c r="I136" i="3" s="1"/>
  <c r="E110" i="3"/>
  <c r="B133" i="3" s="1"/>
  <c r="E109" i="3"/>
  <c r="E108" i="3"/>
  <c r="L20" i="3"/>
  <c r="H20" i="3"/>
  <c r="H17" i="3"/>
  <c r="L17" i="3"/>
  <c r="H5" i="3"/>
  <c r="G25" i="3"/>
  <c r="K5" i="3"/>
  <c r="L12" i="3"/>
  <c r="H12" i="3"/>
  <c r="H13" i="3"/>
  <c r="L13" i="3"/>
  <c r="E132" i="3"/>
  <c r="F132" i="3" s="1"/>
  <c r="B132" i="3"/>
  <c r="H31" i="3"/>
  <c r="E130" i="3"/>
  <c r="F130" i="3" s="1"/>
  <c r="K31" i="3"/>
  <c r="K49" i="3" s="1"/>
  <c r="K38" i="3"/>
  <c r="L38" i="3" s="1"/>
  <c r="H38" i="3"/>
  <c r="H131" i="3"/>
  <c r="I131" i="3" s="1"/>
  <c r="L32" i="3"/>
  <c r="E137" i="3"/>
  <c r="F137" i="3" s="1"/>
  <c r="H137" i="3"/>
  <c r="I137" i="3" s="1"/>
  <c r="B137" i="3"/>
  <c r="L8" i="3"/>
  <c r="H8" i="3"/>
  <c r="E119" i="3"/>
  <c r="H132" i="3"/>
  <c r="I132" i="3" s="1"/>
  <c r="L33" i="3"/>
  <c r="D34" i="3"/>
  <c r="D44" i="3"/>
  <c r="D40" i="3"/>
  <c r="D33" i="3"/>
  <c r="D28" i="3" s="1"/>
  <c r="D49" i="3" s="1"/>
  <c r="D39" i="3"/>
  <c r="D35" i="3"/>
  <c r="D47" i="3"/>
  <c r="D43" i="3"/>
  <c r="L16" i="3"/>
  <c r="H16" i="3"/>
  <c r="K36" i="3"/>
  <c r="H36" i="3"/>
  <c r="E135" i="3"/>
  <c r="F135" i="3" s="1"/>
  <c r="H135" i="3"/>
  <c r="I135" i="3" s="1"/>
  <c r="B135" i="3"/>
  <c r="L21" i="3"/>
  <c r="H21" i="3"/>
  <c r="H28" i="3" l="1"/>
  <c r="H49" i="3" s="1"/>
  <c r="H4" i="3"/>
  <c r="H25" i="3" s="1"/>
  <c r="L37" i="3"/>
  <c r="L30" i="3"/>
  <c r="H129" i="3"/>
  <c r="E122" i="3"/>
  <c r="E121" i="3"/>
  <c r="E120" i="3"/>
  <c r="E147" i="3"/>
  <c r="F147" i="3" s="1"/>
  <c r="B147" i="3"/>
  <c r="H130" i="3"/>
  <c r="I130" i="3" s="1"/>
  <c r="L31" i="3"/>
  <c r="L36" i="3"/>
  <c r="H133" i="3"/>
  <c r="I133" i="3" s="1"/>
  <c r="E133" i="3"/>
  <c r="F133" i="3" s="1"/>
  <c r="H147" i="3"/>
  <c r="I147" i="3" s="1"/>
  <c r="L5" i="3"/>
  <c r="L4" i="3" s="1"/>
  <c r="L25" i="3" s="1"/>
  <c r="K25" i="3"/>
  <c r="F129" i="3"/>
  <c r="H138" i="3"/>
  <c r="I138" i="3" s="1"/>
  <c r="E138" i="3"/>
  <c r="F138" i="3" s="1"/>
  <c r="B138" i="3"/>
  <c r="L28" i="3" l="1"/>
  <c r="L49" i="3" s="1"/>
  <c r="E134" i="3"/>
  <c r="B134" i="3"/>
  <c r="H134" i="3"/>
  <c r="I134" i="3" s="1"/>
  <c r="I129" i="3"/>
  <c r="H148" i="3"/>
  <c r="E139" i="3"/>
  <c r="F139" i="3" s="1"/>
  <c r="H139" i="3"/>
  <c r="I139" i="3" s="1"/>
  <c r="B139" i="3"/>
  <c r="I127" i="3" l="1"/>
  <c r="I148" i="3" s="1"/>
  <c r="B148" i="3"/>
  <c r="C139" i="3"/>
  <c r="F134" i="3"/>
  <c r="F127" i="3" s="1"/>
  <c r="F148" i="3" s="1"/>
  <c r="E148" i="3"/>
  <c r="C140" i="3" l="1"/>
  <c r="C143" i="3"/>
  <c r="C145" i="3"/>
  <c r="C144" i="3"/>
  <c r="C141" i="3"/>
  <c r="C146" i="3"/>
  <c r="C142" i="3"/>
  <c r="C128" i="3"/>
  <c r="C130" i="3"/>
  <c r="C129" i="3"/>
  <c r="C131" i="3"/>
  <c r="C127" i="3"/>
  <c r="C135" i="3"/>
  <c r="C133" i="3"/>
  <c r="C137" i="3"/>
  <c r="C136" i="3"/>
  <c r="C132" i="3"/>
  <c r="C138" i="3"/>
  <c r="C147" i="3"/>
  <c r="C134" i="3"/>
  <c r="C148" i="3" l="1"/>
  <c r="G23" i="1" l="1"/>
  <c r="H8" i="1" s="1"/>
  <c r="F27" i="2"/>
  <c r="E27" i="2" s="1"/>
  <c r="H23" i="2"/>
  <c r="I23" i="2"/>
  <c r="G23" i="2"/>
  <c r="I22" i="2"/>
  <c r="H22" i="2"/>
  <c r="I2" i="1"/>
  <c r="G2" i="1"/>
  <c r="C23" i="1"/>
  <c r="J3" i="1"/>
  <c r="J4" i="1"/>
  <c r="J5" i="1"/>
  <c r="J11" i="1"/>
  <c r="J12" i="1"/>
  <c r="J13" i="1"/>
  <c r="J18" i="1"/>
  <c r="J19" i="1"/>
  <c r="J20" i="1"/>
  <c r="J21" i="1"/>
  <c r="I23" i="1"/>
  <c r="J6" i="1" s="1"/>
  <c r="E12" i="1"/>
  <c r="E13" i="1"/>
  <c r="E14" i="1"/>
  <c r="E19" i="1"/>
  <c r="E20" i="1"/>
  <c r="E21" i="1"/>
  <c r="E22" i="1"/>
  <c r="E6" i="1"/>
  <c r="E7" i="1"/>
  <c r="E8" i="1"/>
  <c r="E9" i="1"/>
  <c r="E23" i="1"/>
  <c r="E11" i="1" s="1"/>
  <c r="F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D23" i="1"/>
  <c r="F28" i="2" l="1"/>
  <c r="J2" i="1"/>
  <c r="J15" i="1"/>
  <c r="J7" i="1"/>
  <c r="J10" i="1"/>
  <c r="J17" i="1"/>
  <c r="J9" i="1"/>
  <c r="J16" i="1"/>
  <c r="J8" i="1"/>
  <c r="J22" i="1"/>
  <c r="J14" i="1"/>
  <c r="H21" i="1"/>
  <c r="H15" i="1"/>
  <c r="H2" i="1"/>
  <c r="H14" i="1"/>
  <c r="H7" i="1"/>
  <c r="H6" i="1"/>
  <c r="H22" i="1"/>
  <c r="H13" i="1"/>
  <c r="H20" i="1"/>
  <c r="H4" i="1"/>
  <c r="H10" i="1"/>
  <c r="H19" i="1"/>
  <c r="H11" i="1"/>
  <c r="H3" i="1"/>
  <c r="H18" i="1"/>
  <c r="H17" i="1"/>
  <c r="H9" i="1"/>
  <c r="H5" i="1"/>
  <c r="H12" i="1"/>
  <c r="H16" i="1"/>
  <c r="E5" i="1"/>
  <c r="E18" i="1"/>
  <c r="E4" i="1"/>
  <c r="E17" i="1"/>
  <c r="E3" i="1"/>
  <c r="E16" i="1"/>
  <c r="E10" i="1"/>
  <c r="E2" i="1"/>
  <c r="E15" i="1"/>
  <c r="F29" i="2" l="1"/>
  <c r="E29" i="2" s="1"/>
  <c r="E28" i="2"/>
  <c r="H23" i="1"/>
  <c r="J23" i="1"/>
</calcChain>
</file>

<file path=xl/sharedStrings.xml><?xml version="1.0" encoding="utf-8"?>
<sst xmlns="http://schemas.openxmlformats.org/spreadsheetml/2006/main" count="236" uniqueCount="81">
  <si>
    <t>H2S</t>
  </si>
  <si>
    <t>COS</t>
  </si>
  <si>
    <t>CS2</t>
  </si>
  <si>
    <t>H2O</t>
  </si>
  <si>
    <t>NaOH</t>
  </si>
  <si>
    <t>CH3SNa</t>
  </si>
  <si>
    <t>C2H5SNa</t>
  </si>
  <si>
    <t>Na2S</t>
  </si>
  <si>
    <t>CH3SO2SCH3</t>
  </si>
  <si>
    <t>C2H5SO2SC2H5</t>
  </si>
  <si>
    <t>CH3SSCH3</t>
  </si>
  <si>
    <t>C2H5SSC2H5</t>
  </si>
  <si>
    <t>Na2SO4</t>
  </si>
  <si>
    <t>N2</t>
  </si>
  <si>
    <t>O2</t>
  </si>
  <si>
    <t>СУГ</t>
  </si>
  <si>
    <t>Нафта</t>
  </si>
  <si>
    <t>Состав:</t>
  </si>
  <si>
    <t>Молекулярная масса:</t>
  </si>
  <si>
    <t>CO2</t>
  </si>
  <si>
    <r>
      <t>CH</t>
    </r>
    <r>
      <rPr>
        <vertAlign val="subscript"/>
        <sz val="11"/>
        <color rgb="FF000000"/>
        <rFont val="Times New Roman"/>
        <family val="1"/>
        <charset val="204"/>
      </rPr>
      <t>3</t>
    </r>
    <r>
      <rPr>
        <sz val="11"/>
        <color rgb="FF000000"/>
        <rFont val="Times New Roman"/>
        <family val="1"/>
        <charset val="204"/>
      </rPr>
      <t>SH</t>
    </r>
  </si>
  <si>
    <r>
      <t>C</t>
    </r>
    <r>
      <rPr>
        <vertAlign val="subscript"/>
        <sz val="11"/>
        <color rgb="FF000000"/>
        <rFont val="Times New Roman"/>
        <family val="1"/>
        <charset val="204"/>
      </rPr>
      <t>2</t>
    </r>
    <r>
      <rPr>
        <sz val="11"/>
        <color rgb="FF000000"/>
        <rFont val="Times New Roman"/>
        <family val="1"/>
        <charset val="204"/>
      </rPr>
      <t>H</t>
    </r>
    <r>
      <rPr>
        <vertAlign val="subscript"/>
        <sz val="11"/>
        <color rgb="FF000000"/>
        <rFont val="Times New Roman"/>
        <family val="1"/>
        <charset val="204"/>
      </rPr>
      <t>5</t>
    </r>
    <r>
      <rPr>
        <sz val="11"/>
        <color rgb="FF000000"/>
        <rFont val="Times New Roman"/>
        <family val="1"/>
        <charset val="204"/>
      </rPr>
      <t>SH</t>
    </r>
  </si>
  <si>
    <r>
      <t>C</t>
    </r>
    <r>
      <rPr>
        <vertAlign val="subscript"/>
        <sz val="11"/>
        <color rgb="FF000000"/>
        <rFont val="Times New Roman"/>
        <family val="1"/>
        <charset val="204"/>
      </rPr>
      <t>3</t>
    </r>
    <r>
      <rPr>
        <sz val="11"/>
        <color rgb="FF000000"/>
        <rFont val="Times New Roman"/>
        <family val="1"/>
        <charset val="204"/>
      </rPr>
      <t>H</t>
    </r>
    <r>
      <rPr>
        <vertAlign val="subscript"/>
        <sz val="11"/>
        <color rgb="FF000000"/>
        <rFont val="Times New Roman"/>
        <family val="1"/>
        <charset val="204"/>
      </rPr>
      <t>7</t>
    </r>
    <r>
      <rPr>
        <sz val="11"/>
        <color rgb="FF000000"/>
        <rFont val="Times New Roman"/>
        <family val="1"/>
        <charset val="204"/>
      </rPr>
      <t>SH</t>
    </r>
  </si>
  <si>
    <t>Итого:</t>
  </si>
  <si>
    <t>Исходные данные:</t>
  </si>
  <si>
    <t>Масс расход:</t>
  </si>
  <si>
    <t>Регенерированный раствор  NaOH на входе в колонну</t>
  </si>
  <si>
    <t>СУГ на выходе из верха колонны экстракции</t>
  </si>
  <si>
    <t>СУГ на входе в колонну экстракции</t>
  </si>
  <si>
    <t>СУГ на выходе из куба колонны экстракции</t>
  </si>
  <si>
    <t>Кол-во тарелок</t>
  </si>
  <si>
    <t>C-301</t>
  </si>
  <si>
    <t>Состав верхней части С-301</t>
  </si>
  <si>
    <t>Эффективность разделения</t>
  </si>
  <si>
    <t>кг/ч</t>
  </si>
  <si>
    <t>% масс.</t>
  </si>
  <si>
    <t xml:space="preserve">Нафта </t>
  </si>
  <si>
    <t>CH3SH</t>
  </si>
  <si>
    <t>C2H5SH</t>
  </si>
  <si>
    <t>C3H7SH</t>
  </si>
  <si>
    <t>Азот</t>
  </si>
  <si>
    <t>Кислород</t>
  </si>
  <si>
    <t>СО2</t>
  </si>
  <si>
    <t>Состав нижней части C-301</t>
  </si>
  <si>
    <t xml:space="preserve">Реакция </t>
  </si>
  <si>
    <r>
      <rPr>
        <sz val="14"/>
        <color theme="1"/>
        <rFont val="Times New Roman"/>
        <family val="1"/>
        <charset val="204"/>
      </rPr>
      <t>CH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SH + NaOH ⇄ CH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SNa + H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O</t>
    </r>
  </si>
  <si>
    <t>Молекулярная масса CH3SH:</t>
  </si>
  <si>
    <t>кг/кмоль</t>
  </si>
  <si>
    <t>Молекулярная масса NaOH:</t>
  </si>
  <si>
    <t>Молекулярная масса CH3SNa:</t>
  </si>
  <si>
    <t>Молекулярная масса H2O:</t>
  </si>
  <si>
    <t>Количество CH3SH:</t>
  </si>
  <si>
    <t>кг/час</t>
  </si>
  <si>
    <t>Количество NaOH:</t>
  </si>
  <si>
    <t>Количество CH3SNa:</t>
  </si>
  <si>
    <t>Количество H2O:</t>
  </si>
  <si>
    <t>C2H5SH + NaOH ⇄ C2H5SNa + H2O</t>
  </si>
  <si>
    <t>Молекулярная масса C2H5SH:</t>
  </si>
  <si>
    <t>Молекулярная масса C2H5SNa:</t>
  </si>
  <si>
    <t>C3H7SH + NaOH ⇄ C3H7SNa + H2O</t>
  </si>
  <si>
    <t>Молекулярная масса C3H7SH:</t>
  </si>
  <si>
    <t>Молекулярная масса C3H7SNa:</t>
  </si>
  <si>
    <t>COS + H2O → H2S + CO2</t>
  </si>
  <si>
    <t>Молекулярная масса COS:</t>
  </si>
  <si>
    <t>Молекулярная масса H2S:</t>
  </si>
  <si>
    <t>Молекулярная масса CO2:</t>
  </si>
  <si>
    <t>Количество COS:</t>
  </si>
  <si>
    <t>Количество H2S:</t>
  </si>
  <si>
    <t>Количество CO2:</t>
  </si>
  <si>
    <r>
      <rPr>
        <sz val="14"/>
        <color theme="1"/>
        <rFont val="Times New Roman"/>
        <family val="1"/>
        <charset val="204"/>
      </rPr>
      <t xml:space="preserve">H2S + 2 NaOH </t>
    </r>
    <r>
      <rPr>
        <sz val="14"/>
        <color theme="1"/>
        <rFont val="Mathcad UniMath Prime"/>
        <family val="3"/>
      </rPr>
      <t>→</t>
    </r>
    <r>
      <rPr>
        <sz val="14"/>
        <color theme="1"/>
        <rFont val="Times New Roman"/>
        <family val="1"/>
        <charset val="204"/>
      </rPr>
      <t xml:space="preserve"> Na2S + 2 H2O</t>
    </r>
  </si>
  <si>
    <t>Молекулярная масса Na2S:</t>
  </si>
  <si>
    <t>Количество Na2S:</t>
  </si>
  <si>
    <t>CO2 + 2 NaOH → Na2CO3 + H2O</t>
  </si>
  <si>
    <t>Молекулярная масса Na2CO3:</t>
  </si>
  <si>
    <t>Количество Na2CO3:</t>
  </si>
  <si>
    <t>Насыщенный меркаптидами щелочной раствор после С-301</t>
  </si>
  <si>
    <t>C3H7SNa</t>
  </si>
  <si>
    <t>Na2CO3</t>
  </si>
  <si>
    <t>Реагент</t>
  </si>
  <si>
    <t>Продукт</t>
  </si>
  <si>
    <t xml:space="preserve">Реагент/
Продукт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</si>
</sst>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0%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name val="Calibri"/>
      <family val="2"/>
      <charset val="204"/>
    </font>
    <font>
      <sz val="10"/>
      <color theme="1"/>
      <name val="Mathcad UniMath Prime"/>
      <family val="3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Mathcad UniMath Prime"/>
      <family val="3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rgb="FF00B05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0" fontId="4" fillId="0" borderId="0" xfId="0" applyFont="1"/>
    <xf numFmtId="168" fontId="1" fillId="0" borderId="2" xfId="0" applyNumberFormat="1" applyFont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168" fontId="1" fillId="2" borderId="2" xfId="0" applyNumberFormat="1" applyFont="1" applyFill="1" applyBorder="1" applyAlignment="1">
      <alignment horizontal="justify" vertical="center"/>
    </xf>
    <xf numFmtId="0" fontId="5" fillId="3" borderId="5" xfId="0" applyFont="1" applyFill="1" applyBorder="1" applyAlignment="1">
      <alignment horizontal="center" vertical="top" wrapText="1"/>
    </xf>
    <xf numFmtId="0" fontId="6" fillId="0" borderId="6" xfId="0" applyFont="1" applyBorder="1"/>
    <xf numFmtId="0" fontId="6" fillId="0" borderId="7" xfId="0" applyFont="1" applyBorder="1"/>
    <xf numFmtId="0" fontId="5" fillId="0" borderId="8" xfId="0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5" fillId="5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5" fillId="0" borderId="0" xfId="0" applyFont="1" applyAlignment="1">
      <alignment horizontal="center" wrapText="1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9" fontId="5" fillId="0" borderId="14" xfId="0" applyNumberFormat="1" applyFont="1" applyBorder="1" applyAlignment="1">
      <alignment horizontal="center" vertical="center"/>
    </xf>
    <xf numFmtId="168" fontId="5" fillId="0" borderId="14" xfId="0" applyNumberFormat="1" applyFont="1" applyBorder="1" applyAlignment="1">
      <alignment horizontal="center" vertical="center"/>
    </xf>
    <xf numFmtId="169" fontId="5" fillId="0" borderId="14" xfId="0" applyNumberFormat="1" applyFont="1" applyBorder="1" applyAlignment="1">
      <alignment horizontal="center" vertical="center"/>
    </xf>
    <xf numFmtId="10" fontId="5" fillId="0" borderId="14" xfId="0" applyNumberFormat="1" applyFont="1" applyBorder="1" applyAlignment="1">
      <alignment horizontal="center" vertical="center"/>
    </xf>
    <xf numFmtId="168" fontId="5" fillId="7" borderId="14" xfId="0" applyNumberFormat="1" applyFont="1" applyFill="1" applyBorder="1" applyAlignment="1">
      <alignment horizontal="center" vertical="center"/>
    </xf>
    <xf numFmtId="169" fontId="5" fillId="7" borderId="14" xfId="0" applyNumberFormat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left" vertical="top"/>
    </xf>
    <xf numFmtId="0" fontId="5" fillId="0" borderId="14" xfId="0" applyFont="1" applyBorder="1"/>
    <xf numFmtId="168" fontId="5" fillId="8" borderId="14" xfId="0" applyNumberFormat="1" applyFont="1" applyFill="1" applyBorder="1" applyAlignment="1">
      <alignment horizontal="left" vertical="top"/>
    </xf>
    <xf numFmtId="169" fontId="5" fillId="8" borderId="14" xfId="0" applyNumberFormat="1" applyFont="1" applyFill="1" applyBorder="1" applyAlignment="1">
      <alignment horizontal="left" vertical="top"/>
    </xf>
    <xf numFmtId="0" fontId="5" fillId="0" borderId="15" xfId="0" applyFont="1" applyBorder="1"/>
    <xf numFmtId="0" fontId="5" fillId="0" borderId="8" xfId="0" applyFont="1" applyBorder="1" applyAlignment="1">
      <alignment horizontal="center" vertical="center" wrapText="1"/>
    </xf>
    <xf numFmtId="10" fontId="5" fillId="9" borderId="14" xfId="0" applyNumberFormat="1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169" fontId="5" fillId="9" borderId="14" xfId="0" applyNumberFormat="1" applyFont="1" applyFill="1" applyBorder="1" applyAlignment="1">
      <alignment horizontal="center" vertical="center"/>
    </xf>
    <xf numFmtId="168" fontId="5" fillId="9" borderId="14" xfId="0" applyNumberFormat="1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left" vertical="top"/>
    </xf>
    <xf numFmtId="0" fontId="5" fillId="0" borderId="18" xfId="0" applyFont="1" applyBorder="1" applyAlignment="1">
      <alignment horizontal="center"/>
    </xf>
    <xf numFmtId="168" fontId="5" fillId="8" borderId="19" xfId="0" applyNumberFormat="1" applyFont="1" applyFill="1" applyBorder="1" applyAlignment="1">
      <alignment horizontal="center" vertical="top"/>
    </xf>
    <xf numFmtId="169" fontId="5" fillId="8" borderId="19" xfId="0" applyNumberFormat="1" applyFont="1" applyFill="1" applyBorder="1" applyAlignment="1">
      <alignment horizontal="center" vertical="top"/>
    </xf>
    <xf numFmtId="0" fontId="5" fillId="0" borderId="20" xfId="0" applyFont="1" applyBorder="1" applyAlignment="1">
      <alignment horizontal="center"/>
    </xf>
    <xf numFmtId="0" fontId="7" fillId="9" borderId="0" xfId="0" applyFont="1" applyFill="1"/>
    <xf numFmtId="0" fontId="5" fillId="9" borderId="0" xfId="0" applyFont="1" applyFill="1"/>
    <xf numFmtId="0" fontId="5" fillId="0" borderId="21" xfId="0" applyFont="1" applyBorder="1"/>
    <xf numFmtId="0" fontId="5" fillId="9" borderId="22" xfId="0" applyFont="1" applyFill="1" applyBorder="1"/>
    <xf numFmtId="0" fontId="5" fillId="9" borderId="23" xfId="0" applyFont="1" applyFill="1" applyBorder="1"/>
    <xf numFmtId="0" fontId="5" fillId="9" borderId="24" xfId="0" applyFont="1" applyFill="1" applyBorder="1"/>
    <xf numFmtId="0" fontId="5" fillId="9" borderId="0" xfId="0" applyFont="1" applyFill="1" applyAlignment="1">
      <alignment horizontal="right"/>
    </xf>
    <xf numFmtId="0" fontId="5" fillId="9" borderId="25" xfId="0" applyFont="1" applyFill="1" applyBorder="1"/>
    <xf numFmtId="168" fontId="5" fillId="9" borderId="0" xfId="0" applyNumberFormat="1" applyFont="1" applyFill="1"/>
    <xf numFmtId="2" fontId="5" fillId="9" borderId="0" xfId="0" applyNumberFormat="1" applyFont="1" applyFill="1"/>
    <xf numFmtId="2" fontId="5" fillId="9" borderId="0" xfId="0" applyNumberFormat="1" applyFont="1" applyFill="1" applyAlignment="1">
      <alignment horizontal="right"/>
    </xf>
    <xf numFmtId="0" fontId="5" fillId="9" borderId="26" xfId="0" applyFont="1" applyFill="1" applyBorder="1"/>
    <xf numFmtId="0" fontId="5" fillId="9" borderId="18" xfId="0" applyFont="1" applyFill="1" applyBorder="1"/>
    <xf numFmtId="0" fontId="5" fillId="9" borderId="20" xfId="0" applyFont="1" applyFill="1" applyBorder="1"/>
    <xf numFmtId="0" fontId="5" fillId="0" borderId="27" xfId="0" applyFont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wrapText="1"/>
    </xf>
    <xf numFmtId="0" fontId="6" fillId="0" borderId="29" xfId="0" applyFont="1" applyBorder="1"/>
    <xf numFmtId="0" fontId="5" fillId="5" borderId="28" xfId="0" applyFont="1" applyFill="1" applyBorder="1" applyAlignment="1">
      <alignment horizontal="center" wrapText="1"/>
    </xf>
    <xf numFmtId="0" fontId="5" fillId="6" borderId="28" xfId="0" applyFont="1" applyFill="1" applyBorder="1" applyAlignment="1">
      <alignment horizontal="center"/>
    </xf>
    <xf numFmtId="168" fontId="5" fillId="10" borderId="14" xfId="0" applyNumberFormat="1" applyFont="1" applyFill="1" applyBorder="1" applyAlignment="1">
      <alignment horizontal="center" vertical="center"/>
    </xf>
    <xf numFmtId="169" fontId="5" fillId="10" borderId="14" xfId="0" applyNumberFormat="1" applyFont="1" applyFill="1" applyBorder="1" applyAlignment="1">
      <alignment horizontal="center" vertical="center"/>
    </xf>
    <xf numFmtId="168" fontId="5" fillId="5" borderId="14" xfId="0" applyNumberFormat="1" applyFont="1" applyFill="1" applyBorder="1" applyAlignment="1">
      <alignment horizontal="center" vertical="center"/>
    </xf>
    <xf numFmtId="169" fontId="5" fillId="5" borderId="14" xfId="0" applyNumberFormat="1" applyFont="1" applyFill="1" applyBorder="1" applyAlignment="1">
      <alignment horizontal="center" vertical="center"/>
    </xf>
    <xf numFmtId="0" fontId="5" fillId="7" borderId="30" xfId="0" applyFont="1" applyFill="1" applyBorder="1"/>
    <xf numFmtId="0" fontId="5" fillId="0" borderId="31" xfId="0" applyFont="1" applyBorder="1" applyAlignment="1">
      <alignment horizontal="left"/>
    </xf>
    <xf numFmtId="0" fontId="5" fillId="6" borderId="32" xfId="0" applyFont="1" applyFill="1" applyBorder="1"/>
    <xf numFmtId="0" fontId="5" fillId="9" borderId="31" xfId="0" applyFont="1" applyFill="1" applyBorder="1" applyAlignment="1">
      <alignment horizontal="left" vertical="top"/>
    </xf>
    <xf numFmtId="169" fontId="5" fillId="9" borderId="0" xfId="0" applyNumberFormat="1" applyFont="1" applyFill="1"/>
    <xf numFmtId="0" fontId="5" fillId="10" borderId="33" xfId="0" applyFont="1" applyFill="1" applyBorder="1"/>
    <xf numFmtId="0" fontId="5" fillId="9" borderId="31" xfId="0" applyFont="1" applyFill="1" applyBorder="1" applyAlignment="1">
      <alignment wrapText="1"/>
    </xf>
    <xf numFmtId="168" fontId="1" fillId="11" borderId="2" xfId="0" applyNumberFormat="1" applyFont="1" applyFill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64a313d53ef3887/&#1042;&#1083;&#1086;&#1078;&#1077;&#1085;&#1080;&#1103;/&#1056;&#1072;&#1089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Сводный материальный баланс"/>
      <sheetName val="С-301"/>
      <sheetName val="R-301"/>
      <sheetName val="V-304"/>
      <sheetName val="V-302"/>
      <sheetName val="V-303A"/>
      <sheetName val="V-303B"/>
    </sheetNames>
    <sheetDataSet>
      <sheetData sheetId="0"/>
      <sheetData sheetId="1">
        <row r="19">
          <cell r="B19">
            <v>16129.506872952845</v>
          </cell>
        </row>
        <row r="20">
          <cell r="B20">
            <v>0</v>
          </cell>
        </row>
        <row r="21">
          <cell r="B21">
            <v>44.582368459955099</v>
          </cell>
        </row>
        <row r="22">
          <cell r="B22">
            <v>28.349451815119764</v>
          </cell>
        </row>
        <row r="23">
          <cell r="B23">
            <v>0.23101676646706587</v>
          </cell>
        </row>
        <row r="24">
          <cell r="B24">
            <v>0.40525</v>
          </cell>
        </row>
        <row r="25">
          <cell r="B25">
            <v>0.91113000561377255</v>
          </cell>
        </row>
        <row r="26">
          <cell r="B26">
            <v>0.16210000000000002</v>
          </cell>
        </row>
        <row r="27">
          <cell r="B27">
            <v>5.47898</v>
          </cell>
          <cell r="H27">
            <v>2997</v>
          </cell>
        </row>
        <row r="28">
          <cell r="H28">
            <v>333</v>
          </cell>
        </row>
        <row r="39">
          <cell r="B39">
            <v>0.37282999999999999</v>
          </cell>
        </row>
        <row r="41">
          <cell r="F41">
            <v>1</v>
          </cell>
        </row>
      </sheetData>
      <sheetData sheetId="2">
        <row r="4">
          <cell r="C4">
            <v>16120.404634334465</v>
          </cell>
          <cell r="G4">
            <v>16128.479491572831</v>
          </cell>
          <cell r="K4">
            <v>16128.992092616249</v>
          </cell>
        </row>
        <row r="5">
          <cell r="K5">
            <v>0</v>
          </cell>
        </row>
        <row r="6">
          <cell r="K6">
            <v>5.5727960574944021E-3</v>
          </cell>
        </row>
        <row r="7">
          <cell r="K7">
            <v>2.8349451815119747E-2</v>
          </cell>
        </row>
        <row r="8">
          <cell r="K8">
            <v>6.2374526946107813E-3</v>
          </cell>
        </row>
        <row r="9">
          <cell r="K9">
            <v>0</v>
          </cell>
        </row>
        <row r="10">
          <cell r="K10">
            <v>0.31251759192552392</v>
          </cell>
        </row>
        <row r="11">
          <cell r="K11">
            <v>0.16210000000000002</v>
          </cell>
        </row>
        <row r="12">
          <cell r="K12">
            <v>3.0024789799990082E-6</v>
          </cell>
        </row>
        <row r="13">
          <cell r="K13">
            <v>4.1624999999986253E-8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  <row r="23">
          <cell r="K23">
            <v>0</v>
          </cell>
        </row>
        <row r="24">
          <cell r="K24">
            <v>0</v>
          </cell>
        </row>
        <row r="30">
          <cell r="B30">
            <v>0.95</v>
          </cell>
          <cell r="C30">
            <v>42.353250036957341</v>
          </cell>
          <cell r="G30">
            <v>40.235587535109474</v>
          </cell>
          <cell r="K30">
            <v>38.223808158353997</v>
          </cell>
        </row>
        <row r="31">
          <cell r="B31">
            <v>0.9</v>
          </cell>
          <cell r="C31">
            <v>25.514506633607787</v>
          </cell>
          <cell r="G31">
            <v>22.963055970247009</v>
          </cell>
          <cell r="K31">
            <v>20.666750373222307</v>
          </cell>
        </row>
        <row r="32">
          <cell r="B32">
            <v>0.7</v>
          </cell>
          <cell r="C32">
            <v>0.16171173652694609</v>
          </cell>
          <cell r="G32">
            <v>0.11319821556886225</v>
          </cell>
          <cell r="K32">
            <v>7.9238750898203578E-2</v>
          </cell>
        </row>
        <row r="33">
          <cell r="B33">
            <v>1</v>
          </cell>
          <cell r="C33">
            <v>0.40525</v>
          </cell>
          <cell r="G33">
            <v>0.40525</v>
          </cell>
          <cell r="K33">
            <v>0.40525</v>
          </cell>
        </row>
        <row r="34">
          <cell r="B34">
            <v>0.30000000000000004</v>
          </cell>
          <cell r="C34">
            <v>0.27333900168413183</v>
          </cell>
          <cell r="G34">
            <v>8.2001700505239555E-2</v>
          </cell>
          <cell r="K34">
            <v>2.4600510151571869E-2</v>
          </cell>
        </row>
        <row r="35">
          <cell r="B35">
            <v>0</v>
          </cell>
        </row>
        <row r="36">
          <cell r="B36">
            <v>0.99900000000000011</v>
          </cell>
        </row>
        <row r="37">
          <cell r="B37">
            <v>0.99950000000000006</v>
          </cell>
        </row>
        <row r="48">
          <cell r="B48">
            <v>1</v>
          </cell>
          <cell r="C48">
            <v>0.37282999999999999</v>
          </cell>
          <cell r="G48">
            <v>0.37282999999999999</v>
          </cell>
          <cell r="K48">
            <v>0.37282999999999999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K17" sqref="K17"/>
    </sheetView>
  </sheetViews>
  <sheetFormatPr defaultRowHeight="15" x14ac:dyDescent="0.25"/>
  <cols>
    <col min="1" max="13" width="17.7109375" customWidth="1"/>
  </cols>
  <sheetData>
    <row r="1" spans="1:10" ht="63" customHeight="1" x14ac:dyDescent="0.25">
      <c r="A1" s="4" t="s">
        <v>17</v>
      </c>
      <c r="B1" s="4" t="s">
        <v>18</v>
      </c>
      <c r="C1" s="1" t="s">
        <v>28</v>
      </c>
      <c r="D1" s="2"/>
      <c r="E1" s="1" t="s">
        <v>26</v>
      </c>
      <c r="F1" s="2"/>
      <c r="G1" s="1" t="s">
        <v>27</v>
      </c>
      <c r="H1" s="2"/>
      <c r="I1" s="1" t="s">
        <v>29</v>
      </c>
      <c r="J1" s="2"/>
    </row>
    <row r="2" spans="1:10" ht="15.75" x14ac:dyDescent="0.25">
      <c r="A2" s="3" t="s">
        <v>15</v>
      </c>
      <c r="B2" s="3">
        <v>86.17</v>
      </c>
      <c r="C2" s="6">
        <f>$C$23*D2/100</f>
        <v>16129.50114</v>
      </c>
      <c r="D2" s="6">
        <v>99.503399999999999</v>
      </c>
      <c r="E2" s="6">
        <f t="shared" ref="E2:E22" si="0">$E$23*F2/100</f>
        <v>0</v>
      </c>
      <c r="F2" s="6">
        <v>0</v>
      </c>
      <c r="G2" s="6">
        <f>C2*0.999879</f>
        <v>16127.549470362059</v>
      </c>
      <c r="H2" s="6">
        <f>G2/$G$23*100</f>
        <v>99.996815942950889</v>
      </c>
      <c r="I2" s="6">
        <f>C2-G2</f>
        <v>1.9516696379414498</v>
      </c>
      <c r="J2" s="6">
        <f>I2/$I$23*100</f>
        <v>8.8907571502814875</v>
      </c>
    </row>
    <row r="3" spans="1:10" ht="15.75" x14ac:dyDescent="0.25">
      <c r="A3" s="3" t="s">
        <v>16</v>
      </c>
      <c r="B3" s="3">
        <v>86.17</v>
      </c>
      <c r="C3" s="6">
        <f t="shared" ref="C3:C22" si="1">$C$23*D3/100</f>
        <v>0</v>
      </c>
      <c r="D3" s="6">
        <v>0</v>
      </c>
      <c r="E3" s="6">
        <f t="shared" si="0"/>
        <v>0</v>
      </c>
      <c r="F3" s="6">
        <v>0</v>
      </c>
      <c r="G3" s="6">
        <v>0</v>
      </c>
      <c r="H3" s="6">
        <f t="shared" ref="H3:H22" si="2">G3/$G$23*100</f>
        <v>0</v>
      </c>
      <c r="I3" s="6">
        <v>1</v>
      </c>
      <c r="J3" s="6">
        <f t="shared" ref="J3:J22" si="3">I3/$I$23*100</f>
        <v>4.5554621424859256</v>
      </c>
    </row>
    <row r="4" spans="1:10" ht="16.5" x14ac:dyDescent="0.25">
      <c r="A4" s="7" t="s">
        <v>20</v>
      </c>
      <c r="B4" s="7">
        <v>78.11</v>
      </c>
      <c r="C4" s="8">
        <f t="shared" si="1"/>
        <v>44.56129</v>
      </c>
      <c r="D4" s="8">
        <v>0.27489999999999998</v>
      </c>
      <c r="E4" s="8">
        <f t="shared" si="0"/>
        <v>0</v>
      </c>
      <c r="F4" s="8">
        <v>0</v>
      </c>
      <c r="G4" s="8">
        <f>IF(Тарелки=1,Экстрактор!C6,IF(Тарелки=2,Экстрактор!G6,IF(Тарелки=3,Экстрактор!K6,0)))</f>
        <v>5.5701612500000152E-3</v>
      </c>
      <c r="H4" s="8">
        <f t="shared" si="2"/>
        <v>3.4537075227232543E-5</v>
      </c>
      <c r="I4" s="8">
        <v>1</v>
      </c>
      <c r="J4" s="8">
        <f t="shared" si="3"/>
        <v>4.5554621424859256</v>
      </c>
    </row>
    <row r="5" spans="1:10" ht="16.5" x14ac:dyDescent="0.25">
      <c r="A5" s="7" t="s">
        <v>21</v>
      </c>
      <c r="B5" s="7">
        <v>62.14</v>
      </c>
      <c r="C5" s="8">
        <f t="shared" si="1"/>
        <v>28.3675</v>
      </c>
      <c r="D5" s="8">
        <v>0.17499999999999999</v>
      </c>
      <c r="E5" s="8">
        <f t="shared" si="0"/>
        <v>0</v>
      </c>
      <c r="F5" s="8">
        <v>0</v>
      </c>
      <c r="G5" s="8">
        <f>IF(Тарелки=1,Экстрактор!C7,IF(Тарелки=2,Экстрактор!G7,IF(Тарелки=3,Экстрактор!K7,0)))</f>
        <v>2.8367499999999983E-2</v>
      </c>
      <c r="H5" s="8">
        <f t="shared" si="2"/>
        <v>1.7588906990951401E-4</v>
      </c>
      <c r="I5" s="8">
        <v>1</v>
      </c>
      <c r="J5" s="8">
        <f t="shared" si="3"/>
        <v>4.5554621424859256</v>
      </c>
    </row>
    <row r="6" spans="1:10" ht="16.5" x14ac:dyDescent="0.25">
      <c r="A6" s="7" t="s">
        <v>22</v>
      </c>
      <c r="B6" s="7">
        <v>76.16</v>
      </c>
      <c r="C6" s="8">
        <f t="shared" si="1"/>
        <v>0.22694</v>
      </c>
      <c r="D6" s="8">
        <v>1.4E-3</v>
      </c>
      <c r="E6" s="8">
        <f t="shared" si="0"/>
        <v>0</v>
      </c>
      <c r="F6" s="8">
        <v>0</v>
      </c>
      <c r="G6" s="8">
        <f>IF(Тарелки=1,Экстрактор!C8,IF(Тарелки=2,Экстрактор!G8,IF(Тарелки=3,Экстрактор!K8,0)))</f>
        <v>6.1273800000000034E-3</v>
      </c>
      <c r="H6" s="8">
        <f t="shared" si="2"/>
        <v>3.799203910045507E-5</v>
      </c>
      <c r="I6" s="8">
        <v>1</v>
      </c>
      <c r="J6" s="8">
        <f t="shared" si="3"/>
        <v>4.5554621424859256</v>
      </c>
    </row>
    <row r="7" spans="1:10" ht="15.75" x14ac:dyDescent="0.25">
      <c r="A7" s="3" t="s">
        <v>0</v>
      </c>
      <c r="B7" s="3">
        <v>34.090000000000003</v>
      </c>
      <c r="C7" s="6">
        <f t="shared" si="1"/>
        <v>0.40525</v>
      </c>
      <c r="D7" s="6">
        <v>2.5000000000000001E-3</v>
      </c>
      <c r="E7" s="6">
        <f t="shared" si="0"/>
        <v>0</v>
      </c>
      <c r="F7" s="6">
        <v>0</v>
      </c>
      <c r="G7" s="77">
        <f>IF(Тарелки=1,Экстрактор!C9,IF(Тарелки=2,Экстрактор!G9,IF(Тарелки=3,Экстрактор!K9,0)))</f>
        <v>0</v>
      </c>
      <c r="H7" s="6">
        <f t="shared" si="2"/>
        <v>0</v>
      </c>
      <c r="I7" s="6">
        <v>1</v>
      </c>
      <c r="J7" s="6">
        <f t="shared" si="3"/>
        <v>4.5554621424859256</v>
      </c>
    </row>
    <row r="8" spans="1:10" ht="15.75" x14ac:dyDescent="0.25">
      <c r="A8" s="3" t="s">
        <v>1</v>
      </c>
      <c r="B8" s="3">
        <v>60.08</v>
      </c>
      <c r="C8" s="6">
        <f t="shared" si="1"/>
        <v>0.90776000000000001</v>
      </c>
      <c r="D8" s="6">
        <v>5.5999999999999999E-3</v>
      </c>
      <c r="E8" s="6">
        <f t="shared" si="0"/>
        <v>0</v>
      </c>
      <c r="F8" s="6">
        <v>0</v>
      </c>
      <c r="G8" s="77">
        <f>IF(Тарелки=1,Экстрактор!C10,IF(Тарелки=2,Экстрактор!G10,IF(Тарелки=3,Экстрактор!K10,0)))</f>
        <v>0.31136167999999997</v>
      </c>
      <c r="H8" s="6">
        <f t="shared" si="2"/>
        <v>1.9305584313268269E-3</v>
      </c>
      <c r="I8" s="6">
        <v>1</v>
      </c>
      <c r="J8" s="6">
        <f t="shared" si="3"/>
        <v>4.5554621424859256</v>
      </c>
    </row>
    <row r="9" spans="1:10" ht="15.75" x14ac:dyDescent="0.25">
      <c r="A9" s="3" t="s">
        <v>2</v>
      </c>
      <c r="B9" s="3">
        <v>76.150000000000006</v>
      </c>
      <c r="C9" s="6">
        <f t="shared" si="1"/>
        <v>0.16210000000000002</v>
      </c>
      <c r="D9" s="6">
        <v>1E-3</v>
      </c>
      <c r="E9" s="6">
        <f t="shared" si="0"/>
        <v>0</v>
      </c>
      <c r="F9" s="6">
        <v>0</v>
      </c>
      <c r="G9" s="77">
        <f>IF(Тарелки=1,Экстрактор!C11,IF(Тарелки=2,Экстрактор!G11,IF(Тарелки=3,Экстрактор!K11,0)))</f>
        <v>0.16210000000000002</v>
      </c>
      <c r="H9" s="6">
        <f t="shared" si="2"/>
        <v>1.0050803994829378E-3</v>
      </c>
      <c r="I9" s="6">
        <v>1</v>
      </c>
      <c r="J9" s="6">
        <f t="shared" si="3"/>
        <v>4.5554621424859256</v>
      </c>
    </row>
    <row r="10" spans="1:10" ht="15.75" x14ac:dyDescent="0.25">
      <c r="A10" s="3" t="s">
        <v>3</v>
      </c>
      <c r="B10" s="3">
        <v>18.02</v>
      </c>
      <c r="C10" s="6">
        <f t="shared" si="1"/>
        <v>5.49519</v>
      </c>
      <c r="D10" s="6">
        <v>3.39E-2</v>
      </c>
      <c r="E10" s="6">
        <f t="shared" si="0"/>
        <v>2997.5344154509967</v>
      </c>
      <c r="F10" s="6">
        <v>90</v>
      </c>
      <c r="G10" s="77">
        <f>IF(Тарелки=1,Экстрактор!C12,IF(Тарелки=2,Экстрактор!G12,IF(Тарелки=3,Экстрактор!K12,0)))</f>
        <v>5.4951899999981851E-9</v>
      </c>
      <c r="H10" s="6">
        <f t="shared" si="2"/>
        <v>3.4072225542460338E-11</v>
      </c>
      <c r="I10" s="6">
        <v>1</v>
      </c>
      <c r="J10" s="6">
        <f t="shared" si="3"/>
        <v>4.5554621424859256</v>
      </c>
    </row>
    <row r="11" spans="1:10" ht="15.75" x14ac:dyDescent="0.25">
      <c r="A11" s="3" t="s">
        <v>4</v>
      </c>
      <c r="B11" s="3">
        <v>40</v>
      </c>
      <c r="C11" s="6">
        <f t="shared" si="1"/>
        <v>0</v>
      </c>
      <c r="D11" s="6">
        <v>0</v>
      </c>
      <c r="E11" s="6">
        <f>$E$23*F11/100</f>
        <v>333.05937949455517</v>
      </c>
      <c r="F11" s="6">
        <v>10</v>
      </c>
      <c r="G11" s="77">
        <f>IF(Тарелки=1,Экстрактор!C13,IF(Тарелки=2,Экстрактор!G13,IF(Тарелки=3,Экстрактор!K13,0)))</f>
        <v>0</v>
      </c>
      <c r="H11" s="6">
        <f t="shared" si="2"/>
        <v>0</v>
      </c>
      <c r="I11" s="6">
        <v>1</v>
      </c>
      <c r="J11" s="6">
        <f t="shared" si="3"/>
        <v>4.5554621424859256</v>
      </c>
    </row>
    <row r="12" spans="1:10" ht="15.75" x14ac:dyDescent="0.25">
      <c r="A12" s="3" t="s">
        <v>5</v>
      </c>
      <c r="B12" s="3">
        <v>70.09</v>
      </c>
      <c r="C12" s="6">
        <f t="shared" si="1"/>
        <v>0</v>
      </c>
      <c r="D12" s="6">
        <v>0</v>
      </c>
      <c r="E12" s="6">
        <f t="shared" si="0"/>
        <v>0</v>
      </c>
      <c r="F12" s="6">
        <v>0</v>
      </c>
      <c r="G12" s="77">
        <f>IF(Тарелки=1,Экстрактор!C14,IF(Тарелки=2,Экстрактор!G14,IF(Тарелки=3,Экстрактор!K14,0)))</f>
        <v>0</v>
      </c>
      <c r="H12" s="6">
        <f t="shared" si="2"/>
        <v>0</v>
      </c>
      <c r="I12" s="6">
        <v>1</v>
      </c>
      <c r="J12" s="6">
        <f t="shared" si="3"/>
        <v>4.5554621424859256</v>
      </c>
    </row>
    <row r="13" spans="1:10" ht="15.75" x14ac:dyDescent="0.25">
      <c r="A13" s="3" t="s">
        <v>6</v>
      </c>
      <c r="B13" s="3">
        <v>84.12</v>
      </c>
      <c r="C13" s="6">
        <f t="shared" si="1"/>
        <v>0</v>
      </c>
      <c r="D13" s="6">
        <v>0</v>
      </c>
      <c r="E13" s="6">
        <f t="shared" si="0"/>
        <v>0</v>
      </c>
      <c r="F13" s="6">
        <v>0</v>
      </c>
      <c r="G13" s="77">
        <f>IF(Тарелки=1,Экстрактор!C15,IF(Тарелки=2,Экстрактор!G15,IF(Тарелки=3,Экстрактор!K15,0)))</f>
        <v>0</v>
      </c>
      <c r="H13" s="6">
        <f t="shared" si="2"/>
        <v>0</v>
      </c>
      <c r="I13" s="6">
        <v>1</v>
      </c>
      <c r="J13" s="6">
        <f t="shared" si="3"/>
        <v>4.5554621424859256</v>
      </c>
    </row>
    <row r="14" spans="1:10" ht="15.75" x14ac:dyDescent="0.25">
      <c r="A14" s="3" t="s">
        <v>7</v>
      </c>
      <c r="B14" s="3">
        <v>78.05</v>
      </c>
      <c r="C14" s="6">
        <f t="shared" si="1"/>
        <v>0</v>
      </c>
      <c r="D14" s="6">
        <v>0</v>
      </c>
      <c r="E14" s="6">
        <f t="shared" si="0"/>
        <v>0</v>
      </c>
      <c r="F14" s="6">
        <v>0</v>
      </c>
      <c r="G14" s="77">
        <f>IF(Тарелки=1,Экстрактор!C16,IF(Тарелки=2,Экстрактор!G16,IF(Тарелки=3,Экстрактор!K16,0)))</f>
        <v>0</v>
      </c>
      <c r="H14" s="6">
        <f t="shared" si="2"/>
        <v>0</v>
      </c>
      <c r="I14" s="6">
        <v>1</v>
      </c>
      <c r="J14" s="6">
        <f t="shared" si="3"/>
        <v>4.5554621424859256</v>
      </c>
    </row>
    <row r="15" spans="1:10" ht="15.75" x14ac:dyDescent="0.25">
      <c r="A15" s="3" t="s">
        <v>8</v>
      </c>
      <c r="B15" s="3">
        <v>126.21</v>
      </c>
      <c r="C15" s="6">
        <f t="shared" si="1"/>
        <v>0</v>
      </c>
      <c r="D15" s="6">
        <v>0</v>
      </c>
      <c r="E15" s="6">
        <f t="shared" si="0"/>
        <v>0</v>
      </c>
      <c r="F15" s="6">
        <v>0</v>
      </c>
      <c r="G15" s="77">
        <f>IF(Тарелки=1,Экстрактор!C17,IF(Тарелки=2,Экстрактор!G17,IF(Тарелки=3,Экстрактор!K17,0)))</f>
        <v>0</v>
      </c>
      <c r="H15" s="6">
        <f t="shared" si="2"/>
        <v>0</v>
      </c>
      <c r="I15" s="6">
        <v>1</v>
      </c>
      <c r="J15" s="6">
        <f t="shared" si="3"/>
        <v>4.5554621424859256</v>
      </c>
    </row>
    <row r="16" spans="1:10" ht="15.75" x14ac:dyDescent="0.25">
      <c r="A16" s="3" t="s">
        <v>9</v>
      </c>
      <c r="B16" s="3">
        <v>154.26</v>
      </c>
      <c r="C16" s="6">
        <f t="shared" si="1"/>
        <v>0</v>
      </c>
      <c r="D16" s="6">
        <v>0</v>
      </c>
      <c r="E16" s="6">
        <f t="shared" si="0"/>
        <v>0</v>
      </c>
      <c r="F16" s="6">
        <v>0</v>
      </c>
      <c r="G16" s="77">
        <f>IF(Тарелки=1,Экстрактор!C18,IF(Тарелки=2,Экстрактор!G18,IF(Тарелки=3,Экстрактор!K18,0)))</f>
        <v>0</v>
      </c>
      <c r="H16" s="6">
        <f t="shared" si="2"/>
        <v>0</v>
      </c>
      <c r="I16" s="6">
        <v>1</v>
      </c>
      <c r="J16" s="6">
        <f t="shared" si="3"/>
        <v>4.5554621424859256</v>
      </c>
    </row>
    <row r="17" spans="1:10" ht="15.75" x14ac:dyDescent="0.25">
      <c r="A17" s="3" t="s">
        <v>10</v>
      </c>
      <c r="B17" s="3">
        <v>94.21</v>
      </c>
      <c r="C17" s="6">
        <f t="shared" si="1"/>
        <v>0</v>
      </c>
      <c r="D17" s="6">
        <v>0</v>
      </c>
      <c r="E17" s="6">
        <f t="shared" si="0"/>
        <v>0</v>
      </c>
      <c r="F17" s="6">
        <v>0</v>
      </c>
      <c r="G17" s="77">
        <f>IF(Тарелки=1,Экстрактор!C19,IF(Тарелки=2,Экстрактор!G19,IF(Тарелки=3,Экстрактор!K19,0)))</f>
        <v>0</v>
      </c>
      <c r="H17" s="6">
        <f t="shared" si="2"/>
        <v>0</v>
      </c>
      <c r="I17" s="6">
        <v>1</v>
      </c>
      <c r="J17" s="6">
        <f t="shared" si="3"/>
        <v>4.5554621424859256</v>
      </c>
    </row>
    <row r="18" spans="1:10" ht="15.75" x14ac:dyDescent="0.25">
      <c r="A18" s="3" t="s">
        <v>11</v>
      </c>
      <c r="B18" s="3">
        <v>122.26</v>
      </c>
      <c r="C18" s="6">
        <f t="shared" si="1"/>
        <v>0</v>
      </c>
      <c r="D18" s="6">
        <v>0</v>
      </c>
      <c r="E18" s="6">
        <f t="shared" si="0"/>
        <v>0</v>
      </c>
      <c r="F18" s="6">
        <v>0</v>
      </c>
      <c r="G18" s="77">
        <f>IF(Тарелки=1,Экстрактор!C20,IF(Тарелки=2,Экстрактор!G20,IF(Тарелки=3,Экстрактор!K20,0)))</f>
        <v>0</v>
      </c>
      <c r="H18" s="6">
        <f t="shared" si="2"/>
        <v>0</v>
      </c>
      <c r="I18" s="6">
        <v>1</v>
      </c>
      <c r="J18" s="6">
        <f t="shared" si="3"/>
        <v>4.5554621424859256</v>
      </c>
    </row>
    <row r="19" spans="1:10" ht="15.75" x14ac:dyDescent="0.25">
      <c r="A19" s="3" t="s">
        <v>12</v>
      </c>
      <c r="B19" s="3">
        <v>142.05000000000001</v>
      </c>
      <c r="C19" s="6">
        <f t="shared" si="1"/>
        <v>0</v>
      </c>
      <c r="D19" s="6">
        <v>0</v>
      </c>
      <c r="E19" s="6">
        <f t="shared" si="0"/>
        <v>0</v>
      </c>
      <c r="F19" s="6">
        <v>0</v>
      </c>
      <c r="G19" s="77">
        <f>IF(Тарелки=1,Экстрактор!C21,IF(Тарелки=2,Экстрактор!G21,IF(Тарелки=3,Экстрактор!K21,0)))</f>
        <v>0</v>
      </c>
      <c r="H19" s="6">
        <f t="shared" si="2"/>
        <v>0</v>
      </c>
      <c r="I19" s="6">
        <v>1</v>
      </c>
      <c r="J19" s="6">
        <f t="shared" si="3"/>
        <v>4.5554621424859256</v>
      </c>
    </row>
    <row r="20" spans="1:10" ht="15.75" x14ac:dyDescent="0.25">
      <c r="A20" s="3" t="s">
        <v>13</v>
      </c>
      <c r="B20" s="3">
        <v>28.013400000000001</v>
      </c>
      <c r="C20" s="6">
        <f t="shared" si="1"/>
        <v>0</v>
      </c>
      <c r="D20" s="6">
        <v>0</v>
      </c>
      <c r="E20" s="6">
        <f t="shared" si="0"/>
        <v>0</v>
      </c>
      <c r="F20" s="6">
        <v>0</v>
      </c>
      <c r="G20" s="77">
        <f>IF(Тарелки=1,Экстрактор!C22,IF(Тарелки=2,Экстрактор!G22,IF(Тарелки=3,Экстрактор!K22,0)))</f>
        <v>0</v>
      </c>
      <c r="H20" s="6">
        <f t="shared" si="2"/>
        <v>0</v>
      </c>
      <c r="I20" s="6">
        <v>1</v>
      </c>
      <c r="J20" s="6">
        <f t="shared" si="3"/>
        <v>4.5554621424859256</v>
      </c>
    </row>
    <row r="21" spans="1:10" ht="15.75" x14ac:dyDescent="0.25">
      <c r="A21" s="3" t="s">
        <v>14</v>
      </c>
      <c r="B21" s="3">
        <v>31.998799999999999</v>
      </c>
      <c r="C21" s="6">
        <f t="shared" si="1"/>
        <v>0</v>
      </c>
      <c r="D21" s="6">
        <v>0</v>
      </c>
      <c r="E21" s="6">
        <f t="shared" si="0"/>
        <v>0</v>
      </c>
      <c r="F21" s="6">
        <v>0</v>
      </c>
      <c r="G21" s="77">
        <f>IF(Тарелки=1,Экстрактор!C23,IF(Тарелки=2,Экстрактор!G23,IF(Тарелки=3,Экстрактор!K23,0)))</f>
        <v>0</v>
      </c>
      <c r="H21" s="6">
        <f t="shared" si="2"/>
        <v>0</v>
      </c>
      <c r="I21" s="6">
        <v>1</v>
      </c>
      <c r="J21" s="6">
        <f t="shared" si="3"/>
        <v>4.5554621424859256</v>
      </c>
    </row>
    <row r="22" spans="1:10" ht="15.75" x14ac:dyDescent="0.25">
      <c r="A22" s="3" t="s">
        <v>19</v>
      </c>
      <c r="B22" s="3">
        <v>44.009500000000003</v>
      </c>
      <c r="C22" s="6">
        <f t="shared" si="1"/>
        <v>0.37282999999999999</v>
      </c>
      <c r="D22" s="6">
        <v>2.3E-3</v>
      </c>
      <c r="E22" s="6">
        <f t="shared" si="0"/>
        <v>0</v>
      </c>
      <c r="F22" s="6">
        <v>0</v>
      </c>
      <c r="G22" s="77">
        <f>IF(Тарелки=1,Экстрактор!C24,IF(Тарелки=2,Экстрактор!G24,IF(Тарелки=3,Экстрактор!K24,0)))</f>
        <v>0</v>
      </c>
      <c r="H22" s="6">
        <f t="shared" si="2"/>
        <v>0</v>
      </c>
      <c r="I22" s="6">
        <v>1</v>
      </c>
      <c r="J22" s="6">
        <f t="shared" si="3"/>
        <v>4.5554621424859256</v>
      </c>
    </row>
    <row r="23" spans="1:10" ht="15.75" x14ac:dyDescent="0.25">
      <c r="A23" s="3" t="s">
        <v>23</v>
      </c>
      <c r="B23" s="3"/>
      <c r="C23" s="6">
        <f>'Исходные данные'!B2</f>
        <v>16210</v>
      </c>
      <c r="D23" s="6">
        <f>SUM(D2:D22)</f>
        <v>100.00000000000001</v>
      </c>
      <c r="E23" s="6">
        <f>C23/4.867</f>
        <v>3330.5937949455515</v>
      </c>
      <c r="F23" s="6">
        <f>SUM(F2:F22)</f>
        <v>100</v>
      </c>
      <c r="G23" s="6">
        <f>SUM(G2:G22)</f>
        <v>16128.062997088802</v>
      </c>
      <c r="H23" s="6">
        <f>SUM(H2:H22)</f>
        <v>100</v>
      </c>
      <c r="I23" s="6">
        <f>SUM(I2:I22)</f>
        <v>21.95166963794145</v>
      </c>
      <c r="J23" s="6">
        <f>SUM(J2:J22)</f>
        <v>99.999999999999957</v>
      </c>
    </row>
    <row r="29" spans="1:10" x14ac:dyDescent="0.25">
      <c r="H29" s="5"/>
      <c r="I29" s="5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B102-81A7-4764-B91B-CDE9FA862ED9}">
  <dimension ref="A1:M152"/>
  <sheetViews>
    <sheetView workbookViewId="0">
      <selection activeCell="M20" sqref="M20"/>
    </sheetView>
  </sheetViews>
  <sheetFormatPr defaultRowHeight="15" x14ac:dyDescent="0.25"/>
  <cols>
    <col min="1" max="1" width="40.7109375" customWidth="1"/>
    <col min="2" max="2" width="19.7109375" customWidth="1"/>
    <col min="3" max="5" width="18.7109375" customWidth="1"/>
    <col min="6" max="6" width="19.7109375" customWidth="1"/>
    <col min="7" max="9" width="18.7109375" customWidth="1"/>
    <col min="10" max="10" width="19.7109375" customWidth="1"/>
    <col min="11" max="13" width="18.7109375" customWidth="1"/>
    <col min="14" max="14" width="9.140625" customWidth="1"/>
  </cols>
  <sheetData>
    <row r="1" spans="1:13" x14ac:dyDescent="0.25">
      <c r="A1" s="9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18.75" x14ac:dyDescent="0.3">
      <c r="A2" s="12" t="s">
        <v>32</v>
      </c>
      <c r="B2" s="13">
        <v>1</v>
      </c>
      <c r="C2" s="14"/>
      <c r="D2" s="14"/>
      <c r="E2" s="15"/>
      <c r="F2" s="16">
        <v>2</v>
      </c>
      <c r="G2" s="14"/>
      <c r="H2" s="14"/>
      <c r="I2" s="15"/>
      <c r="J2" s="17">
        <v>3</v>
      </c>
      <c r="K2" s="14"/>
      <c r="L2" s="14"/>
      <c r="M2" s="18"/>
    </row>
    <row r="3" spans="1:13" ht="37.5" x14ac:dyDescent="0.3">
      <c r="A3" s="19"/>
      <c r="B3" s="20" t="s">
        <v>33</v>
      </c>
      <c r="C3" s="21" t="s">
        <v>34</v>
      </c>
      <c r="D3" s="21" t="s">
        <v>35</v>
      </c>
      <c r="E3" s="21"/>
      <c r="F3" s="22" t="s">
        <v>33</v>
      </c>
      <c r="G3" s="21" t="s">
        <v>34</v>
      </c>
      <c r="H3" s="21" t="s">
        <v>35</v>
      </c>
      <c r="I3" s="21"/>
      <c r="J3" s="22" t="s">
        <v>33</v>
      </c>
      <c r="K3" s="21" t="s">
        <v>34</v>
      </c>
      <c r="L3" s="21" t="s">
        <v>35</v>
      </c>
      <c r="M3" s="23"/>
    </row>
    <row r="4" spans="1:13" ht="18.75" x14ac:dyDescent="0.25">
      <c r="A4" s="24" t="s">
        <v>15</v>
      </c>
      <c r="B4" s="25"/>
      <c r="C4" s="26">
        <f>Лист1!C2*0.999879</f>
        <v>16127.549470362059</v>
      </c>
      <c r="D4" s="27">
        <f>100%-SUM(D5:D24)</f>
        <v>0.99963207431345313</v>
      </c>
      <c r="E4" s="26"/>
      <c r="F4" s="25"/>
      <c r="G4" s="26">
        <f>C4</f>
        <v>16127.549470362059</v>
      </c>
      <c r="H4" s="27">
        <f>100%-SUM(H5:H24)</f>
        <v>0.99993662803199568</v>
      </c>
      <c r="I4" s="26"/>
      <c r="J4" s="25"/>
      <c r="K4" s="26">
        <f>'[1]Сводный материальный баланс'!B19-SUM('[1]С-301'!K5:K24)</f>
        <v>16128.992092616249</v>
      </c>
      <c r="L4" s="27">
        <f>100%-SUM(L5:L24)</f>
        <v>0.99996817013099137</v>
      </c>
      <c r="M4" s="23"/>
    </row>
    <row r="5" spans="1:13" ht="18.75" x14ac:dyDescent="0.25">
      <c r="A5" s="24" t="s">
        <v>36</v>
      </c>
      <c r="B5" s="28"/>
      <c r="C5" s="26">
        <f>Лист1!C3</f>
        <v>0</v>
      </c>
      <c r="D5" s="27">
        <f t="shared" ref="D5:D24" si="0">C5/$C$25*100%</f>
        <v>0</v>
      </c>
      <c r="E5" s="26"/>
      <c r="F5" s="28">
        <v>0</v>
      </c>
      <c r="G5" s="26">
        <f t="shared" ref="G5:G24" si="1">C5</f>
        <v>0</v>
      </c>
      <c r="H5" s="27">
        <f t="shared" ref="H5:H24" si="2">G5/$C$25*100%</f>
        <v>0</v>
      </c>
      <c r="I5" s="21"/>
      <c r="J5" s="28">
        <v>0</v>
      </c>
      <c r="K5" s="26">
        <f t="shared" ref="K5:K24" si="3">G5*J5</f>
        <v>0</v>
      </c>
      <c r="L5" s="27">
        <f t="shared" ref="L5:L24" si="4">K5/$C$25*100%</f>
        <v>0</v>
      </c>
      <c r="M5" s="23"/>
    </row>
    <row r="6" spans="1:13" ht="18.75" x14ac:dyDescent="0.25">
      <c r="A6" s="24" t="s">
        <v>37</v>
      </c>
      <c r="B6" s="28">
        <v>5.0000000000000044E-2</v>
      </c>
      <c r="C6" s="26">
        <f>Лист1!C4*B6</f>
        <v>2.2280645000000021</v>
      </c>
      <c r="D6" s="30">
        <f t="shared" si="0"/>
        <v>1.3810186984279443E-4</v>
      </c>
      <c r="E6" s="26"/>
      <c r="F6" s="28">
        <v>5.0000000000000044E-2</v>
      </c>
      <c r="G6" s="26">
        <f>C6*F6</f>
        <v>0.1114032250000002</v>
      </c>
      <c r="H6" s="30">
        <f t="shared" si="2"/>
        <v>6.9050934921397273E-6</v>
      </c>
      <c r="I6" s="21"/>
      <c r="J6" s="28">
        <v>5.0000000000000044E-2</v>
      </c>
      <c r="K6" s="29">
        <f t="shared" si="3"/>
        <v>5.5701612500000152E-3</v>
      </c>
      <c r="L6" s="30">
        <f t="shared" si="4"/>
        <v>3.4525467460698668E-7</v>
      </c>
      <c r="M6" s="23"/>
    </row>
    <row r="7" spans="1:13" ht="18.75" x14ac:dyDescent="0.25">
      <c r="A7" s="24" t="s">
        <v>38</v>
      </c>
      <c r="B7" s="28">
        <v>9.9999999999999978E-2</v>
      </c>
      <c r="C7" s="26">
        <f>Лист1!C5*B7</f>
        <v>2.8367499999999994</v>
      </c>
      <c r="D7" s="30">
        <f t="shared" si="0"/>
        <v>1.758299543287668E-4</v>
      </c>
      <c r="E7" s="26"/>
      <c r="F7" s="28">
        <v>9.9999999999999978E-2</v>
      </c>
      <c r="G7" s="26">
        <f t="shared" ref="G7:G24" si="5">C7*F7</f>
        <v>0.2836749999999999</v>
      </c>
      <c r="H7" s="30">
        <f t="shared" si="2"/>
        <v>1.7582995432876676E-5</v>
      </c>
      <c r="I7" s="21"/>
      <c r="J7" s="28">
        <v>9.9999999999999978E-2</v>
      </c>
      <c r="K7" s="29">
        <f t="shared" si="3"/>
        <v>2.8367499999999983E-2</v>
      </c>
      <c r="L7" s="30">
        <f t="shared" si="4"/>
        <v>1.7582995432876673E-6</v>
      </c>
      <c r="M7" s="23"/>
    </row>
    <row r="8" spans="1:13" ht="18.75" x14ac:dyDescent="0.25">
      <c r="A8" s="24" t="s">
        <v>39</v>
      </c>
      <c r="B8" s="28">
        <v>0.30000000000000004</v>
      </c>
      <c r="C8" s="26">
        <f>Лист1!C6*B8</f>
        <v>6.8082000000000018E-2</v>
      </c>
      <c r="D8" s="30">
        <f t="shared" si="0"/>
        <v>4.2199189038904049E-6</v>
      </c>
      <c r="E8" s="26"/>
      <c r="F8" s="28">
        <v>0.30000000000000004</v>
      </c>
      <c r="G8" s="26">
        <f t="shared" si="5"/>
        <v>2.0424600000000008E-2</v>
      </c>
      <c r="H8" s="30">
        <f t="shared" si="2"/>
        <v>1.2659756711671217E-6</v>
      </c>
      <c r="I8" s="21"/>
      <c r="J8" s="28">
        <v>0.30000000000000004</v>
      </c>
      <c r="K8" s="29">
        <f t="shared" si="3"/>
        <v>6.1273800000000034E-3</v>
      </c>
      <c r="L8" s="30">
        <f t="shared" si="4"/>
        <v>3.7979270135013657E-7</v>
      </c>
      <c r="M8" s="23"/>
    </row>
    <row r="9" spans="1:13" ht="18.75" x14ac:dyDescent="0.25">
      <c r="A9" s="24" t="s">
        <v>0</v>
      </c>
      <c r="B9" s="28">
        <v>0</v>
      </c>
      <c r="C9" s="26">
        <f>Лист1!C7*B9</f>
        <v>0</v>
      </c>
      <c r="D9" s="30">
        <f t="shared" si="0"/>
        <v>0</v>
      </c>
      <c r="E9" s="26"/>
      <c r="F9" s="28">
        <v>0</v>
      </c>
      <c r="G9" s="26">
        <f t="shared" si="5"/>
        <v>0</v>
      </c>
      <c r="H9" s="30">
        <f t="shared" si="2"/>
        <v>0</v>
      </c>
      <c r="I9" s="21"/>
      <c r="J9" s="28">
        <v>0</v>
      </c>
      <c r="K9" s="29">
        <f t="shared" si="3"/>
        <v>0</v>
      </c>
      <c r="L9" s="30">
        <f t="shared" si="4"/>
        <v>0</v>
      </c>
      <c r="M9" s="23"/>
    </row>
    <row r="10" spans="1:13" ht="18.75" x14ac:dyDescent="0.25">
      <c r="A10" s="24" t="s">
        <v>1</v>
      </c>
      <c r="B10" s="28">
        <v>0.7</v>
      </c>
      <c r="C10" s="26">
        <f>Лист1!C8*B10</f>
        <v>0.635432</v>
      </c>
      <c r="D10" s="30">
        <f t="shared" si="0"/>
        <v>3.9385909769643772E-5</v>
      </c>
      <c r="E10" s="26"/>
      <c r="F10" s="28">
        <v>0.7</v>
      </c>
      <c r="G10" s="26">
        <f t="shared" si="5"/>
        <v>0.44480239999999999</v>
      </c>
      <c r="H10" s="30">
        <f t="shared" si="2"/>
        <v>2.7570136838750639E-5</v>
      </c>
      <c r="I10" s="21"/>
      <c r="J10" s="28">
        <v>0.7</v>
      </c>
      <c r="K10" s="29">
        <f t="shared" si="3"/>
        <v>0.31136167999999997</v>
      </c>
      <c r="L10" s="30">
        <f t="shared" si="4"/>
        <v>1.9299095787125447E-5</v>
      </c>
      <c r="M10" s="23"/>
    </row>
    <row r="11" spans="1:13" ht="18.75" x14ac:dyDescent="0.25">
      <c r="A11" s="24" t="s">
        <v>2</v>
      </c>
      <c r="B11" s="28">
        <v>1</v>
      </c>
      <c r="C11" s="26">
        <f>Лист1!C9*B11</f>
        <v>0.16210000000000002</v>
      </c>
      <c r="D11" s="30">
        <f t="shared" si="0"/>
        <v>1.004742596164382E-5</v>
      </c>
      <c r="E11" s="26"/>
      <c r="F11" s="28">
        <v>1</v>
      </c>
      <c r="G11" s="26">
        <f t="shared" si="5"/>
        <v>0.16210000000000002</v>
      </c>
      <c r="H11" s="30">
        <f t="shared" si="2"/>
        <v>1.004742596164382E-5</v>
      </c>
      <c r="I11" s="21"/>
      <c r="J11" s="28">
        <v>1</v>
      </c>
      <c r="K11" s="29">
        <f t="shared" si="3"/>
        <v>0.16210000000000002</v>
      </c>
      <c r="L11" s="30">
        <f t="shared" si="4"/>
        <v>1.004742596164382E-5</v>
      </c>
      <c r="M11" s="23"/>
    </row>
    <row r="12" spans="1:13" ht="18.75" x14ac:dyDescent="0.25">
      <c r="A12" s="24" t="s">
        <v>3</v>
      </c>
      <c r="B12" s="28">
        <v>9.9999999999988987E-4</v>
      </c>
      <c r="C12" s="26">
        <f>Лист1!C10*B12</f>
        <v>5.4951899999993951E-3</v>
      </c>
      <c r="D12" s="30">
        <f t="shared" si="0"/>
        <v>3.4060774009968798E-7</v>
      </c>
      <c r="E12" s="26"/>
      <c r="F12" s="28">
        <v>9.9999999999988987E-4</v>
      </c>
      <c r="G12" s="26">
        <f t="shared" si="5"/>
        <v>5.4951899999987901E-6</v>
      </c>
      <c r="H12" s="30">
        <f t="shared" si="2"/>
        <v>3.4060774009965049E-10</v>
      </c>
      <c r="I12" s="21"/>
      <c r="J12" s="28">
        <v>9.9999999999988987E-4</v>
      </c>
      <c r="K12" s="29">
        <f t="shared" si="3"/>
        <v>5.4951899999981851E-9</v>
      </c>
      <c r="L12" s="30">
        <f t="shared" si="4"/>
        <v>3.4060774009961299E-13</v>
      </c>
      <c r="M12" s="23"/>
    </row>
    <row r="13" spans="1:13" ht="18.75" x14ac:dyDescent="0.25">
      <c r="A13" s="24" t="s">
        <v>4</v>
      </c>
      <c r="B13" s="28">
        <v>4.9999999999994493E-4</v>
      </c>
      <c r="C13" s="26">
        <f>Лист1!C11*B13</f>
        <v>0</v>
      </c>
      <c r="D13" s="30">
        <f t="shared" si="0"/>
        <v>0</v>
      </c>
      <c r="E13" s="26"/>
      <c r="F13" s="28">
        <v>4.9999999999994493E-4</v>
      </c>
      <c r="G13" s="26">
        <f t="shared" si="5"/>
        <v>0</v>
      </c>
      <c r="H13" s="30">
        <f t="shared" si="2"/>
        <v>0</v>
      </c>
      <c r="I13" s="21"/>
      <c r="J13" s="28">
        <v>4.9999999999994493E-4</v>
      </c>
      <c r="K13" s="29">
        <f t="shared" si="3"/>
        <v>0</v>
      </c>
      <c r="L13" s="30">
        <f t="shared" si="4"/>
        <v>0</v>
      </c>
      <c r="M13" s="23"/>
    </row>
    <row r="14" spans="1:13" ht="18.75" x14ac:dyDescent="0.25">
      <c r="A14" s="24" t="s">
        <v>5</v>
      </c>
      <c r="B14" s="28"/>
      <c r="C14" s="26">
        <f>Лист1!C12*B14</f>
        <v>0</v>
      </c>
      <c r="D14" s="27">
        <f t="shared" si="0"/>
        <v>0</v>
      </c>
      <c r="E14" s="26"/>
      <c r="F14" s="28">
        <v>0</v>
      </c>
      <c r="G14" s="26">
        <f t="shared" si="5"/>
        <v>0</v>
      </c>
      <c r="H14" s="27">
        <f t="shared" si="2"/>
        <v>0</v>
      </c>
      <c r="I14" s="21"/>
      <c r="J14" s="28">
        <v>0</v>
      </c>
      <c r="K14" s="29">
        <f t="shared" si="3"/>
        <v>0</v>
      </c>
      <c r="L14" s="27">
        <f t="shared" si="4"/>
        <v>0</v>
      </c>
      <c r="M14" s="23"/>
    </row>
    <row r="15" spans="1:13" ht="18.75" x14ac:dyDescent="0.25">
      <c r="A15" s="24" t="s">
        <v>6</v>
      </c>
      <c r="B15" s="28"/>
      <c r="C15" s="26">
        <f>Лист1!C13*B15</f>
        <v>0</v>
      </c>
      <c r="D15" s="27">
        <f t="shared" si="0"/>
        <v>0</v>
      </c>
      <c r="E15" s="26"/>
      <c r="F15" s="28">
        <v>0</v>
      </c>
      <c r="G15" s="26">
        <f t="shared" si="5"/>
        <v>0</v>
      </c>
      <c r="H15" s="27">
        <f t="shared" si="2"/>
        <v>0</v>
      </c>
      <c r="I15" s="21"/>
      <c r="J15" s="28">
        <v>0</v>
      </c>
      <c r="K15" s="29">
        <f t="shared" si="3"/>
        <v>0</v>
      </c>
      <c r="L15" s="27">
        <f t="shared" si="4"/>
        <v>0</v>
      </c>
      <c r="M15" s="23"/>
    </row>
    <row r="16" spans="1:13" ht="18.75" x14ac:dyDescent="0.25">
      <c r="A16" s="24" t="s">
        <v>7</v>
      </c>
      <c r="B16" s="28"/>
      <c r="C16" s="26">
        <f>Лист1!C14*B16</f>
        <v>0</v>
      </c>
      <c r="D16" s="27">
        <f t="shared" si="0"/>
        <v>0</v>
      </c>
      <c r="E16" s="26"/>
      <c r="F16" s="28">
        <v>0</v>
      </c>
      <c r="G16" s="26">
        <f t="shared" si="5"/>
        <v>0</v>
      </c>
      <c r="H16" s="27">
        <f t="shared" si="2"/>
        <v>0</v>
      </c>
      <c r="I16" s="21"/>
      <c r="J16" s="28">
        <v>0</v>
      </c>
      <c r="K16" s="29">
        <f t="shared" si="3"/>
        <v>0</v>
      </c>
      <c r="L16" s="27">
        <f t="shared" si="4"/>
        <v>0</v>
      </c>
      <c r="M16" s="23"/>
    </row>
    <row r="17" spans="1:13" ht="18.75" x14ac:dyDescent="0.25">
      <c r="A17" s="24" t="s">
        <v>8</v>
      </c>
      <c r="B17" s="28"/>
      <c r="C17" s="26">
        <f>Лист1!C15*B17</f>
        <v>0</v>
      </c>
      <c r="D17" s="27">
        <f t="shared" si="0"/>
        <v>0</v>
      </c>
      <c r="E17" s="26"/>
      <c r="F17" s="28">
        <v>0</v>
      </c>
      <c r="G17" s="26">
        <f t="shared" si="5"/>
        <v>0</v>
      </c>
      <c r="H17" s="27">
        <f t="shared" si="2"/>
        <v>0</v>
      </c>
      <c r="I17" s="21"/>
      <c r="J17" s="28">
        <v>0</v>
      </c>
      <c r="K17" s="29">
        <f t="shared" si="3"/>
        <v>0</v>
      </c>
      <c r="L17" s="27">
        <f t="shared" si="4"/>
        <v>0</v>
      </c>
      <c r="M17" s="23"/>
    </row>
    <row r="18" spans="1:13" ht="18.75" x14ac:dyDescent="0.25">
      <c r="A18" s="24" t="s">
        <v>9</v>
      </c>
      <c r="B18" s="28"/>
      <c r="C18" s="26">
        <f>Лист1!C16*B18</f>
        <v>0</v>
      </c>
      <c r="D18" s="27">
        <f t="shared" si="0"/>
        <v>0</v>
      </c>
      <c r="E18" s="26"/>
      <c r="F18" s="28">
        <v>0</v>
      </c>
      <c r="G18" s="26">
        <f t="shared" si="5"/>
        <v>0</v>
      </c>
      <c r="H18" s="27">
        <f t="shared" si="2"/>
        <v>0</v>
      </c>
      <c r="I18" s="21"/>
      <c r="J18" s="28">
        <v>0</v>
      </c>
      <c r="K18" s="29">
        <f t="shared" si="3"/>
        <v>0</v>
      </c>
      <c r="L18" s="27">
        <f t="shared" si="4"/>
        <v>0</v>
      </c>
      <c r="M18" s="23"/>
    </row>
    <row r="19" spans="1:13" ht="18.75" x14ac:dyDescent="0.25">
      <c r="A19" s="24" t="s">
        <v>10</v>
      </c>
      <c r="B19" s="28"/>
      <c r="C19" s="26">
        <f>Лист1!C17*B19</f>
        <v>0</v>
      </c>
      <c r="D19" s="27">
        <f t="shared" si="0"/>
        <v>0</v>
      </c>
      <c r="E19" s="26"/>
      <c r="F19" s="28">
        <v>0</v>
      </c>
      <c r="G19" s="26">
        <f t="shared" si="5"/>
        <v>0</v>
      </c>
      <c r="H19" s="27">
        <f t="shared" si="2"/>
        <v>0</v>
      </c>
      <c r="I19" s="21"/>
      <c r="J19" s="28">
        <v>0</v>
      </c>
      <c r="K19" s="29">
        <f t="shared" si="3"/>
        <v>0</v>
      </c>
      <c r="L19" s="27">
        <f t="shared" si="4"/>
        <v>0</v>
      </c>
      <c r="M19" s="23"/>
    </row>
    <row r="20" spans="1:13" ht="18.75" x14ac:dyDescent="0.25">
      <c r="A20" s="24" t="s">
        <v>11</v>
      </c>
      <c r="B20" s="28"/>
      <c r="C20" s="26">
        <f>Лист1!C18*B20</f>
        <v>0</v>
      </c>
      <c r="D20" s="27">
        <f t="shared" si="0"/>
        <v>0</v>
      </c>
      <c r="E20" s="21"/>
      <c r="F20" s="28">
        <v>0</v>
      </c>
      <c r="G20" s="26">
        <f t="shared" si="5"/>
        <v>0</v>
      </c>
      <c r="H20" s="27">
        <f t="shared" si="2"/>
        <v>0</v>
      </c>
      <c r="I20" s="21"/>
      <c r="J20" s="28">
        <v>0</v>
      </c>
      <c r="K20" s="29">
        <f t="shared" si="3"/>
        <v>0</v>
      </c>
      <c r="L20" s="27">
        <f t="shared" si="4"/>
        <v>0</v>
      </c>
      <c r="M20" s="23"/>
    </row>
    <row r="21" spans="1:13" ht="18.75" x14ac:dyDescent="0.25">
      <c r="A21" s="24" t="s">
        <v>12</v>
      </c>
      <c r="B21" s="28"/>
      <c r="C21" s="26">
        <f>Лист1!C19*B21</f>
        <v>0</v>
      </c>
      <c r="D21" s="27">
        <f t="shared" si="0"/>
        <v>0</v>
      </c>
      <c r="E21" s="21"/>
      <c r="F21" s="28">
        <v>0</v>
      </c>
      <c r="G21" s="26">
        <f t="shared" si="5"/>
        <v>0</v>
      </c>
      <c r="H21" s="27">
        <f t="shared" si="2"/>
        <v>0</v>
      </c>
      <c r="I21" s="21"/>
      <c r="J21" s="28">
        <v>0</v>
      </c>
      <c r="K21" s="29">
        <f t="shared" si="3"/>
        <v>0</v>
      </c>
      <c r="L21" s="27">
        <f t="shared" si="4"/>
        <v>0</v>
      </c>
      <c r="M21" s="23"/>
    </row>
    <row r="22" spans="1:13" ht="18.75" x14ac:dyDescent="0.25">
      <c r="A22" s="24" t="s">
        <v>40</v>
      </c>
      <c r="B22" s="28"/>
      <c r="C22" s="26">
        <f>Лист1!C20*B22</f>
        <v>0</v>
      </c>
      <c r="D22" s="27">
        <f t="shared" si="0"/>
        <v>0</v>
      </c>
      <c r="E22" s="21"/>
      <c r="F22" s="28">
        <v>0</v>
      </c>
      <c r="G22" s="26">
        <f t="shared" si="5"/>
        <v>0</v>
      </c>
      <c r="H22" s="27">
        <f t="shared" si="2"/>
        <v>0</v>
      </c>
      <c r="I22" s="21"/>
      <c r="J22" s="28">
        <v>0</v>
      </c>
      <c r="K22" s="29">
        <f t="shared" si="3"/>
        <v>0</v>
      </c>
      <c r="L22" s="27">
        <f t="shared" si="4"/>
        <v>0</v>
      </c>
      <c r="M22" s="23"/>
    </row>
    <row r="23" spans="1:13" ht="18.75" x14ac:dyDescent="0.25">
      <c r="A23" s="24" t="s">
        <v>41</v>
      </c>
      <c r="B23" s="28"/>
      <c r="C23" s="26">
        <f>Лист1!C21*B23</f>
        <v>0</v>
      </c>
      <c r="D23" s="27">
        <f t="shared" si="0"/>
        <v>0</v>
      </c>
      <c r="E23" s="21"/>
      <c r="F23" s="28">
        <v>0</v>
      </c>
      <c r="G23" s="26">
        <f t="shared" si="5"/>
        <v>0</v>
      </c>
      <c r="H23" s="27">
        <f t="shared" si="2"/>
        <v>0</v>
      </c>
      <c r="I23" s="21"/>
      <c r="J23" s="28">
        <v>0</v>
      </c>
      <c r="K23" s="29">
        <f t="shared" si="3"/>
        <v>0</v>
      </c>
      <c r="L23" s="27">
        <f t="shared" si="4"/>
        <v>0</v>
      </c>
      <c r="M23" s="23"/>
    </row>
    <row r="24" spans="1:13" ht="18.75" x14ac:dyDescent="0.25">
      <c r="A24" s="24" t="s">
        <v>42</v>
      </c>
      <c r="B24" s="28">
        <v>0</v>
      </c>
      <c r="C24" s="26">
        <f>Лист1!C22*B24</f>
        <v>0</v>
      </c>
      <c r="D24" s="27">
        <f t="shared" si="0"/>
        <v>0</v>
      </c>
      <c r="E24" s="21"/>
      <c r="F24" s="28">
        <v>0</v>
      </c>
      <c r="G24" s="26">
        <f t="shared" si="5"/>
        <v>0</v>
      </c>
      <c r="H24" s="27">
        <f t="shared" si="2"/>
        <v>0</v>
      </c>
      <c r="I24" s="21"/>
      <c r="J24" s="28">
        <v>0</v>
      </c>
      <c r="K24" s="29">
        <f t="shared" si="3"/>
        <v>0</v>
      </c>
      <c r="L24" s="27">
        <f t="shared" si="4"/>
        <v>0</v>
      </c>
      <c r="M24" s="23"/>
    </row>
    <row r="25" spans="1:13" ht="18.75" x14ac:dyDescent="0.3">
      <c r="A25" s="31" t="s">
        <v>23</v>
      </c>
      <c r="B25" s="32"/>
      <c r="C25" s="33">
        <f t="shared" ref="C25:D25" si="6">SUM(C4:C24)</f>
        <v>16133.485394052057</v>
      </c>
      <c r="D25" s="34">
        <f t="shared" si="6"/>
        <v>0.99999999999999989</v>
      </c>
      <c r="E25" s="32"/>
      <c r="F25" s="32"/>
      <c r="G25" s="33">
        <f t="shared" ref="G25:H25" si="7">SUM(G4:G24)</f>
        <v>16128.571881082249</v>
      </c>
      <c r="H25" s="34">
        <f t="shared" si="7"/>
        <v>1</v>
      </c>
      <c r="I25" s="32"/>
      <c r="J25" s="32"/>
      <c r="K25" s="33">
        <f t="shared" ref="K25:L25" si="8">SUM(K4:K24)</f>
        <v>16129.505619342992</v>
      </c>
      <c r="L25" s="34">
        <f t="shared" si="8"/>
        <v>1</v>
      </c>
      <c r="M25" s="35"/>
    </row>
    <row r="26" spans="1:13" ht="18.75" x14ac:dyDescent="0.3">
      <c r="A26" s="36" t="s">
        <v>43</v>
      </c>
      <c r="B26" s="13">
        <v>1</v>
      </c>
      <c r="C26" s="14"/>
      <c r="D26" s="14"/>
      <c r="E26" s="15"/>
      <c r="F26" s="16">
        <v>2</v>
      </c>
      <c r="G26" s="14"/>
      <c r="H26" s="14"/>
      <c r="I26" s="15"/>
      <c r="J26" s="17">
        <v>3</v>
      </c>
      <c r="K26" s="14"/>
      <c r="L26" s="14"/>
      <c r="M26" s="18"/>
    </row>
    <row r="27" spans="1:13" ht="37.5" x14ac:dyDescent="0.25">
      <c r="A27" s="19"/>
      <c r="B27" s="22" t="s">
        <v>33</v>
      </c>
      <c r="C27" s="21" t="s">
        <v>34</v>
      </c>
      <c r="D27" s="21" t="s">
        <v>35</v>
      </c>
      <c r="E27" s="21"/>
      <c r="F27" s="22" t="s">
        <v>33</v>
      </c>
      <c r="G27" s="21" t="s">
        <v>34</v>
      </c>
      <c r="H27" s="21" t="s">
        <v>35</v>
      </c>
      <c r="I27" s="21"/>
      <c r="J27" s="22" t="s">
        <v>33</v>
      </c>
      <c r="K27" s="21" t="s">
        <v>34</v>
      </c>
      <c r="L27" s="21" t="s">
        <v>35</v>
      </c>
      <c r="M27" s="23"/>
    </row>
    <row r="28" spans="1:13" ht="18.75" x14ac:dyDescent="0.25">
      <c r="A28" s="24" t="s">
        <v>15</v>
      </c>
      <c r="B28" s="25"/>
      <c r="C28" s="26">
        <f>'[1]Сводный материальный баланс'!B19-'[1]С-301'!C4</f>
        <v>9.1022386183794879</v>
      </c>
      <c r="D28" s="27">
        <f>100%-SUM(D29:D48)</f>
        <v>2.6688922332649412E-3</v>
      </c>
      <c r="E28" s="26"/>
      <c r="F28" s="25"/>
      <c r="G28" s="26">
        <f>'[1]Сводный материальный баланс'!B19-'[1]С-301'!G4</f>
        <v>1.0273813800140488</v>
      </c>
      <c r="H28" s="27">
        <f>100%-SUM(H29:H48)</f>
        <v>0.78967247632421522</v>
      </c>
      <c r="I28" s="26"/>
      <c r="J28" s="25"/>
      <c r="K28" s="26">
        <f>'[1]Сводный материальный баланс'!B19-'[1]С-301'!K4</f>
        <v>0.51478033659623179</v>
      </c>
      <c r="L28" s="27">
        <f>100%-SUM(L29:L48)</f>
        <v>0.79014120679442945</v>
      </c>
      <c r="M28" s="23"/>
    </row>
    <row r="29" spans="1:13" ht="18.75" x14ac:dyDescent="0.25">
      <c r="A29" s="24" t="s">
        <v>36</v>
      </c>
      <c r="B29" s="37"/>
      <c r="C29" s="38">
        <f>'[1]Сводный материальный баланс'!B20*'[1]С-301'!B29</f>
        <v>0</v>
      </c>
      <c r="D29" s="39">
        <v>0</v>
      </c>
      <c r="E29" s="26"/>
      <c r="F29" s="37"/>
      <c r="G29" s="40">
        <f t="shared" ref="G29:G48" si="9">C29*F29</f>
        <v>0</v>
      </c>
      <c r="H29" s="39">
        <f t="shared" ref="H29:H48" si="10">G29/$C$25*100%</f>
        <v>0</v>
      </c>
      <c r="I29" s="26"/>
      <c r="J29" s="37"/>
      <c r="K29" s="40">
        <f t="shared" ref="K29:K48" si="11">G29*J29</f>
        <v>0</v>
      </c>
      <c r="L29" s="39">
        <f t="shared" ref="L29:L48" si="12">K29/$C$25*100%</f>
        <v>0</v>
      </c>
      <c r="M29" s="23"/>
    </row>
    <row r="30" spans="1:13" ht="18.75" x14ac:dyDescent="0.25">
      <c r="A30" s="24" t="s">
        <v>37</v>
      </c>
      <c r="B30" s="37">
        <f t="shared" ref="B30:B37" si="13">100%-B6</f>
        <v>0.95</v>
      </c>
      <c r="C30" s="41">
        <f>'[1]Сводный материальный баланс'!B21*'[1]С-301'!B30</f>
        <v>42.353250036957341</v>
      </c>
      <c r="D30" s="30">
        <f t="shared" ref="D30:D48" si="14">C30/$C$49*100%</f>
        <v>1.2418512062397049E-2</v>
      </c>
      <c r="E30" s="26"/>
      <c r="F30" s="37">
        <f t="shared" ref="F30:F37" si="15">B30</f>
        <v>0.95</v>
      </c>
      <c r="G30" s="29">
        <f t="shared" si="9"/>
        <v>40.235587535109474</v>
      </c>
      <c r="H30" s="30">
        <f t="shared" si="10"/>
        <v>2.4939178703408476E-3</v>
      </c>
      <c r="I30" s="26"/>
      <c r="J30" s="37">
        <f t="shared" ref="J30:J37" si="16">B30</f>
        <v>0.95</v>
      </c>
      <c r="K30" s="29">
        <f t="shared" si="11"/>
        <v>38.223808158353997</v>
      </c>
      <c r="L30" s="30">
        <f t="shared" si="12"/>
        <v>2.3692219768238049E-3</v>
      </c>
      <c r="M30" s="23"/>
    </row>
    <row r="31" spans="1:13" ht="18.75" x14ac:dyDescent="0.25">
      <c r="A31" s="24" t="s">
        <v>38</v>
      </c>
      <c r="B31" s="37">
        <f t="shared" si="13"/>
        <v>0.9</v>
      </c>
      <c r="C31" s="41">
        <f>'[1]Сводный материальный баланс'!B22*'[1]С-301'!B31</f>
        <v>25.514506633607787</v>
      </c>
      <c r="D31" s="30">
        <f t="shared" si="14"/>
        <v>7.4811781414432987E-3</v>
      </c>
      <c r="E31" s="26"/>
      <c r="F31" s="37">
        <f t="shared" si="15"/>
        <v>0.9</v>
      </c>
      <c r="G31" s="29">
        <f t="shared" si="9"/>
        <v>22.963055970247009</v>
      </c>
      <c r="H31" s="30">
        <f t="shared" si="10"/>
        <v>1.423316500395681E-3</v>
      </c>
      <c r="I31" s="26"/>
      <c r="J31" s="37">
        <f t="shared" si="16"/>
        <v>0.9</v>
      </c>
      <c r="K31" s="29">
        <f t="shared" si="11"/>
        <v>20.666750373222307</v>
      </c>
      <c r="L31" s="30">
        <f t="shared" si="12"/>
        <v>1.2809848503561128E-3</v>
      </c>
      <c r="M31" s="23"/>
    </row>
    <row r="32" spans="1:13" ht="18.75" x14ac:dyDescent="0.25">
      <c r="A32" s="24" t="s">
        <v>39</v>
      </c>
      <c r="B32" s="37">
        <f t="shared" si="13"/>
        <v>0.7</v>
      </c>
      <c r="C32" s="41">
        <f>'[1]Сводный материальный баланс'!B23*'[1]С-301'!B32</f>
        <v>0.16171173652694609</v>
      </c>
      <c r="D32" s="30">
        <f t="shared" si="14"/>
        <v>4.7415939719825195E-5</v>
      </c>
      <c r="E32" s="26"/>
      <c r="F32" s="37">
        <f t="shared" si="15"/>
        <v>0.7</v>
      </c>
      <c r="G32" s="29">
        <f t="shared" si="9"/>
        <v>0.11319821556886225</v>
      </c>
      <c r="H32" s="30">
        <f t="shared" si="10"/>
        <v>7.016352189502407E-6</v>
      </c>
      <c r="I32" s="26"/>
      <c r="J32" s="37">
        <f t="shared" si="16"/>
        <v>0.7</v>
      </c>
      <c r="K32" s="29">
        <f t="shared" si="11"/>
        <v>7.9238750898203578E-2</v>
      </c>
      <c r="L32" s="30">
        <f t="shared" si="12"/>
        <v>4.911446532651685E-6</v>
      </c>
      <c r="M32" s="23"/>
    </row>
    <row r="33" spans="1:13" ht="18.75" x14ac:dyDescent="0.25">
      <c r="A33" s="24" t="s">
        <v>0</v>
      </c>
      <c r="B33" s="37">
        <f t="shared" si="13"/>
        <v>1</v>
      </c>
      <c r="C33" s="41">
        <f>'[1]Сводный материальный баланс'!B24*'[1]С-301'!B33</f>
        <v>0.40525</v>
      </c>
      <c r="D33" s="30">
        <f t="shared" si="14"/>
        <v>1.188244587816748E-4</v>
      </c>
      <c r="E33" s="26"/>
      <c r="F33" s="37">
        <f t="shared" si="15"/>
        <v>1</v>
      </c>
      <c r="G33" s="29">
        <f t="shared" si="9"/>
        <v>0.40525</v>
      </c>
      <c r="H33" s="30">
        <f t="shared" si="10"/>
        <v>2.5118564904109549E-5</v>
      </c>
      <c r="I33" s="26"/>
      <c r="J33" s="37">
        <f t="shared" si="16"/>
        <v>1</v>
      </c>
      <c r="K33" s="29">
        <f t="shared" si="11"/>
        <v>0.40525</v>
      </c>
      <c r="L33" s="30">
        <f t="shared" si="12"/>
        <v>2.5118564904109549E-5</v>
      </c>
      <c r="M33" s="23"/>
    </row>
    <row r="34" spans="1:13" ht="18.75" x14ac:dyDescent="0.25">
      <c r="A34" s="24" t="s">
        <v>1</v>
      </c>
      <c r="B34" s="37">
        <f t="shared" si="13"/>
        <v>0.30000000000000004</v>
      </c>
      <c r="C34" s="41">
        <f>'[1]Сводный материальный баланс'!B25*'[1]С-301'!B34</f>
        <v>0.27333900168413183</v>
      </c>
      <c r="D34" s="30">
        <f t="shared" si="14"/>
        <v>8.0146474864997559E-5</v>
      </c>
      <c r="E34" s="26"/>
      <c r="F34" s="37">
        <f t="shared" si="15"/>
        <v>0.30000000000000004</v>
      </c>
      <c r="G34" s="29">
        <f t="shared" si="9"/>
        <v>8.2001700505239555E-2</v>
      </c>
      <c r="H34" s="30">
        <f t="shared" si="10"/>
        <v>5.0827021255723931E-6</v>
      </c>
      <c r="I34" s="26"/>
      <c r="J34" s="37">
        <f t="shared" si="16"/>
        <v>0.30000000000000004</v>
      </c>
      <c r="K34" s="29">
        <f t="shared" si="11"/>
        <v>2.4600510151571869E-2</v>
      </c>
      <c r="L34" s="30">
        <f t="shared" si="12"/>
        <v>1.5248106376717182E-6</v>
      </c>
      <c r="M34" s="23"/>
    </row>
    <row r="35" spans="1:13" ht="18.75" x14ac:dyDescent="0.25">
      <c r="A35" s="24" t="s">
        <v>2</v>
      </c>
      <c r="B35" s="37">
        <f t="shared" si="13"/>
        <v>0</v>
      </c>
      <c r="C35" s="29">
        <f>'[1]Сводный материальный баланс'!B26*'[1]С-301'!B35</f>
        <v>0</v>
      </c>
      <c r="D35" s="30">
        <f t="shared" si="14"/>
        <v>0</v>
      </c>
      <c r="E35" s="26"/>
      <c r="F35" s="37">
        <f t="shared" si="15"/>
        <v>0</v>
      </c>
      <c r="G35" s="29">
        <f t="shared" si="9"/>
        <v>0</v>
      </c>
      <c r="H35" s="30">
        <f t="shared" si="10"/>
        <v>0</v>
      </c>
      <c r="I35" s="26"/>
      <c r="J35" s="37">
        <f t="shared" si="16"/>
        <v>0</v>
      </c>
      <c r="K35" s="29">
        <f t="shared" si="11"/>
        <v>0</v>
      </c>
      <c r="L35" s="30">
        <f t="shared" si="12"/>
        <v>0</v>
      </c>
      <c r="M35" s="23"/>
    </row>
    <row r="36" spans="1:13" ht="18.75" x14ac:dyDescent="0.25">
      <c r="A36" s="24" t="s">
        <v>3</v>
      </c>
      <c r="B36" s="37">
        <f t="shared" si="13"/>
        <v>0.99900000000000011</v>
      </c>
      <c r="C36" s="29">
        <f>('[1]Сводный материальный баланс'!B27+'[1]Сводный материальный баланс'!H27)*'[1]С-301'!B36</f>
        <v>2999.4765010200003</v>
      </c>
      <c r="D36" s="30">
        <f t="shared" si="14"/>
        <v>0.879484693058737</v>
      </c>
      <c r="E36" s="26"/>
      <c r="F36" s="37">
        <f t="shared" si="15"/>
        <v>0.99900000000000011</v>
      </c>
      <c r="G36" s="29">
        <f t="shared" si="9"/>
        <v>2996.4770245189807</v>
      </c>
      <c r="H36" s="30">
        <f t="shared" si="10"/>
        <v>0.1857302964196251</v>
      </c>
      <c r="I36" s="26"/>
      <c r="J36" s="37">
        <f t="shared" si="16"/>
        <v>0.99900000000000011</v>
      </c>
      <c r="K36" s="29">
        <f t="shared" si="11"/>
        <v>2993.4805474944619</v>
      </c>
      <c r="L36" s="30">
        <f t="shared" si="12"/>
        <v>0.1855445661232055</v>
      </c>
      <c r="M36" s="23"/>
    </row>
    <row r="37" spans="1:13" ht="18.75" x14ac:dyDescent="0.25">
      <c r="A37" s="24" t="s">
        <v>4</v>
      </c>
      <c r="B37" s="37">
        <f t="shared" si="13"/>
        <v>0.99950000000000006</v>
      </c>
      <c r="C37" s="29">
        <f>'[1]Сводный материальный баланс'!H28*'[1]С-301'!B37</f>
        <v>332.83350000000002</v>
      </c>
      <c r="D37" s="30">
        <f t="shared" si="14"/>
        <v>9.7591019128712056E-2</v>
      </c>
      <c r="E37" s="26"/>
      <c r="F37" s="37">
        <f t="shared" si="15"/>
        <v>0.99950000000000006</v>
      </c>
      <c r="G37" s="29">
        <f t="shared" si="9"/>
        <v>332.66708325000002</v>
      </c>
      <c r="H37" s="30">
        <f t="shared" si="10"/>
        <v>2.0619666186492139E-2</v>
      </c>
      <c r="I37" s="26"/>
      <c r="J37" s="37">
        <f t="shared" si="16"/>
        <v>0.99950000000000006</v>
      </c>
      <c r="K37" s="29">
        <f t="shared" si="11"/>
        <v>332.50074970837505</v>
      </c>
      <c r="L37" s="30">
        <f t="shared" si="12"/>
        <v>2.0609356353398896E-2</v>
      </c>
      <c r="M37" s="23"/>
    </row>
    <row r="38" spans="1:13" ht="18.75" x14ac:dyDescent="0.25">
      <c r="A38" s="24" t="s">
        <v>5</v>
      </c>
      <c r="B38" s="37"/>
      <c r="C38" s="38">
        <f>'[1]Сводный материальный баланс'!H28*'[1]С-301'!B38</f>
        <v>0</v>
      </c>
      <c r="D38" s="39">
        <f t="shared" si="14"/>
        <v>0</v>
      </c>
      <c r="E38" s="26"/>
      <c r="F38" s="37"/>
      <c r="G38" s="40">
        <f t="shared" si="9"/>
        <v>0</v>
      </c>
      <c r="H38" s="39">
        <f t="shared" si="10"/>
        <v>0</v>
      </c>
      <c r="I38" s="26"/>
      <c r="J38" s="37"/>
      <c r="K38" s="40">
        <f t="shared" si="11"/>
        <v>0</v>
      </c>
      <c r="L38" s="39">
        <f t="shared" si="12"/>
        <v>0</v>
      </c>
      <c r="M38" s="23"/>
    </row>
    <row r="39" spans="1:13" ht="18.75" x14ac:dyDescent="0.25">
      <c r="A39" s="24" t="s">
        <v>6</v>
      </c>
      <c r="B39" s="37"/>
      <c r="C39" s="38">
        <f>'[1]Сводный материальный баланс'!B53*'[1]С-301'!B39</f>
        <v>0</v>
      </c>
      <c r="D39" s="39">
        <f t="shared" si="14"/>
        <v>0</v>
      </c>
      <c r="E39" s="26"/>
      <c r="F39" s="37"/>
      <c r="G39" s="40">
        <f t="shared" si="9"/>
        <v>0</v>
      </c>
      <c r="H39" s="39">
        <f t="shared" si="10"/>
        <v>0</v>
      </c>
      <c r="I39" s="26"/>
      <c r="J39" s="37"/>
      <c r="K39" s="40">
        <f t="shared" si="11"/>
        <v>0</v>
      </c>
      <c r="L39" s="39">
        <f t="shared" si="12"/>
        <v>0</v>
      </c>
      <c r="M39" s="23"/>
    </row>
    <row r="40" spans="1:13" ht="18.75" x14ac:dyDescent="0.25">
      <c r="A40" s="24" t="s">
        <v>7</v>
      </c>
      <c r="B40" s="37"/>
      <c r="C40" s="38">
        <f>'[1]Сводный материальный баланс'!B54*'[1]С-301'!B40</f>
        <v>0</v>
      </c>
      <c r="D40" s="39">
        <f t="shared" si="14"/>
        <v>0</v>
      </c>
      <c r="E40" s="26"/>
      <c r="F40" s="37"/>
      <c r="G40" s="40">
        <f t="shared" si="9"/>
        <v>0</v>
      </c>
      <c r="H40" s="39">
        <f t="shared" si="10"/>
        <v>0</v>
      </c>
      <c r="I40" s="26"/>
      <c r="J40" s="37"/>
      <c r="K40" s="40">
        <f t="shared" si="11"/>
        <v>0</v>
      </c>
      <c r="L40" s="39">
        <f t="shared" si="12"/>
        <v>0</v>
      </c>
      <c r="M40" s="23"/>
    </row>
    <row r="41" spans="1:13" ht="18.75" x14ac:dyDescent="0.25">
      <c r="A41" s="24" t="s">
        <v>8</v>
      </c>
      <c r="B41" s="37"/>
      <c r="C41" s="38">
        <f>'[1]Сводный материальный баланс'!B55*'[1]С-301'!B41</f>
        <v>0</v>
      </c>
      <c r="D41" s="39">
        <f t="shared" si="14"/>
        <v>0</v>
      </c>
      <c r="E41" s="26"/>
      <c r="F41" s="37"/>
      <c r="G41" s="40">
        <f t="shared" si="9"/>
        <v>0</v>
      </c>
      <c r="H41" s="39">
        <f t="shared" si="10"/>
        <v>0</v>
      </c>
      <c r="I41" s="26"/>
      <c r="J41" s="37"/>
      <c r="K41" s="40">
        <f t="shared" si="11"/>
        <v>0</v>
      </c>
      <c r="L41" s="39">
        <f t="shared" si="12"/>
        <v>0</v>
      </c>
      <c r="M41" s="23"/>
    </row>
    <row r="42" spans="1:13" ht="18.75" x14ac:dyDescent="0.25">
      <c r="A42" s="24" t="s">
        <v>9</v>
      </c>
      <c r="B42" s="37"/>
      <c r="C42" s="38">
        <f>'[1]Сводный материальный баланс'!B56*'[1]С-301'!B42</f>
        <v>0</v>
      </c>
      <c r="D42" s="39">
        <f t="shared" si="14"/>
        <v>0</v>
      </c>
      <c r="E42" s="26"/>
      <c r="F42" s="37"/>
      <c r="G42" s="40">
        <f t="shared" si="9"/>
        <v>0</v>
      </c>
      <c r="H42" s="39">
        <f t="shared" si="10"/>
        <v>0</v>
      </c>
      <c r="I42" s="26"/>
      <c r="J42" s="37"/>
      <c r="K42" s="40">
        <f t="shared" si="11"/>
        <v>0</v>
      </c>
      <c r="L42" s="39">
        <f t="shared" si="12"/>
        <v>0</v>
      </c>
      <c r="M42" s="23"/>
    </row>
    <row r="43" spans="1:13" ht="18.75" x14ac:dyDescent="0.25">
      <c r="A43" s="24" t="s">
        <v>10</v>
      </c>
      <c r="B43" s="28"/>
      <c r="C43" s="21">
        <f>'[1]Сводный материальный баланс'!B57*'[1]С-301'!B43</f>
        <v>0</v>
      </c>
      <c r="D43" s="27">
        <f t="shared" si="14"/>
        <v>0</v>
      </c>
      <c r="E43" s="26"/>
      <c r="F43" s="28"/>
      <c r="G43" s="26">
        <f t="shared" si="9"/>
        <v>0</v>
      </c>
      <c r="H43" s="27">
        <f t="shared" si="10"/>
        <v>0</v>
      </c>
      <c r="I43" s="26"/>
      <c r="J43" s="28"/>
      <c r="K43" s="26">
        <f t="shared" si="11"/>
        <v>0</v>
      </c>
      <c r="L43" s="27">
        <f t="shared" si="12"/>
        <v>0</v>
      </c>
      <c r="M43" s="23"/>
    </row>
    <row r="44" spans="1:13" ht="18.75" x14ac:dyDescent="0.25">
      <c r="A44" s="24" t="s">
        <v>11</v>
      </c>
      <c r="B44" s="28"/>
      <c r="C44" s="21">
        <f>'[1]Сводный материальный баланс'!B58*'[1]С-301'!B44</f>
        <v>0</v>
      </c>
      <c r="D44" s="27">
        <f t="shared" si="14"/>
        <v>0</v>
      </c>
      <c r="E44" s="26"/>
      <c r="F44" s="28"/>
      <c r="G44" s="26">
        <f t="shared" si="9"/>
        <v>0</v>
      </c>
      <c r="H44" s="27">
        <f t="shared" si="10"/>
        <v>0</v>
      </c>
      <c r="I44" s="26"/>
      <c r="J44" s="28"/>
      <c r="K44" s="26">
        <f t="shared" si="11"/>
        <v>0</v>
      </c>
      <c r="L44" s="27">
        <f t="shared" si="12"/>
        <v>0</v>
      </c>
      <c r="M44" s="23"/>
    </row>
    <row r="45" spans="1:13" ht="18.75" x14ac:dyDescent="0.25">
      <c r="A45" s="24" t="s">
        <v>12</v>
      </c>
      <c r="B45" s="28"/>
      <c r="C45" s="21">
        <f>'[1]Сводный материальный баланс'!B59*'[1]С-301'!B45</f>
        <v>0</v>
      </c>
      <c r="D45" s="27">
        <f t="shared" si="14"/>
        <v>0</v>
      </c>
      <c r="E45" s="26"/>
      <c r="F45" s="28"/>
      <c r="G45" s="26">
        <f t="shared" si="9"/>
        <v>0</v>
      </c>
      <c r="H45" s="27">
        <f t="shared" si="10"/>
        <v>0</v>
      </c>
      <c r="I45" s="21"/>
      <c r="J45" s="28"/>
      <c r="K45" s="26">
        <f t="shared" si="11"/>
        <v>0</v>
      </c>
      <c r="L45" s="27">
        <f t="shared" si="12"/>
        <v>0</v>
      </c>
      <c r="M45" s="23"/>
    </row>
    <row r="46" spans="1:13" ht="18.75" x14ac:dyDescent="0.25">
      <c r="A46" s="24" t="s">
        <v>40</v>
      </c>
      <c r="B46" s="28"/>
      <c r="C46" s="21">
        <f>'[1]Сводный материальный баланс'!B60*'[1]С-301'!B46</f>
        <v>0</v>
      </c>
      <c r="D46" s="27">
        <f t="shared" si="14"/>
        <v>0</v>
      </c>
      <c r="E46" s="26"/>
      <c r="F46" s="28"/>
      <c r="G46" s="26">
        <f t="shared" si="9"/>
        <v>0</v>
      </c>
      <c r="H46" s="27">
        <f t="shared" si="10"/>
        <v>0</v>
      </c>
      <c r="I46" s="21"/>
      <c r="J46" s="28"/>
      <c r="K46" s="26">
        <f t="shared" si="11"/>
        <v>0</v>
      </c>
      <c r="L46" s="27">
        <f t="shared" si="12"/>
        <v>0</v>
      </c>
      <c r="M46" s="23"/>
    </row>
    <row r="47" spans="1:13" ht="18.75" x14ac:dyDescent="0.25">
      <c r="A47" s="24" t="s">
        <v>41</v>
      </c>
      <c r="B47" s="28"/>
      <c r="C47" s="21">
        <f>'[1]Сводный материальный баланс'!B61*'[1]С-301'!B47</f>
        <v>0</v>
      </c>
      <c r="D47" s="27">
        <f t="shared" si="14"/>
        <v>0</v>
      </c>
      <c r="E47" s="21"/>
      <c r="F47" s="28"/>
      <c r="G47" s="26">
        <f t="shared" si="9"/>
        <v>0</v>
      </c>
      <c r="H47" s="27">
        <f t="shared" si="10"/>
        <v>0</v>
      </c>
      <c r="I47" s="21"/>
      <c r="J47" s="28"/>
      <c r="K47" s="26">
        <f t="shared" si="11"/>
        <v>0</v>
      </c>
      <c r="L47" s="27">
        <f t="shared" si="12"/>
        <v>0</v>
      </c>
      <c r="M47" s="23"/>
    </row>
    <row r="48" spans="1:13" ht="18.75" x14ac:dyDescent="0.25">
      <c r="A48" s="24" t="s">
        <v>42</v>
      </c>
      <c r="B48" s="28">
        <f>100%-B24</f>
        <v>1</v>
      </c>
      <c r="C48" s="21">
        <f>'[1]Сводный материальный баланс'!B39*'[1]С-301'!B48</f>
        <v>0.37282999999999999</v>
      </c>
      <c r="D48" s="27">
        <f t="shared" si="14"/>
        <v>1.0931850207914081E-4</v>
      </c>
      <c r="E48" s="21"/>
      <c r="F48" s="28">
        <f>B48</f>
        <v>1</v>
      </c>
      <c r="G48" s="26">
        <f t="shared" si="9"/>
        <v>0.37282999999999999</v>
      </c>
      <c r="H48" s="27">
        <f t="shared" si="10"/>
        <v>2.3109079711780784E-5</v>
      </c>
      <c r="I48" s="21"/>
      <c r="J48" s="28">
        <f>B48</f>
        <v>1</v>
      </c>
      <c r="K48" s="26">
        <f t="shared" si="11"/>
        <v>0.37282999999999999</v>
      </c>
      <c r="L48" s="27">
        <f t="shared" si="12"/>
        <v>2.3109079711780784E-5</v>
      </c>
      <c r="M48" s="23"/>
    </row>
    <row r="49" spans="1:13" ht="19.5" thickBot="1" x14ac:dyDescent="0.35">
      <c r="A49" s="42" t="s">
        <v>23</v>
      </c>
      <c r="B49" s="43"/>
      <c r="C49" s="44">
        <f t="shared" ref="C49:D49" si="17">SUM(C28:C48)</f>
        <v>3410.4931270471561</v>
      </c>
      <c r="D49" s="45">
        <f t="shared" si="17"/>
        <v>1</v>
      </c>
      <c r="E49" s="43"/>
      <c r="F49" s="43"/>
      <c r="G49" s="44">
        <f t="shared" ref="G49:H49" si="18">SUM(G28:G48)</f>
        <v>3394.3434125704248</v>
      </c>
      <c r="H49" s="45">
        <f t="shared" si="18"/>
        <v>1</v>
      </c>
      <c r="I49" s="43"/>
      <c r="J49" s="43"/>
      <c r="K49" s="44">
        <f t="shared" ref="K49:L49" si="19">SUM(K28:K48)</f>
        <v>3386.2685553320593</v>
      </c>
      <c r="L49" s="45">
        <f t="shared" si="19"/>
        <v>0.99999999999999989</v>
      </c>
      <c r="M49" s="46"/>
    </row>
    <row r="50" spans="1:13" ht="15.75" thickBot="1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</row>
    <row r="51" spans="1:13" ht="18.75" x14ac:dyDescent="0.3">
      <c r="A51" s="48"/>
      <c r="B51" s="49"/>
      <c r="C51" s="50"/>
      <c r="D51" s="50"/>
      <c r="E51" s="50"/>
      <c r="F51" s="50"/>
      <c r="G51" s="50"/>
      <c r="H51" s="51"/>
      <c r="I51" s="48"/>
      <c r="J51" s="48"/>
      <c r="K51" s="47"/>
      <c r="L51" s="47"/>
      <c r="M51" s="47"/>
    </row>
    <row r="52" spans="1:13" ht="20.25" x14ac:dyDescent="0.35">
      <c r="A52" s="48"/>
      <c r="B52" s="52"/>
      <c r="C52" s="48"/>
      <c r="D52" s="53" t="s">
        <v>44</v>
      </c>
      <c r="E52" s="48" t="s">
        <v>45</v>
      </c>
      <c r="F52" s="48"/>
      <c r="G52" s="48"/>
      <c r="H52" s="54"/>
      <c r="I52" s="48"/>
      <c r="J52" s="55"/>
      <c r="K52" s="55"/>
      <c r="L52" s="47"/>
      <c r="M52" s="47"/>
    </row>
    <row r="53" spans="1:13" ht="18.75" x14ac:dyDescent="0.3">
      <c r="A53" s="48"/>
      <c r="B53" s="52"/>
      <c r="C53" s="48"/>
      <c r="D53" s="48"/>
      <c r="E53" s="48"/>
      <c r="F53" s="48"/>
      <c r="G53" s="48"/>
      <c r="H53" s="54"/>
      <c r="I53" s="48"/>
      <c r="J53" s="48"/>
      <c r="K53" s="47"/>
      <c r="L53" s="47"/>
      <c r="M53" s="47"/>
    </row>
    <row r="54" spans="1:13" ht="18.75" x14ac:dyDescent="0.3">
      <c r="A54" s="48"/>
      <c r="B54" s="52"/>
      <c r="C54" s="48"/>
      <c r="D54" s="53" t="s">
        <v>46</v>
      </c>
      <c r="E54" s="53">
        <v>48.107500000000002</v>
      </c>
      <c r="F54" s="48" t="s">
        <v>47</v>
      </c>
      <c r="G54" s="48"/>
      <c r="H54" s="54"/>
      <c r="I54" s="48"/>
      <c r="J54" s="48"/>
      <c r="K54" s="47"/>
      <c r="L54" s="47"/>
      <c r="M54" s="47"/>
    </row>
    <row r="55" spans="1:13" ht="18.75" x14ac:dyDescent="0.3">
      <c r="A55" s="48"/>
      <c r="B55" s="52"/>
      <c r="C55" s="48"/>
      <c r="D55" s="53" t="s">
        <v>48</v>
      </c>
      <c r="E55" s="53">
        <v>39.997100000000003</v>
      </c>
      <c r="F55" s="48" t="s">
        <v>47</v>
      </c>
      <c r="G55" s="48"/>
      <c r="H55" s="54"/>
      <c r="I55" s="48"/>
      <c r="J55" s="48"/>
      <c r="K55" s="47"/>
      <c r="L55" s="47"/>
      <c r="M55" s="47"/>
    </row>
    <row r="56" spans="1:13" ht="18.75" x14ac:dyDescent="0.3">
      <c r="A56" s="48"/>
      <c r="B56" s="52"/>
      <c r="C56" s="48"/>
      <c r="D56" s="53" t="s">
        <v>49</v>
      </c>
      <c r="E56" s="53">
        <v>70.089299999999994</v>
      </c>
      <c r="F56" s="48" t="s">
        <v>47</v>
      </c>
      <c r="G56" s="48"/>
      <c r="H56" s="54"/>
      <c r="I56" s="48"/>
      <c r="J56" s="48"/>
      <c r="K56" s="47"/>
      <c r="L56" s="47"/>
      <c r="M56" s="47"/>
    </row>
    <row r="57" spans="1:13" ht="18.75" x14ac:dyDescent="0.3">
      <c r="A57" s="48"/>
      <c r="B57" s="52"/>
      <c r="C57" s="48"/>
      <c r="D57" s="53" t="s">
        <v>50</v>
      </c>
      <c r="E57" s="53">
        <v>18.0153</v>
      </c>
      <c r="F57" s="48" t="s">
        <v>47</v>
      </c>
      <c r="G57" s="48"/>
      <c r="H57" s="54"/>
      <c r="I57" s="48"/>
      <c r="J57" s="48"/>
      <c r="K57" s="47"/>
      <c r="L57" s="47"/>
      <c r="M57" s="47"/>
    </row>
    <row r="58" spans="1:13" ht="18.75" x14ac:dyDescent="0.3">
      <c r="A58" s="48"/>
      <c r="B58" s="52"/>
      <c r="C58" s="48"/>
      <c r="D58" s="48"/>
      <c r="E58" s="48"/>
      <c r="F58" s="48"/>
      <c r="G58" s="48"/>
      <c r="H58" s="54"/>
      <c r="I58" s="48"/>
      <c r="J58" s="48"/>
      <c r="K58" s="47"/>
      <c r="L58" s="47"/>
      <c r="M58" s="47"/>
    </row>
    <row r="59" spans="1:13" ht="18.75" x14ac:dyDescent="0.3">
      <c r="A59" s="48"/>
      <c r="B59" s="52"/>
      <c r="C59" s="48"/>
      <c r="D59" s="53" t="s">
        <v>51</v>
      </c>
      <c r="E59" s="56">
        <f>IF('[1]Сводный материальный баланс'!F41=3,'[1]С-301'!K30, IF('[1]Сводный материальный баланс'!F41=2,'[1]С-301'!G30, IF('[1]Сводный материальный баланс'!F41=1,'[1]С-301'!C30)))</f>
        <v>42.353250036957341</v>
      </c>
      <c r="F59" s="48" t="s">
        <v>52</v>
      </c>
      <c r="G59" s="48"/>
      <c r="H59" s="54"/>
      <c r="I59" s="48"/>
      <c r="J59" s="48"/>
      <c r="K59" s="47"/>
      <c r="L59" s="47"/>
      <c r="M59" s="47"/>
    </row>
    <row r="60" spans="1:13" ht="18.75" x14ac:dyDescent="0.3">
      <c r="A60" s="48"/>
      <c r="B60" s="52"/>
      <c r="C60" s="48"/>
      <c r="D60" s="53" t="s">
        <v>53</v>
      </c>
      <c r="E60" s="56">
        <f t="shared" ref="E60:E62" si="20">$E$59*E55/$E$54</f>
        <v>35.212953844061452</v>
      </c>
      <c r="F60" s="48" t="s">
        <v>52</v>
      </c>
      <c r="G60" s="48"/>
      <c r="H60" s="54"/>
      <c r="I60" s="48"/>
      <c r="J60" s="48"/>
      <c r="K60" s="47"/>
      <c r="L60" s="47"/>
      <c r="M60" s="47"/>
    </row>
    <row r="61" spans="1:13" ht="18.75" x14ac:dyDescent="0.3">
      <c r="A61" s="48"/>
      <c r="B61" s="52"/>
      <c r="C61" s="48"/>
      <c r="D61" s="53" t="s">
        <v>54</v>
      </c>
      <c r="E61" s="56">
        <f t="shared" si="20"/>
        <v>61.705755813860918</v>
      </c>
      <c r="F61" s="48" t="s">
        <v>52</v>
      </c>
      <c r="G61" s="48"/>
      <c r="H61" s="54"/>
      <c r="I61" s="48"/>
      <c r="J61" s="48"/>
      <c r="K61" s="47"/>
      <c r="L61" s="47"/>
      <c r="M61" s="47"/>
    </row>
    <row r="62" spans="1:13" ht="18.75" x14ac:dyDescent="0.3">
      <c r="A62" s="48"/>
      <c r="B62" s="52"/>
      <c r="C62" s="48"/>
      <c r="D62" s="53" t="s">
        <v>55</v>
      </c>
      <c r="E62" s="56">
        <f t="shared" si="20"/>
        <v>15.860448067157876</v>
      </c>
      <c r="F62" s="48" t="s">
        <v>52</v>
      </c>
      <c r="G62" s="48"/>
      <c r="H62" s="54"/>
      <c r="I62" s="48"/>
      <c r="J62" s="48"/>
      <c r="K62" s="47"/>
      <c r="L62" s="47"/>
      <c r="M62" s="47"/>
    </row>
    <row r="63" spans="1:13" ht="18.75" x14ac:dyDescent="0.3">
      <c r="A63" s="48"/>
      <c r="B63" s="52"/>
      <c r="C63" s="48"/>
      <c r="D63" s="48"/>
      <c r="E63" s="48"/>
      <c r="F63" s="48"/>
      <c r="G63" s="48"/>
      <c r="H63" s="54"/>
      <c r="I63" s="48"/>
      <c r="J63" s="48"/>
      <c r="K63" s="47"/>
      <c r="L63" s="47"/>
      <c r="M63" s="47"/>
    </row>
    <row r="64" spans="1:13" ht="18.75" x14ac:dyDescent="0.3">
      <c r="A64" s="48"/>
      <c r="B64" s="52"/>
      <c r="C64" s="48"/>
      <c r="D64" s="53" t="s">
        <v>44</v>
      </c>
      <c r="E64" s="48" t="s">
        <v>56</v>
      </c>
      <c r="F64" s="48"/>
      <c r="G64" s="48"/>
      <c r="H64" s="54"/>
      <c r="I64" s="48"/>
      <c r="J64" s="48"/>
      <c r="K64" s="47"/>
      <c r="L64" s="47"/>
      <c r="M64" s="47"/>
    </row>
    <row r="65" spans="1:13" ht="18.75" x14ac:dyDescent="0.3">
      <c r="A65" s="48"/>
      <c r="B65" s="52"/>
      <c r="C65" s="48"/>
      <c r="D65" s="48"/>
      <c r="E65" s="48"/>
      <c r="F65" s="48"/>
      <c r="G65" s="48"/>
      <c r="H65" s="54"/>
      <c r="I65" s="48"/>
      <c r="J65" s="48"/>
      <c r="K65" s="47"/>
      <c r="L65" s="47"/>
      <c r="M65" s="47"/>
    </row>
    <row r="66" spans="1:13" ht="18.75" x14ac:dyDescent="0.3">
      <c r="A66" s="48"/>
      <c r="B66" s="52"/>
      <c r="C66" s="48"/>
      <c r="D66" s="53" t="s">
        <v>57</v>
      </c>
      <c r="E66" s="53">
        <v>62.134</v>
      </c>
      <c r="F66" s="48" t="s">
        <v>47</v>
      </c>
      <c r="G66" s="48"/>
      <c r="H66" s="54"/>
      <c r="I66" s="48"/>
      <c r="J66" s="48"/>
      <c r="K66" s="47"/>
      <c r="L66" s="47"/>
      <c r="M66" s="47"/>
    </row>
    <row r="67" spans="1:13" ht="18.75" x14ac:dyDescent="0.3">
      <c r="A67" s="48"/>
      <c r="B67" s="52"/>
      <c r="C67" s="48"/>
      <c r="D67" s="53" t="s">
        <v>48</v>
      </c>
      <c r="E67" s="53">
        <v>39.997100000000003</v>
      </c>
      <c r="F67" s="48" t="s">
        <v>47</v>
      </c>
      <c r="G67" s="48"/>
      <c r="H67" s="54"/>
      <c r="I67" s="48"/>
      <c r="J67" s="48"/>
      <c r="K67" s="47"/>
      <c r="L67" s="47"/>
      <c r="M67" s="47"/>
    </row>
    <row r="68" spans="1:13" ht="18.75" x14ac:dyDescent="0.3">
      <c r="A68" s="48"/>
      <c r="B68" s="52"/>
      <c r="C68" s="48"/>
      <c r="D68" s="53" t="s">
        <v>58</v>
      </c>
      <c r="E68" s="53">
        <v>84.115899999999996</v>
      </c>
      <c r="F68" s="48" t="s">
        <v>47</v>
      </c>
      <c r="G68" s="48"/>
      <c r="H68" s="54"/>
      <c r="I68" s="48"/>
      <c r="J68" s="48"/>
      <c r="K68" s="47"/>
      <c r="L68" s="47"/>
      <c r="M68" s="47"/>
    </row>
    <row r="69" spans="1:13" ht="18.75" x14ac:dyDescent="0.3">
      <c r="A69" s="48"/>
      <c r="B69" s="52"/>
      <c r="C69" s="48"/>
      <c r="D69" s="53" t="s">
        <v>50</v>
      </c>
      <c r="E69" s="53">
        <v>18.0153</v>
      </c>
      <c r="F69" s="48" t="s">
        <v>47</v>
      </c>
      <c r="G69" s="48"/>
      <c r="H69" s="54"/>
      <c r="I69" s="48"/>
      <c r="J69" s="48"/>
      <c r="K69" s="47"/>
      <c r="L69" s="47"/>
      <c r="M69" s="47"/>
    </row>
    <row r="70" spans="1:13" ht="18.75" x14ac:dyDescent="0.3">
      <c r="A70" s="48"/>
      <c r="B70" s="52"/>
      <c r="C70" s="48"/>
      <c r="D70" s="48"/>
      <c r="E70" s="48"/>
      <c r="F70" s="48"/>
      <c r="G70" s="48"/>
      <c r="H70" s="54"/>
      <c r="I70" s="48"/>
      <c r="J70" s="48"/>
      <c r="K70" s="47"/>
      <c r="L70" s="47"/>
      <c r="M70" s="47"/>
    </row>
    <row r="71" spans="1:13" ht="18.75" x14ac:dyDescent="0.3">
      <c r="A71" s="48"/>
      <c r="B71" s="52"/>
      <c r="C71" s="48"/>
      <c r="D71" s="53" t="s">
        <v>51</v>
      </c>
      <c r="E71" s="56">
        <f>IF('[1]Сводный материальный баланс'!F41=3,'[1]С-301'!K31, IF('[1]Сводный материальный баланс'!F41=2,'[1]С-301'!G31, IF('[1]Сводный материальный баланс'!F41=1,'[1]С-301'!C31)))</f>
        <v>25.514506633607787</v>
      </c>
      <c r="F71" s="48" t="s">
        <v>52</v>
      </c>
      <c r="G71" s="48"/>
      <c r="H71" s="54"/>
      <c r="I71" s="48"/>
      <c r="J71" s="48"/>
      <c r="K71" s="47"/>
      <c r="L71" s="47"/>
      <c r="M71" s="47"/>
    </row>
    <row r="72" spans="1:13" ht="18.75" x14ac:dyDescent="0.3">
      <c r="A72" s="48"/>
      <c r="B72" s="52"/>
      <c r="C72" s="48"/>
      <c r="D72" s="53" t="s">
        <v>53</v>
      </c>
      <c r="E72" s="56">
        <f t="shared" ref="E72:E74" si="21">$E$71*E67/$E$66</f>
        <v>16.424280961712977</v>
      </c>
      <c r="F72" s="48" t="s">
        <v>52</v>
      </c>
      <c r="G72" s="48"/>
      <c r="H72" s="54"/>
      <c r="I72" s="48"/>
      <c r="J72" s="48"/>
      <c r="K72" s="47"/>
      <c r="L72" s="47"/>
      <c r="M72" s="47"/>
    </row>
    <row r="73" spans="1:13" ht="18.75" x14ac:dyDescent="0.3">
      <c r="A73" s="48"/>
      <c r="B73" s="52"/>
      <c r="C73" s="48"/>
      <c r="D73" s="53" t="s">
        <v>54</v>
      </c>
      <c r="E73" s="56">
        <f t="shared" si="21"/>
        <v>34.541083602244974</v>
      </c>
      <c r="F73" s="48" t="s">
        <v>52</v>
      </c>
      <c r="G73" s="48"/>
      <c r="H73" s="54"/>
      <c r="I73" s="48"/>
      <c r="J73" s="48"/>
      <c r="K73" s="47"/>
      <c r="L73" s="47"/>
      <c r="M73" s="47"/>
    </row>
    <row r="74" spans="1:13" ht="18.75" x14ac:dyDescent="0.3">
      <c r="A74" s="48"/>
      <c r="B74" s="52"/>
      <c r="C74" s="48"/>
      <c r="D74" s="53" t="s">
        <v>55</v>
      </c>
      <c r="E74" s="56">
        <f t="shared" si="21"/>
        <v>7.3977450567553085</v>
      </c>
      <c r="F74" s="48" t="s">
        <v>52</v>
      </c>
      <c r="G74" s="48"/>
      <c r="H74" s="54"/>
      <c r="I74" s="48"/>
      <c r="J74" s="48"/>
      <c r="K74" s="47"/>
      <c r="L74" s="47"/>
      <c r="M74" s="47"/>
    </row>
    <row r="75" spans="1:13" ht="18.75" x14ac:dyDescent="0.3">
      <c r="A75" s="48"/>
      <c r="B75" s="52"/>
      <c r="C75" s="48"/>
      <c r="D75" s="48"/>
      <c r="E75" s="48"/>
      <c r="F75" s="48"/>
      <c r="G75" s="48"/>
      <c r="H75" s="54"/>
      <c r="I75" s="48"/>
      <c r="J75" s="48"/>
      <c r="K75" s="47"/>
      <c r="L75" s="47"/>
      <c r="M75" s="47"/>
    </row>
    <row r="76" spans="1:13" ht="18.75" x14ac:dyDescent="0.3">
      <c r="A76" s="48"/>
      <c r="B76" s="52"/>
      <c r="C76" s="48"/>
      <c r="D76" s="53" t="s">
        <v>44</v>
      </c>
      <c r="E76" s="48" t="s">
        <v>59</v>
      </c>
      <c r="F76" s="48"/>
      <c r="G76" s="48"/>
      <c r="H76" s="54"/>
      <c r="I76" s="48"/>
      <c r="J76" s="48"/>
      <c r="K76" s="47"/>
      <c r="L76" s="47"/>
      <c r="M76" s="47"/>
    </row>
    <row r="77" spans="1:13" ht="18.75" x14ac:dyDescent="0.3">
      <c r="A77" s="48"/>
      <c r="B77" s="52"/>
      <c r="C77" s="48"/>
      <c r="D77" s="48"/>
      <c r="E77" s="48"/>
      <c r="F77" s="48"/>
      <c r="G77" s="48"/>
      <c r="H77" s="54"/>
      <c r="I77" s="48"/>
      <c r="J77" s="48"/>
      <c r="K77" s="47"/>
      <c r="L77" s="47"/>
      <c r="M77" s="47"/>
    </row>
    <row r="78" spans="1:13" ht="18.75" x14ac:dyDescent="0.3">
      <c r="A78" s="48"/>
      <c r="B78" s="52"/>
      <c r="C78" s="48"/>
      <c r="D78" s="53" t="s">
        <v>60</v>
      </c>
      <c r="E78" s="53">
        <v>76.160600000000002</v>
      </c>
      <c r="F78" s="48" t="s">
        <v>47</v>
      </c>
      <c r="G78" s="48"/>
      <c r="H78" s="54"/>
      <c r="I78" s="48"/>
      <c r="J78" s="48"/>
      <c r="K78" s="47"/>
      <c r="L78" s="47"/>
      <c r="M78" s="47"/>
    </row>
    <row r="79" spans="1:13" ht="18.75" x14ac:dyDescent="0.3">
      <c r="A79" s="48"/>
      <c r="B79" s="52"/>
      <c r="C79" s="48"/>
      <c r="D79" s="53" t="s">
        <v>48</v>
      </c>
      <c r="E79" s="53">
        <v>39.997100000000003</v>
      </c>
      <c r="F79" s="48" t="s">
        <v>47</v>
      </c>
      <c r="G79" s="48"/>
      <c r="H79" s="54"/>
      <c r="I79" s="48"/>
      <c r="J79" s="48"/>
      <c r="K79" s="47"/>
      <c r="L79" s="47"/>
      <c r="M79" s="47"/>
    </row>
    <row r="80" spans="1:13" ht="18.75" x14ac:dyDescent="0.3">
      <c r="A80" s="48"/>
      <c r="B80" s="52"/>
      <c r="C80" s="48"/>
      <c r="D80" s="53" t="s">
        <v>61</v>
      </c>
      <c r="E80" s="53">
        <v>98.142399999999995</v>
      </c>
      <c r="F80" s="48" t="s">
        <v>47</v>
      </c>
      <c r="G80" s="48"/>
      <c r="H80" s="54"/>
      <c r="I80" s="48"/>
      <c r="J80" s="48"/>
      <c r="K80" s="47"/>
      <c r="L80" s="47"/>
      <c r="M80" s="47"/>
    </row>
    <row r="81" spans="1:13" ht="18.75" x14ac:dyDescent="0.3">
      <c r="A81" s="48"/>
      <c r="B81" s="52"/>
      <c r="C81" s="48"/>
      <c r="D81" s="53" t="s">
        <v>50</v>
      </c>
      <c r="E81" s="53">
        <v>18.0153</v>
      </c>
      <c r="F81" s="48" t="s">
        <v>47</v>
      </c>
      <c r="G81" s="48"/>
      <c r="H81" s="54"/>
      <c r="I81" s="48"/>
      <c r="J81" s="48"/>
      <c r="K81" s="47"/>
      <c r="L81" s="47"/>
      <c r="M81" s="47"/>
    </row>
    <row r="82" spans="1:13" ht="18.75" x14ac:dyDescent="0.3">
      <c r="A82" s="48"/>
      <c r="B82" s="52"/>
      <c r="C82" s="48"/>
      <c r="D82" s="48"/>
      <c r="E82" s="48"/>
      <c r="F82" s="48"/>
      <c r="G82" s="48"/>
      <c r="H82" s="54"/>
      <c r="I82" s="48"/>
      <c r="J82" s="48"/>
      <c r="K82" s="47"/>
      <c r="L82" s="47"/>
      <c r="M82" s="47"/>
    </row>
    <row r="83" spans="1:13" ht="18.75" x14ac:dyDescent="0.3">
      <c r="A83" s="48"/>
      <c r="B83" s="52"/>
      <c r="C83" s="48"/>
      <c r="D83" s="53" t="s">
        <v>51</v>
      </c>
      <c r="E83" s="56">
        <f>IF('[1]Сводный материальный баланс'!F41=3,'[1]С-301'!K32, IF('[1]Сводный материальный баланс'!F41=2,'[1]С-301'!G32, IF('[1]Сводный материальный баланс'!F41=1,'[1]С-301'!C32)))</f>
        <v>0.16171173652694609</v>
      </c>
      <c r="F83" s="48" t="s">
        <v>52</v>
      </c>
      <c r="G83" s="48"/>
      <c r="H83" s="54"/>
      <c r="I83" s="48"/>
      <c r="J83" s="48"/>
      <c r="K83" s="47"/>
      <c r="L83" s="47"/>
      <c r="M83" s="47"/>
    </row>
    <row r="84" spans="1:13" ht="18.75" x14ac:dyDescent="0.3">
      <c r="A84" s="48"/>
      <c r="B84" s="52"/>
      <c r="C84" s="48"/>
      <c r="D84" s="53" t="s">
        <v>53</v>
      </c>
      <c r="E84" s="56">
        <f t="shared" ref="E84:E86" si="22">$E$83*E79/$E$78</f>
        <v>8.4925808056159166E-2</v>
      </c>
      <c r="F84" s="48" t="s">
        <v>52</v>
      </c>
      <c r="G84" s="48"/>
      <c r="H84" s="54"/>
      <c r="I84" s="48"/>
      <c r="J84" s="48"/>
      <c r="K84" s="47"/>
      <c r="L84" s="47"/>
      <c r="M84" s="47"/>
    </row>
    <row r="85" spans="1:13" ht="18.75" x14ac:dyDescent="0.3">
      <c r="A85" s="48"/>
      <c r="B85" s="52"/>
      <c r="C85" s="48"/>
      <c r="D85" s="53" t="s">
        <v>54</v>
      </c>
      <c r="E85" s="56">
        <f t="shared" si="22"/>
        <v>0.20838567357560409</v>
      </c>
      <c r="F85" s="48" t="s">
        <v>52</v>
      </c>
      <c r="G85" s="48"/>
      <c r="H85" s="54"/>
      <c r="I85" s="48"/>
      <c r="J85" s="48"/>
      <c r="K85" s="47"/>
      <c r="L85" s="47"/>
      <c r="M85" s="47"/>
    </row>
    <row r="86" spans="1:13" ht="18.75" x14ac:dyDescent="0.3">
      <c r="A86" s="48"/>
      <c r="B86" s="52"/>
      <c r="C86" s="48"/>
      <c r="D86" s="53" t="s">
        <v>55</v>
      </c>
      <c r="E86" s="56">
        <f t="shared" si="22"/>
        <v>3.8251871007501145E-2</v>
      </c>
      <c r="F86" s="48" t="s">
        <v>52</v>
      </c>
      <c r="G86" s="48"/>
      <c r="H86" s="54"/>
      <c r="I86" s="48"/>
      <c r="J86" s="48"/>
      <c r="K86" s="47"/>
      <c r="L86" s="47"/>
      <c r="M86" s="47"/>
    </row>
    <row r="87" spans="1:13" ht="18.75" x14ac:dyDescent="0.3">
      <c r="A87" s="48"/>
      <c r="B87" s="52"/>
      <c r="C87" s="48"/>
      <c r="D87" s="48"/>
      <c r="E87" s="48"/>
      <c r="F87" s="48"/>
      <c r="G87" s="48"/>
      <c r="H87" s="54"/>
      <c r="I87" s="48"/>
      <c r="J87" s="48"/>
      <c r="K87" s="47"/>
      <c r="L87" s="47"/>
      <c r="M87" s="47"/>
    </row>
    <row r="88" spans="1:13" ht="18.75" x14ac:dyDescent="0.3">
      <c r="A88" s="48"/>
      <c r="B88" s="52"/>
      <c r="C88" s="48"/>
      <c r="D88" s="53" t="s">
        <v>44</v>
      </c>
      <c r="E88" s="48" t="s">
        <v>62</v>
      </c>
      <c r="F88" s="48"/>
      <c r="G88" s="48"/>
      <c r="H88" s="54"/>
      <c r="I88" s="48"/>
      <c r="J88" s="48"/>
      <c r="K88" s="47"/>
      <c r="L88" s="47"/>
      <c r="M88" s="47"/>
    </row>
    <row r="89" spans="1:13" ht="18.75" x14ac:dyDescent="0.3">
      <c r="A89" s="48"/>
      <c r="B89" s="52"/>
      <c r="C89" s="48"/>
      <c r="D89" s="48"/>
      <c r="E89" s="48"/>
      <c r="F89" s="48"/>
      <c r="G89" s="48"/>
      <c r="H89" s="54"/>
      <c r="I89" s="48"/>
      <c r="J89" s="48"/>
      <c r="K89" s="47"/>
      <c r="L89" s="47"/>
      <c r="M89" s="47"/>
    </row>
    <row r="90" spans="1:13" ht="18.75" x14ac:dyDescent="0.3">
      <c r="A90" s="48"/>
      <c r="B90" s="52"/>
      <c r="C90" s="48"/>
      <c r="D90" s="53" t="s">
        <v>63</v>
      </c>
      <c r="E90" s="53">
        <v>60.075099999999999</v>
      </c>
      <c r="F90" s="48" t="s">
        <v>47</v>
      </c>
      <c r="G90" s="48"/>
      <c r="H90" s="54"/>
      <c r="I90" s="48"/>
      <c r="J90" s="48"/>
      <c r="K90" s="47"/>
      <c r="L90" s="47"/>
      <c r="M90" s="47"/>
    </row>
    <row r="91" spans="1:13" ht="18.75" x14ac:dyDescent="0.3">
      <c r="A91" s="48"/>
      <c r="B91" s="52"/>
      <c r="C91" s="48"/>
      <c r="D91" s="53" t="s">
        <v>50</v>
      </c>
      <c r="E91" s="53">
        <v>18.0153</v>
      </c>
      <c r="F91" s="48" t="s">
        <v>47</v>
      </c>
      <c r="G91" s="48"/>
      <c r="H91" s="54"/>
      <c r="I91" s="48"/>
      <c r="J91" s="48"/>
      <c r="K91" s="47"/>
      <c r="L91" s="47"/>
      <c r="M91" s="47"/>
    </row>
    <row r="92" spans="1:13" ht="18.75" x14ac:dyDescent="0.3">
      <c r="A92" s="48"/>
      <c r="B92" s="52"/>
      <c r="C92" s="48"/>
      <c r="D92" s="53" t="s">
        <v>64</v>
      </c>
      <c r="E92" s="53">
        <v>34.0809</v>
      </c>
      <c r="F92" s="48" t="s">
        <v>47</v>
      </c>
      <c r="G92" s="48"/>
      <c r="H92" s="54"/>
      <c r="I92" s="48"/>
      <c r="J92" s="48"/>
      <c r="K92" s="47"/>
      <c r="L92" s="47"/>
      <c r="M92" s="47"/>
    </row>
    <row r="93" spans="1:13" ht="18.75" x14ac:dyDescent="0.3">
      <c r="A93" s="48"/>
      <c r="B93" s="52"/>
      <c r="C93" s="48"/>
      <c r="D93" s="53" t="s">
        <v>65</v>
      </c>
      <c r="E93" s="53">
        <v>44.009500000000003</v>
      </c>
      <c r="F93" s="48" t="s">
        <v>47</v>
      </c>
      <c r="G93" s="48"/>
      <c r="H93" s="54"/>
      <c r="I93" s="48"/>
      <c r="J93" s="48"/>
      <c r="K93" s="47"/>
      <c r="L93" s="47"/>
      <c r="M93" s="47"/>
    </row>
    <row r="94" spans="1:13" ht="18.75" x14ac:dyDescent="0.3">
      <c r="A94" s="48"/>
      <c r="B94" s="52"/>
      <c r="C94" s="48"/>
      <c r="D94" s="48"/>
      <c r="E94" s="48"/>
      <c r="F94" s="48"/>
      <c r="G94" s="48"/>
      <c r="H94" s="54"/>
      <c r="I94" s="48"/>
      <c r="J94" s="48"/>
      <c r="K94" s="47"/>
      <c r="L94" s="47"/>
      <c r="M94" s="47"/>
    </row>
    <row r="95" spans="1:13" ht="18.75" x14ac:dyDescent="0.3">
      <c r="A95" s="48"/>
      <c r="B95" s="52"/>
      <c r="C95" s="48"/>
      <c r="D95" s="53" t="s">
        <v>66</v>
      </c>
      <c r="E95" s="56">
        <f>IF('[1]Сводный материальный баланс'!F41=3,'[1]С-301'!K34, IF('[1]Сводный материальный баланс'!F41=2,'[1]С-301'!G34, IF('[1]Сводный материальный баланс'!F41=1,'[1]С-301'!C34)))</f>
        <v>0.27333900168413183</v>
      </c>
      <c r="F95" s="48" t="s">
        <v>52</v>
      </c>
      <c r="G95" s="55"/>
      <c r="H95" s="54"/>
      <c r="I95" s="48"/>
      <c r="J95" s="48"/>
      <c r="K95" s="47"/>
      <c r="L95" s="47"/>
      <c r="M95" s="47"/>
    </row>
    <row r="96" spans="1:13" ht="18.75" x14ac:dyDescent="0.3">
      <c r="A96" s="48"/>
      <c r="B96" s="52"/>
      <c r="C96" s="48"/>
      <c r="D96" s="53" t="s">
        <v>55</v>
      </c>
      <c r="E96" s="56">
        <f t="shared" ref="E96:E98" si="23">$E$95*E91/$E$90</f>
        <v>8.1968804330581901E-2</v>
      </c>
      <c r="F96" s="48" t="s">
        <v>52</v>
      </c>
      <c r="G96" s="48"/>
      <c r="H96" s="54"/>
      <c r="I96" s="48"/>
      <c r="J96" s="48"/>
      <c r="K96" s="47"/>
      <c r="L96" s="47"/>
      <c r="M96" s="47"/>
    </row>
    <row r="97" spans="1:13" ht="18.75" x14ac:dyDescent="0.3">
      <c r="A97" s="48"/>
      <c r="B97" s="52"/>
      <c r="C97" s="48"/>
      <c r="D97" s="53" t="s">
        <v>67</v>
      </c>
      <c r="E97" s="56">
        <f t="shared" si="23"/>
        <v>0.15506656139559866</v>
      </c>
      <c r="F97" s="48" t="s">
        <v>52</v>
      </c>
      <c r="G97" s="48"/>
      <c r="H97" s="54"/>
      <c r="I97" s="48"/>
      <c r="J97" s="48"/>
      <c r="K97" s="47"/>
      <c r="L97" s="47"/>
      <c r="M97" s="47"/>
    </row>
    <row r="98" spans="1:13" ht="18.75" x14ac:dyDescent="0.3">
      <c r="A98" s="48"/>
      <c r="B98" s="52"/>
      <c r="C98" s="48"/>
      <c r="D98" s="53" t="s">
        <v>68</v>
      </c>
      <c r="E98" s="56">
        <f t="shared" si="23"/>
        <v>0.20024124461911511</v>
      </c>
      <c r="F98" s="48" t="s">
        <v>52</v>
      </c>
      <c r="G98" s="48"/>
      <c r="H98" s="54"/>
      <c r="I98" s="48"/>
      <c r="J98" s="48"/>
      <c r="K98" s="47"/>
      <c r="L98" s="47"/>
      <c r="M98" s="47"/>
    </row>
    <row r="99" spans="1:13" ht="18.75" x14ac:dyDescent="0.3">
      <c r="A99" s="48"/>
      <c r="B99" s="52"/>
      <c r="C99" s="48"/>
      <c r="D99" s="48"/>
      <c r="E99" s="48"/>
      <c r="F99" s="48"/>
      <c r="G99" s="48"/>
      <c r="H99" s="54"/>
      <c r="I99" s="48"/>
      <c r="J99" s="48"/>
      <c r="K99" s="47"/>
      <c r="L99" s="47"/>
      <c r="M99" s="47"/>
    </row>
    <row r="100" spans="1:13" ht="19.5" x14ac:dyDescent="0.35">
      <c r="A100" s="48"/>
      <c r="B100" s="52"/>
      <c r="C100" s="48"/>
      <c r="D100" s="53" t="s">
        <v>44</v>
      </c>
      <c r="E100" s="48" t="s">
        <v>69</v>
      </c>
      <c r="F100" s="48"/>
      <c r="G100" s="48"/>
      <c r="H100" s="54"/>
      <c r="I100" s="48"/>
      <c r="J100" s="48"/>
      <c r="K100" s="47"/>
      <c r="L100" s="47"/>
      <c r="M100" s="47"/>
    </row>
    <row r="101" spans="1:13" ht="18.75" x14ac:dyDescent="0.3">
      <c r="A101" s="48"/>
      <c r="B101" s="52"/>
      <c r="C101" s="48"/>
      <c r="D101" s="48"/>
      <c r="E101" s="48"/>
      <c r="F101" s="48"/>
      <c r="G101" s="48"/>
      <c r="H101" s="54"/>
      <c r="I101" s="48"/>
      <c r="J101" s="48"/>
      <c r="K101" s="47"/>
      <c r="L101" s="47"/>
      <c r="M101" s="47"/>
    </row>
    <row r="102" spans="1:13" ht="18.75" x14ac:dyDescent="0.3">
      <c r="A102" s="48"/>
      <c r="B102" s="52"/>
      <c r="C102" s="48"/>
      <c r="D102" s="53" t="s">
        <v>64</v>
      </c>
      <c r="E102" s="57">
        <v>34.0809</v>
      </c>
      <c r="F102" s="48" t="s">
        <v>47</v>
      </c>
      <c r="G102" s="48"/>
      <c r="H102" s="54"/>
      <c r="I102" s="48"/>
      <c r="J102" s="48"/>
      <c r="K102" s="47"/>
      <c r="L102" s="47"/>
      <c r="M102" s="47"/>
    </row>
    <row r="103" spans="1:13" ht="18.75" x14ac:dyDescent="0.3">
      <c r="A103" s="48"/>
      <c r="B103" s="52"/>
      <c r="C103" s="48"/>
      <c r="D103" s="53" t="s">
        <v>48</v>
      </c>
      <c r="E103" s="57">
        <v>39.997100000000003</v>
      </c>
      <c r="F103" s="48" t="s">
        <v>47</v>
      </c>
      <c r="G103" s="48"/>
      <c r="H103" s="54"/>
      <c r="I103" s="48"/>
      <c r="J103" s="48"/>
      <c r="K103" s="47"/>
      <c r="L103" s="47"/>
      <c r="M103" s="47"/>
    </row>
    <row r="104" spans="1:13" ht="18.75" x14ac:dyDescent="0.3">
      <c r="A104" s="48"/>
      <c r="B104" s="52"/>
      <c r="C104" s="48"/>
      <c r="D104" s="53" t="s">
        <v>70</v>
      </c>
      <c r="E104" s="57">
        <v>78.044499999999999</v>
      </c>
      <c r="F104" s="48" t="s">
        <v>47</v>
      </c>
      <c r="G104" s="48"/>
      <c r="H104" s="54"/>
      <c r="I104" s="48"/>
      <c r="J104" s="48"/>
      <c r="K104" s="47"/>
      <c r="L104" s="47"/>
      <c r="M104" s="47"/>
    </row>
    <row r="105" spans="1:13" ht="18.75" x14ac:dyDescent="0.3">
      <c r="A105" s="48"/>
      <c r="B105" s="52"/>
      <c r="C105" s="48"/>
      <c r="D105" s="53" t="s">
        <v>50</v>
      </c>
      <c r="E105" s="57">
        <v>18.0153</v>
      </c>
      <c r="F105" s="48" t="s">
        <v>47</v>
      </c>
      <c r="G105" s="48"/>
      <c r="H105" s="54"/>
      <c r="I105" s="48"/>
      <c r="J105" s="48"/>
      <c r="K105" s="47"/>
      <c r="L105" s="47"/>
      <c r="M105" s="47"/>
    </row>
    <row r="106" spans="1:13" ht="18.75" x14ac:dyDescent="0.3">
      <c r="A106" s="48"/>
      <c r="B106" s="52"/>
      <c r="C106" s="48"/>
      <c r="D106" s="48"/>
      <c r="E106" s="48"/>
      <c r="F106" s="48"/>
      <c r="G106" s="48"/>
      <c r="H106" s="54"/>
      <c r="I106" s="48"/>
      <c r="J106" s="48"/>
      <c r="K106" s="47"/>
      <c r="L106" s="47"/>
      <c r="M106" s="47"/>
    </row>
    <row r="107" spans="1:13" ht="18.75" x14ac:dyDescent="0.3">
      <c r="A107" s="48"/>
      <c r="B107" s="52"/>
      <c r="C107" s="48"/>
      <c r="D107" s="53" t="s">
        <v>67</v>
      </c>
      <c r="E107" s="56">
        <f>IF('[1]Сводный материальный баланс'!F41=3,'[1]С-301'!K33, IF('[1]Сводный материальный баланс'!F41=2,'[1]С-301'!G33, IF('[1]Сводный материальный баланс'!F41=1,'[1]С-301'!C33)))+E97</f>
        <v>0.56031656139559871</v>
      </c>
      <c r="F107" s="48" t="s">
        <v>52</v>
      </c>
      <c r="G107" s="48"/>
      <c r="H107" s="54"/>
      <c r="I107" s="48"/>
      <c r="J107" s="48"/>
      <c r="K107" s="47"/>
      <c r="L107" s="47"/>
      <c r="M107" s="47"/>
    </row>
    <row r="108" spans="1:13" ht="18.75" x14ac:dyDescent="0.3">
      <c r="A108" s="48"/>
      <c r="B108" s="52"/>
      <c r="C108" s="48"/>
      <c r="D108" s="53" t="s">
        <v>53</v>
      </c>
      <c r="E108" s="56">
        <f>$E$107*2*E103/$E$102</f>
        <v>1.3151670019157888</v>
      </c>
      <c r="F108" s="48" t="s">
        <v>52</v>
      </c>
      <c r="G108" s="48"/>
      <c r="H108" s="54"/>
      <c r="I108" s="48"/>
      <c r="J108" s="48"/>
      <c r="K108" s="47"/>
      <c r="L108" s="47"/>
      <c r="M108" s="47"/>
    </row>
    <row r="109" spans="1:13" ht="18.75" x14ac:dyDescent="0.3">
      <c r="A109" s="48"/>
      <c r="B109" s="52"/>
      <c r="C109" s="48"/>
      <c r="D109" s="53" t="s">
        <v>71</v>
      </c>
      <c r="E109" s="56">
        <f>$E$107*E104/$E$102</f>
        <v>1.2831124141627366</v>
      </c>
      <c r="F109" s="48" t="s">
        <v>52</v>
      </c>
      <c r="G109" s="48"/>
      <c r="H109" s="54"/>
      <c r="I109" s="48"/>
      <c r="J109" s="48"/>
      <c r="K109" s="47"/>
      <c r="L109" s="47"/>
      <c r="M109" s="47"/>
    </row>
    <row r="110" spans="1:13" ht="18.75" x14ac:dyDescent="0.3">
      <c r="A110" s="48"/>
      <c r="B110" s="52"/>
      <c r="C110" s="48"/>
      <c r="D110" s="53" t="s">
        <v>55</v>
      </c>
      <c r="E110" s="56">
        <f>$E$107*2*E105/$E$102</f>
        <v>0.59237114914865097</v>
      </c>
      <c r="F110" s="48" t="s">
        <v>52</v>
      </c>
      <c r="G110" s="48"/>
      <c r="H110" s="54"/>
      <c r="I110" s="48"/>
      <c r="J110" s="48"/>
      <c r="K110" s="47"/>
      <c r="L110" s="47"/>
      <c r="M110" s="47"/>
    </row>
    <row r="111" spans="1:13" ht="18.75" x14ac:dyDescent="0.3">
      <c r="A111" s="48"/>
      <c r="B111" s="52"/>
      <c r="C111" s="48"/>
      <c r="D111" s="48"/>
      <c r="E111" s="48"/>
      <c r="F111" s="48"/>
      <c r="G111" s="48"/>
      <c r="H111" s="54"/>
      <c r="I111" s="48"/>
      <c r="J111" s="48"/>
      <c r="K111" s="47"/>
      <c r="L111" s="47"/>
      <c r="M111" s="47"/>
    </row>
    <row r="112" spans="1:13" ht="18.75" x14ac:dyDescent="0.3">
      <c r="A112" s="48"/>
      <c r="B112" s="52"/>
      <c r="C112" s="48"/>
      <c r="D112" s="53" t="s">
        <v>44</v>
      </c>
      <c r="E112" s="48" t="s">
        <v>72</v>
      </c>
      <c r="F112" s="48"/>
      <c r="G112" s="48"/>
      <c r="H112" s="54"/>
      <c r="I112" s="48"/>
      <c r="J112" s="48"/>
      <c r="K112" s="47"/>
      <c r="L112" s="47"/>
      <c r="M112" s="47"/>
    </row>
    <row r="113" spans="1:13" ht="18.75" x14ac:dyDescent="0.3">
      <c r="A113" s="48"/>
      <c r="B113" s="52"/>
      <c r="C113" s="48"/>
      <c r="D113" s="48"/>
      <c r="E113" s="48"/>
      <c r="F113" s="48"/>
      <c r="G113" s="48"/>
      <c r="H113" s="54"/>
      <c r="I113" s="48"/>
      <c r="J113" s="48"/>
      <c r="K113" s="47"/>
      <c r="L113" s="47"/>
      <c r="M113" s="47"/>
    </row>
    <row r="114" spans="1:13" ht="18.75" x14ac:dyDescent="0.3">
      <c r="A114" s="48"/>
      <c r="B114" s="52"/>
      <c r="C114" s="48"/>
      <c r="D114" s="53" t="s">
        <v>65</v>
      </c>
      <c r="E114" s="53">
        <v>44.009500000000003</v>
      </c>
      <c r="F114" s="48" t="s">
        <v>47</v>
      </c>
      <c r="G114" s="48"/>
      <c r="H114" s="54"/>
      <c r="I114" s="48"/>
      <c r="J114" s="48"/>
      <c r="K114" s="47"/>
      <c r="L114" s="47"/>
      <c r="M114" s="47"/>
    </row>
    <row r="115" spans="1:13" ht="18.75" x14ac:dyDescent="0.3">
      <c r="A115" s="48"/>
      <c r="B115" s="52"/>
      <c r="C115" s="48"/>
      <c r="D115" s="53" t="s">
        <v>48</v>
      </c>
      <c r="E115" s="53">
        <v>39.997100000000003</v>
      </c>
      <c r="F115" s="48" t="s">
        <v>47</v>
      </c>
      <c r="G115" s="48"/>
      <c r="H115" s="54"/>
      <c r="I115" s="48"/>
      <c r="J115" s="48"/>
      <c r="K115" s="47"/>
      <c r="L115" s="47"/>
      <c r="M115" s="47"/>
    </row>
    <row r="116" spans="1:13" ht="18.75" x14ac:dyDescent="0.3">
      <c r="A116" s="48"/>
      <c r="B116" s="52"/>
      <c r="C116" s="48"/>
      <c r="D116" s="53" t="s">
        <v>73</v>
      </c>
      <c r="E116" s="53">
        <v>105.9884</v>
      </c>
      <c r="F116" s="48" t="s">
        <v>47</v>
      </c>
      <c r="G116" s="48"/>
      <c r="H116" s="54"/>
      <c r="I116" s="48"/>
      <c r="J116" s="48"/>
      <c r="K116" s="47"/>
      <c r="L116" s="47"/>
      <c r="M116" s="47"/>
    </row>
    <row r="117" spans="1:13" ht="18.75" x14ac:dyDescent="0.3">
      <c r="A117" s="48"/>
      <c r="B117" s="52"/>
      <c r="C117" s="48"/>
      <c r="D117" s="53" t="s">
        <v>50</v>
      </c>
      <c r="E117" s="53">
        <v>18.0153</v>
      </c>
      <c r="F117" s="48" t="s">
        <v>47</v>
      </c>
      <c r="G117" s="48"/>
      <c r="H117" s="54"/>
      <c r="I117" s="48"/>
      <c r="J117" s="48"/>
      <c r="K117" s="47"/>
      <c r="L117" s="47"/>
      <c r="M117" s="47"/>
    </row>
    <row r="118" spans="1:13" ht="18.75" x14ac:dyDescent="0.3">
      <c r="A118" s="48"/>
      <c r="B118" s="52"/>
      <c r="C118" s="48"/>
      <c r="D118" s="48"/>
      <c r="E118" s="48"/>
      <c r="F118" s="48"/>
      <c r="G118" s="48"/>
      <c r="H118" s="54"/>
      <c r="I118" s="48"/>
      <c r="J118" s="48"/>
      <c r="K118" s="47"/>
      <c r="L118" s="47"/>
      <c r="M118" s="47"/>
    </row>
    <row r="119" spans="1:13" ht="18.75" x14ac:dyDescent="0.3">
      <c r="A119" s="48"/>
      <c r="B119" s="52"/>
      <c r="C119" s="48"/>
      <c r="D119" s="53" t="s">
        <v>68</v>
      </c>
      <c r="E119" s="56">
        <f>IF('[1]Сводный материальный баланс'!F41=3,'[1]С-301'!K48, IF('[1]Сводный материальный баланс'!F41=2,'[1]С-301'!G48, IF('[1]Сводный материальный баланс'!F41=1,'[1]С-301'!C48)))+E98</f>
        <v>0.57307124461911507</v>
      </c>
      <c r="F119" s="48" t="s">
        <v>52</v>
      </c>
      <c r="G119" s="48"/>
      <c r="H119" s="54"/>
      <c r="I119" s="48"/>
      <c r="J119" s="48"/>
      <c r="K119" s="47"/>
      <c r="L119" s="47"/>
      <c r="M119" s="47"/>
    </row>
    <row r="120" spans="1:13" ht="18.75" x14ac:dyDescent="0.3">
      <c r="A120" s="48"/>
      <c r="B120" s="52"/>
      <c r="C120" s="48"/>
      <c r="D120" s="53" t="s">
        <v>53</v>
      </c>
      <c r="E120" s="56">
        <f>$E$119*2*E115/$E$114</f>
        <v>1.0416472751635537</v>
      </c>
      <c r="F120" s="48" t="s">
        <v>52</v>
      </c>
      <c r="G120" s="48"/>
      <c r="H120" s="54"/>
      <c r="I120" s="48"/>
      <c r="J120" s="48"/>
      <c r="K120" s="47"/>
      <c r="L120" s="47"/>
      <c r="M120" s="47"/>
    </row>
    <row r="121" spans="1:13" ht="18.75" x14ac:dyDescent="0.3">
      <c r="A121" s="48"/>
      <c r="B121" s="52"/>
      <c r="C121" s="48"/>
      <c r="D121" s="53" t="s">
        <v>74</v>
      </c>
      <c r="E121" s="56">
        <f t="shared" ref="E121:E122" si="24">$E$119*E116/$E$114</f>
        <v>1.3801316602821803</v>
      </c>
      <c r="F121" s="48" t="s">
        <v>52</v>
      </c>
      <c r="G121" s="48"/>
      <c r="H121" s="54"/>
      <c r="I121" s="48"/>
      <c r="J121" s="48"/>
      <c r="K121" s="47"/>
      <c r="L121" s="47"/>
      <c r="M121" s="47"/>
    </row>
    <row r="122" spans="1:13" ht="18.75" x14ac:dyDescent="0.3">
      <c r="A122" s="48"/>
      <c r="B122" s="52"/>
      <c r="C122" s="48"/>
      <c r="D122" s="53" t="s">
        <v>55</v>
      </c>
      <c r="E122" s="56">
        <f t="shared" si="24"/>
        <v>0.23458685950048835</v>
      </c>
      <c r="F122" s="48" t="s">
        <v>52</v>
      </c>
      <c r="G122" s="48"/>
      <c r="H122" s="54"/>
      <c r="I122" s="48"/>
      <c r="J122" s="48"/>
      <c r="K122" s="47"/>
      <c r="L122" s="47"/>
      <c r="M122" s="47"/>
    </row>
    <row r="123" spans="1:13" ht="19.5" thickBot="1" x14ac:dyDescent="0.35">
      <c r="A123" s="48"/>
      <c r="B123" s="58"/>
      <c r="C123" s="59"/>
      <c r="D123" s="59"/>
      <c r="E123" s="59"/>
      <c r="F123" s="59"/>
      <c r="G123" s="59"/>
      <c r="H123" s="60"/>
      <c r="I123" s="48"/>
      <c r="J123" s="48"/>
      <c r="K123" s="47"/>
      <c r="L123" s="47"/>
      <c r="M123" s="47"/>
    </row>
    <row r="124" spans="1:13" ht="19.5" thickBot="1" x14ac:dyDescent="0.3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7"/>
      <c r="L124" s="47"/>
      <c r="M124" s="47"/>
    </row>
    <row r="125" spans="1:13" ht="18.75" x14ac:dyDescent="0.3">
      <c r="A125" s="61" t="s">
        <v>75</v>
      </c>
      <c r="B125" s="62">
        <v>1</v>
      </c>
      <c r="C125" s="10"/>
      <c r="D125" s="63"/>
      <c r="E125" s="64">
        <v>2</v>
      </c>
      <c r="F125" s="10"/>
      <c r="G125" s="63"/>
      <c r="H125" s="65">
        <v>3</v>
      </c>
      <c r="I125" s="10"/>
      <c r="J125" s="11"/>
      <c r="K125" s="48"/>
      <c r="L125" s="48"/>
      <c r="M125" s="48"/>
    </row>
    <row r="126" spans="1:13" ht="18.75" x14ac:dyDescent="0.25">
      <c r="A126" s="19"/>
      <c r="B126" s="21" t="s">
        <v>34</v>
      </c>
      <c r="C126" s="21" t="s">
        <v>35</v>
      </c>
      <c r="D126" s="21"/>
      <c r="E126" s="21" t="s">
        <v>34</v>
      </c>
      <c r="F126" s="21" t="s">
        <v>35</v>
      </c>
      <c r="G126" s="21"/>
      <c r="H126" s="21" t="s">
        <v>34</v>
      </c>
      <c r="I126" s="21" t="s">
        <v>35</v>
      </c>
      <c r="J126" s="23"/>
      <c r="K126" s="47"/>
      <c r="L126" s="47"/>
      <c r="M126" s="47"/>
    </row>
    <row r="127" spans="1:13" ht="18.75" x14ac:dyDescent="0.25">
      <c r="A127" s="24" t="s">
        <v>15</v>
      </c>
      <c r="B127" s="26">
        <f>C28</f>
        <v>9.1022386183794879</v>
      </c>
      <c r="C127" s="27">
        <f t="shared" ref="C127:C147" si="25">B127/$B$148*100%</f>
        <v>2.6550500145738442E-3</v>
      </c>
      <c r="D127" s="26"/>
      <c r="E127" s="26">
        <f>G28</f>
        <v>1.0273813800140488</v>
      </c>
      <c r="F127" s="27">
        <f>100%-SUM(F128:F147)</f>
        <v>0.78855851420961953</v>
      </c>
      <c r="G127" s="26"/>
      <c r="H127" s="26">
        <f>K28</f>
        <v>0.51478033659623179</v>
      </c>
      <c r="I127" s="27">
        <f>100%-SUM(I128:I147)</f>
        <v>0.78902368678834578</v>
      </c>
      <c r="J127" s="23"/>
      <c r="K127" s="47"/>
      <c r="L127" s="47"/>
      <c r="M127" s="47"/>
    </row>
    <row r="128" spans="1:13" ht="18.75" x14ac:dyDescent="0.25">
      <c r="A128" s="24" t="s">
        <v>36</v>
      </c>
      <c r="B128" s="26">
        <v>0</v>
      </c>
      <c r="C128" s="27">
        <f t="shared" si="25"/>
        <v>0</v>
      </c>
      <c r="D128" s="26"/>
      <c r="E128" s="26">
        <v>0</v>
      </c>
      <c r="F128" s="27">
        <f t="shared" ref="F128:F147" si="26">E128/$C$25*100%</f>
        <v>0</v>
      </c>
      <c r="G128" s="26"/>
      <c r="H128" s="26">
        <v>0</v>
      </c>
      <c r="I128" s="27">
        <f t="shared" ref="I128:I147" si="27">H128/$C$25*100%</f>
        <v>0</v>
      </c>
      <c r="J128" s="23"/>
      <c r="K128" s="47"/>
      <c r="L128" s="47"/>
      <c r="M128" s="47"/>
    </row>
    <row r="129" spans="1:13" ht="18.75" x14ac:dyDescent="0.25">
      <c r="A129" s="24" t="s">
        <v>37</v>
      </c>
      <c r="B129" s="29">
        <f>C30-E59</f>
        <v>0</v>
      </c>
      <c r="C129" s="30">
        <f t="shared" si="25"/>
        <v>0</v>
      </c>
      <c r="D129" s="26"/>
      <c r="E129" s="29">
        <f>G30-E59</f>
        <v>-2.1176625018478674</v>
      </c>
      <c r="F129" s="30">
        <f t="shared" si="26"/>
        <v>-1.3125883528109726E-4</v>
      </c>
      <c r="G129" s="26"/>
      <c r="H129" s="29">
        <f>K30-E59</f>
        <v>-4.1294418786033447</v>
      </c>
      <c r="I129" s="30">
        <f t="shared" si="27"/>
        <v>-2.5595472879813986E-4</v>
      </c>
      <c r="J129" s="23"/>
      <c r="K129" s="47"/>
      <c r="L129" s="47"/>
      <c r="M129" s="47"/>
    </row>
    <row r="130" spans="1:13" ht="18.75" x14ac:dyDescent="0.25">
      <c r="A130" s="24" t="s">
        <v>38</v>
      </c>
      <c r="B130" s="29">
        <f>C31-E71</f>
        <v>0</v>
      </c>
      <c r="C130" s="30">
        <f t="shared" si="25"/>
        <v>0</v>
      </c>
      <c r="D130" s="26"/>
      <c r="E130" s="29">
        <f>G31-E71</f>
        <v>-2.5514506633607787</v>
      </c>
      <c r="F130" s="30">
        <f t="shared" si="26"/>
        <v>-1.5814627782174232E-4</v>
      </c>
      <c r="G130" s="26"/>
      <c r="H130" s="29">
        <f>K31-E71</f>
        <v>-4.8477562603854807</v>
      </c>
      <c r="I130" s="30">
        <f t="shared" si="27"/>
        <v>-3.0047792786131052E-4</v>
      </c>
      <c r="J130" s="23"/>
      <c r="K130" s="47"/>
      <c r="L130" s="47"/>
      <c r="M130" s="47"/>
    </row>
    <row r="131" spans="1:13" ht="18.75" x14ac:dyDescent="0.25">
      <c r="A131" s="24" t="s">
        <v>39</v>
      </c>
      <c r="B131" s="29">
        <f>C32-E83</f>
        <v>0</v>
      </c>
      <c r="C131" s="30">
        <f t="shared" si="25"/>
        <v>0</v>
      </c>
      <c r="D131" s="26"/>
      <c r="E131" s="29">
        <f>G32-E83</f>
        <v>-4.8513520958083839E-2</v>
      </c>
      <c r="F131" s="30">
        <f t="shared" si="26"/>
        <v>-3.0070080812153181E-6</v>
      </c>
      <c r="G131" s="26"/>
      <c r="H131" s="29">
        <f>K32-E83</f>
        <v>-8.2472985628742515E-2</v>
      </c>
      <c r="I131" s="30">
        <f t="shared" si="27"/>
        <v>-5.1119137380660404E-6</v>
      </c>
      <c r="J131" s="23"/>
      <c r="K131" s="47"/>
      <c r="L131" s="47"/>
      <c r="M131" s="47"/>
    </row>
    <row r="132" spans="1:13" ht="18.75" x14ac:dyDescent="0.25">
      <c r="A132" s="24" t="s">
        <v>0</v>
      </c>
      <c r="B132" s="29">
        <f>C33+E97-E107</f>
        <v>0</v>
      </c>
      <c r="C132" s="30">
        <f t="shared" si="25"/>
        <v>0</v>
      </c>
      <c r="D132" s="26"/>
      <c r="E132" s="29">
        <f>G33+E97-E107</f>
        <v>0</v>
      </c>
      <c r="F132" s="30">
        <f t="shared" si="26"/>
        <v>0</v>
      </c>
      <c r="G132" s="26"/>
      <c r="H132" s="29">
        <f>K33+E97-E107</f>
        <v>0</v>
      </c>
      <c r="I132" s="30">
        <f t="shared" si="27"/>
        <v>0</v>
      </c>
      <c r="J132" s="23"/>
      <c r="K132" s="47"/>
      <c r="L132" s="47"/>
      <c r="M132" s="47"/>
    </row>
    <row r="133" spans="1:13" ht="18.75" x14ac:dyDescent="0.25">
      <c r="A133" s="24" t="s">
        <v>3</v>
      </c>
      <c r="B133" s="66">
        <f>C36+E62+E74+E86-E96+E110+E117</f>
        <v>3041.2986483597392</v>
      </c>
      <c r="C133" s="67">
        <f t="shared" si="25"/>
        <v>0.88712242770103644</v>
      </c>
      <c r="D133" s="26"/>
      <c r="E133" s="66">
        <f>G36+E62+E74+E86-E96+E110+E117</f>
        <v>3038.2991718587195</v>
      </c>
      <c r="F133" s="67">
        <f t="shared" si="26"/>
        <v>0.18832255384684896</v>
      </c>
      <c r="G133" s="26"/>
      <c r="H133" s="66">
        <f>K36+E62+E74+E86-E96+E110+E117</f>
        <v>3035.3026948342008</v>
      </c>
      <c r="I133" s="67">
        <f t="shared" si="27"/>
        <v>0.18813682355042935</v>
      </c>
      <c r="J133" s="23"/>
      <c r="K133" s="47"/>
      <c r="L133" s="47"/>
      <c r="M133" s="47"/>
    </row>
    <row r="134" spans="1:13" ht="18.75" x14ac:dyDescent="0.25">
      <c r="A134" s="24" t="s">
        <v>4</v>
      </c>
      <c r="B134" s="29">
        <f>C37-E60-E72-E84-E108-E120</f>
        <v>278.75452510909014</v>
      </c>
      <c r="C134" s="30">
        <f t="shared" si="25"/>
        <v>8.1310459655383041E-2</v>
      </c>
      <c r="D134" s="26"/>
      <c r="E134" s="29">
        <f>G37-E60-E72-E84-E108-E120</f>
        <v>278.58810835909014</v>
      </c>
      <c r="F134" s="30">
        <f t="shared" si="26"/>
        <v>1.7267695203777692E-2</v>
      </c>
      <c r="G134" s="26"/>
      <c r="H134" s="29">
        <f>K37-E60-E72-E84-E108-E120</f>
        <v>278.42177481746518</v>
      </c>
      <c r="I134" s="30">
        <f t="shared" si="27"/>
        <v>1.7257385370684449E-2</v>
      </c>
      <c r="J134" s="23"/>
      <c r="K134" s="47"/>
      <c r="L134" s="47"/>
      <c r="M134" s="47"/>
    </row>
    <row r="135" spans="1:13" ht="18.75" x14ac:dyDescent="0.25">
      <c r="A135" s="24" t="s">
        <v>5</v>
      </c>
      <c r="B135" s="68">
        <f>E61</f>
        <v>61.705755813860918</v>
      </c>
      <c r="C135" s="69">
        <f t="shared" si="25"/>
        <v>1.7999074155457512E-2</v>
      </c>
      <c r="D135" s="26"/>
      <c r="E135" s="68">
        <f>E61</f>
        <v>61.705755813860918</v>
      </c>
      <c r="F135" s="69">
        <f t="shared" si="26"/>
        <v>3.8247008818447885E-3</v>
      </c>
      <c r="G135" s="26"/>
      <c r="H135" s="68">
        <f>E61</f>
        <v>61.705755813860918</v>
      </c>
      <c r="I135" s="69">
        <f t="shared" si="27"/>
        <v>3.8247008818447885E-3</v>
      </c>
      <c r="J135" s="23"/>
      <c r="K135" s="47"/>
      <c r="L135" s="47"/>
      <c r="M135" s="47"/>
    </row>
    <row r="136" spans="1:13" ht="18.75" x14ac:dyDescent="0.25">
      <c r="A136" s="24" t="s">
        <v>6</v>
      </c>
      <c r="B136" s="68">
        <f>E73</f>
        <v>34.541083602244974</v>
      </c>
      <c r="C136" s="69">
        <f t="shared" si="25"/>
        <v>1.0075357103510449E-2</v>
      </c>
      <c r="D136" s="26"/>
      <c r="E136" s="68">
        <f>E73</f>
        <v>34.541083602244974</v>
      </c>
      <c r="F136" s="69">
        <f t="shared" si="26"/>
        <v>2.1409560772887464E-3</v>
      </c>
      <c r="G136" s="26"/>
      <c r="H136" s="68">
        <f>E73</f>
        <v>34.541083602244974</v>
      </c>
      <c r="I136" s="69">
        <f t="shared" si="27"/>
        <v>2.1409560772887464E-3</v>
      </c>
      <c r="J136" s="23"/>
      <c r="K136" s="47"/>
      <c r="L136" s="47"/>
      <c r="M136" s="47"/>
    </row>
    <row r="137" spans="1:13" ht="18.75" x14ac:dyDescent="0.25">
      <c r="A137" s="24" t="s">
        <v>76</v>
      </c>
      <c r="B137" s="68">
        <f>E85</f>
        <v>0.20838567357560409</v>
      </c>
      <c r="C137" s="69">
        <f t="shared" si="25"/>
        <v>6.078442994745285E-5</v>
      </c>
      <c r="D137" s="26"/>
      <c r="E137" s="68">
        <f>E85</f>
        <v>0.20838567357560409</v>
      </c>
      <c r="F137" s="69">
        <f t="shared" si="26"/>
        <v>1.2916345630587039E-5</v>
      </c>
      <c r="G137" s="26"/>
      <c r="H137" s="68">
        <f>E85</f>
        <v>0.20838567357560409</v>
      </c>
      <c r="I137" s="69">
        <f t="shared" si="27"/>
        <v>1.2916345630587039E-5</v>
      </c>
      <c r="J137" s="23"/>
      <c r="K137" s="47"/>
      <c r="L137" s="47"/>
      <c r="M137" s="47"/>
    </row>
    <row r="138" spans="1:13" ht="18.75" x14ac:dyDescent="0.25">
      <c r="A138" s="24" t="s">
        <v>7</v>
      </c>
      <c r="B138" s="68">
        <f>E109</f>
        <v>1.2831124141627366</v>
      </c>
      <c r="C138" s="69">
        <f t="shared" si="25"/>
        <v>3.7427360199541435E-4</v>
      </c>
      <c r="D138" s="26"/>
      <c r="E138" s="68">
        <f>E109</f>
        <v>1.2831124141627366</v>
      </c>
      <c r="F138" s="69">
        <f t="shared" si="26"/>
        <v>7.9531011608674615E-5</v>
      </c>
      <c r="G138" s="26"/>
      <c r="H138" s="68">
        <f>E109</f>
        <v>1.2831124141627366</v>
      </c>
      <c r="I138" s="69">
        <f t="shared" si="27"/>
        <v>7.9531011608674615E-5</v>
      </c>
      <c r="J138" s="23"/>
      <c r="K138" s="47"/>
      <c r="L138" s="47"/>
      <c r="M138" s="47"/>
    </row>
    <row r="139" spans="1:13" ht="18.75" x14ac:dyDescent="0.25">
      <c r="A139" s="24" t="s">
        <v>77</v>
      </c>
      <c r="B139" s="68">
        <f>E121</f>
        <v>1.3801316602821803</v>
      </c>
      <c r="C139" s="69">
        <f t="shared" si="25"/>
        <v>4.0257333809585425E-4</v>
      </c>
      <c r="D139" s="26"/>
      <c r="E139" s="68">
        <f>E121</f>
        <v>1.3801316602821803</v>
      </c>
      <c r="F139" s="69">
        <f t="shared" si="26"/>
        <v>8.5544544565118848E-5</v>
      </c>
      <c r="G139" s="26"/>
      <c r="H139" s="68">
        <f>E121</f>
        <v>1.3801316602821803</v>
      </c>
      <c r="I139" s="69">
        <f t="shared" si="27"/>
        <v>8.5544544565118848E-5</v>
      </c>
      <c r="J139" s="23"/>
      <c r="K139" s="47"/>
    </row>
    <row r="140" spans="1:13" ht="18.75" x14ac:dyDescent="0.25">
      <c r="A140" s="24" t="s">
        <v>8</v>
      </c>
      <c r="B140" s="26">
        <v>0</v>
      </c>
      <c r="C140" s="27">
        <f t="shared" si="25"/>
        <v>0</v>
      </c>
      <c r="D140" s="26"/>
      <c r="E140" s="21">
        <v>0</v>
      </c>
      <c r="F140" s="21">
        <f t="shared" si="26"/>
        <v>0</v>
      </c>
      <c r="G140" s="26"/>
      <c r="H140" s="21">
        <v>0</v>
      </c>
      <c r="I140" s="21">
        <f t="shared" si="27"/>
        <v>0</v>
      </c>
      <c r="J140" s="23"/>
      <c r="K140" s="47"/>
      <c r="L140" s="47"/>
      <c r="M140" s="47"/>
    </row>
    <row r="141" spans="1:13" ht="18.75" x14ac:dyDescent="0.25">
      <c r="A141" s="24" t="s">
        <v>9</v>
      </c>
      <c r="B141" s="26">
        <v>0</v>
      </c>
      <c r="C141" s="27">
        <f t="shared" si="25"/>
        <v>0</v>
      </c>
      <c r="D141" s="26"/>
      <c r="E141" s="21">
        <v>0</v>
      </c>
      <c r="F141" s="21">
        <f t="shared" si="26"/>
        <v>0</v>
      </c>
      <c r="G141" s="26"/>
      <c r="H141" s="21">
        <v>0</v>
      </c>
      <c r="I141" s="21">
        <f t="shared" si="27"/>
        <v>0</v>
      </c>
      <c r="J141" s="23"/>
      <c r="K141" s="47"/>
      <c r="L141" s="47"/>
      <c r="M141" s="47"/>
    </row>
    <row r="142" spans="1:13" ht="18.75" x14ac:dyDescent="0.25">
      <c r="A142" s="24" t="s">
        <v>10</v>
      </c>
      <c r="B142" s="26">
        <v>0</v>
      </c>
      <c r="C142" s="27">
        <f t="shared" si="25"/>
        <v>0</v>
      </c>
      <c r="D142" s="26"/>
      <c r="E142" s="21">
        <v>0</v>
      </c>
      <c r="F142" s="21">
        <f t="shared" si="26"/>
        <v>0</v>
      </c>
      <c r="G142" s="26"/>
      <c r="H142" s="21">
        <v>0</v>
      </c>
      <c r="I142" s="21">
        <f t="shared" si="27"/>
        <v>0</v>
      </c>
      <c r="J142" s="23"/>
      <c r="K142" s="47"/>
      <c r="L142" s="47"/>
      <c r="M142" s="47"/>
    </row>
    <row r="143" spans="1:13" ht="18.75" x14ac:dyDescent="0.25">
      <c r="A143" s="24" t="s">
        <v>11</v>
      </c>
      <c r="B143" s="26">
        <v>0</v>
      </c>
      <c r="C143" s="27">
        <f t="shared" si="25"/>
        <v>0</v>
      </c>
      <c r="D143" s="26"/>
      <c r="E143" s="21">
        <v>0</v>
      </c>
      <c r="F143" s="21">
        <f t="shared" si="26"/>
        <v>0</v>
      </c>
      <c r="G143" s="26"/>
      <c r="H143" s="21">
        <v>0</v>
      </c>
      <c r="I143" s="21">
        <f t="shared" si="27"/>
        <v>0</v>
      </c>
      <c r="J143" s="23"/>
      <c r="K143" s="47"/>
      <c r="L143" s="47"/>
      <c r="M143" s="47"/>
    </row>
    <row r="144" spans="1:13" ht="18.75" x14ac:dyDescent="0.25">
      <c r="A144" s="24" t="s">
        <v>12</v>
      </c>
      <c r="B144" s="26">
        <v>0</v>
      </c>
      <c r="C144" s="27">
        <f t="shared" si="25"/>
        <v>0</v>
      </c>
      <c r="D144" s="26"/>
      <c r="E144" s="21">
        <v>0</v>
      </c>
      <c r="F144" s="21">
        <f t="shared" si="26"/>
        <v>0</v>
      </c>
      <c r="G144" s="26"/>
      <c r="H144" s="21">
        <v>0</v>
      </c>
      <c r="I144" s="21">
        <f t="shared" si="27"/>
        <v>0</v>
      </c>
      <c r="J144" s="23"/>
      <c r="K144" s="47"/>
      <c r="L144" s="47"/>
      <c r="M144" s="47"/>
    </row>
    <row r="145" spans="1:13" ht="18.75" x14ac:dyDescent="0.25">
      <c r="A145" s="24" t="s">
        <v>40</v>
      </c>
      <c r="B145" s="26">
        <v>0</v>
      </c>
      <c r="C145" s="27">
        <f t="shared" si="25"/>
        <v>0</v>
      </c>
      <c r="D145" s="26"/>
      <c r="E145" s="21">
        <v>0</v>
      </c>
      <c r="F145" s="21">
        <f t="shared" si="26"/>
        <v>0</v>
      </c>
      <c r="G145" s="26"/>
      <c r="H145" s="21">
        <v>0</v>
      </c>
      <c r="I145" s="21">
        <f t="shared" si="27"/>
        <v>0</v>
      </c>
      <c r="J145" s="23"/>
      <c r="K145" s="47"/>
      <c r="L145" s="47"/>
      <c r="M145" s="47"/>
    </row>
    <row r="146" spans="1:13" ht="18.75" x14ac:dyDescent="0.25">
      <c r="A146" s="24" t="s">
        <v>41</v>
      </c>
      <c r="B146" s="26">
        <v>0</v>
      </c>
      <c r="C146" s="27">
        <f t="shared" si="25"/>
        <v>0</v>
      </c>
      <c r="D146" s="26"/>
      <c r="E146" s="21">
        <v>0</v>
      </c>
      <c r="F146" s="21">
        <f t="shared" si="26"/>
        <v>0</v>
      </c>
      <c r="G146" s="26"/>
      <c r="H146" s="21">
        <v>0</v>
      </c>
      <c r="I146" s="21">
        <f t="shared" si="27"/>
        <v>0</v>
      </c>
      <c r="J146" s="23"/>
      <c r="K146" s="47"/>
      <c r="L146" s="47"/>
      <c r="M146" s="47"/>
    </row>
    <row r="147" spans="1:13" ht="18.75" x14ac:dyDescent="0.25">
      <c r="A147" s="24" t="s">
        <v>42</v>
      </c>
      <c r="B147" s="66">
        <f>C48+E98-E119</f>
        <v>0</v>
      </c>
      <c r="C147" s="67">
        <f t="shared" si="25"/>
        <v>0</v>
      </c>
      <c r="D147" s="26"/>
      <c r="E147" s="66">
        <f>C48+E98-E119</f>
        <v>0</v>
      </c>
      <c r="F147" s="67">
        <f t="shared" si="26"/>
        <v>0</v>
      </c>
      <c r="G147" s="26"/>
      <c r="H147" s="66">
        <f>C48+E98-E119</f>
        <v>0</v>
      </c>
      <c r="I147" s="67">
        <f t="shared" si="27"/>
        <v>0</v>
      </c>
      <c r="J147" s="23"/>
      <c r="K147" s="47"/>
      <c r="L147" s="47"/>
      <c r="M147" s="47"/>
    </row>
    <row r="148" spans="1:13" ht="19.5" thickBot="1" x14ac:dyDescent="0.35">
      <c r="A148" s="42" t="s">
        <v>23</v>
      </c>
      <c r="B148" s="44">
        <f t="shared" ref="B148:C148" si="28">SUM(B127:B147)</f>
        <v>3428.2738812513353</v>
      </c>
      <c r="C148" s="45">
        <f t="shared" si="28"/>
        <v>1.0000000000000002</v>
      </c>
      <c r="D148" s="43"/>
      <c r="E148" s="44">
        <f t="shared" ref="E148:F148" si="29">SUM(E127:E147)</f>
        <v>3412.3155040757838</v>
      </c>
      <c r="F148" s="45">
        <f t="shared" si="29"/>
        <v>1</v>
      </c>
      <c r="G148" s="43"/>
      <c r="H148" s="44">
        <f t="shared" ref="H148:I148" si="30">SUM(H127:H147)</f>
        <v>3404.2980480277711</v>
      </c>
      <c r="I148" s="45">
        <f t="shared" si="30"/>
        <v>0.99999999999999989</v>
      </c>
      <c r="J148" s="46"/>
      <c r="K148" s="47"/>
      <c r="L148" s="47"/>
      <c r="M148" s="47"/>
    </row>
    <row r="149" spans="1:13" ht="19.5" thickBot="1" x14ac:dyDescent="0.35">
      <c r="A149" s="48"/>
      <c r="B149" s="48"/>
      <c r="C149" s="48"/>
      <c r="D149" s="48"/>
      <c r="E149" s="48"/>
      <c r="F149" s="48"/>
      <c r="G149" s="48"/>
      <c r="H149" s="48"/>
      <c r="I149" s="48"/>
      <c r="J149" s="47"/>
      <c r="K149" s="47"/>
      <c r="L149" s="47"/>
      <c r="M149" s="47"/>
    </row>
    <row r="150" spans="1:13" ht="19.5" thickBot="1" x14ac:dyDescent="0.35">
      <c r="A150" s="48"/>
      <c r="B150" s="70"/>
      <c r="C150" s="71" t="s">
        <v>78</v>
      </c>
      <c r="D150" s="48"/>
      <c r="E150" s="48"/>
      <c r="F150" s="48"/>
      <c r="G150" s="48"/>
      <c r="H150" s="48"/>
      <c r="I150" s="48"/>
      <c r="J150" s="47"/>
      <c r="K150" s="47"/>
      <c r="L150" s="47"/>
      <c r="M150" s="47"/>
    </row>
    <row r="151" spans="1:13" ht="19.5" thickBot="1" x14ac:dyDescent="0.35">
      <c r="A151" s="48"/>
      <c r="B151" s="72"/>
      <c r="C151" s="73" t="s">
        <v>79</v>
      </c>
      <c r="D151" s="74"/>
      <c r="E151" s="48"/>
      <c r="F151" s="48"/>
      <c r="G151" s="48"/>
      <c r="H151" s="48"/>
      <c r="I151" s="48"/>
      <c r="J151" s="47"/>
      <c r="K151" s="47"/>
      <c r="L151" s="47"/>
      <c r="M151" s="47"/>
    </row>
    <row r="152" spans="1:13" ht="38.25" thickBot="1" x14ac:dyDescent="0.35">
      <c r="A152" s="48"/>
      <c r="B152" s="75"/>
      <c r="C152" s="76" t="s">
        <v>80</v>
      </c>
      <c r="D152" s="48"/>
      <c r="E152" s="48"/>
      <c r="F152" s="48"/>
      <c r="G152" s="48"/>
      <c r="H152" s="48"/>
      <c r="I152" s="48"/>
      <c r="J152" s="47"/>
      <c r="K152" s="47"/>
      <c r="L152" s="47"/>
      <c r="M152" s="47"/>
    </row>
  </sheetData>
  <mergeCells count="13">
    <mergeCell ref="A125:A126"/>
    <mergeCell ref="B125:D125"/>
    <mergeCell ref="E125:G125"/>
    <mergeCell ref="H125:J125"/>
    <mergeCell ref="A1:M1"/>
    <mergeCell ref="A2:A3"/>
    <mergeCell ref="B2:E2"/>
    <mergeCell ref="F2:I2"/>
    <mergeCell ref="J2:M2"/>
    <mergeCell ref="A26:A27"/>
    <mergeCell ref="B26:E26"/>
    <mergeCell ref="F26:I26"/>
    <mergeCell ref="J26:M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3754-E95E-49F1-919E-DB234BE767A8}">
  <dimension ref="A1:I29"/>
  <sheetViews>
    <sheetView workbookViewId="0">
      <selection activeCell="G9" sqref="G9"/>
    </sheetView>
  </sheetViews>
  <sheetFormatPr defaultRowHeight="15" x14ac:dyDescent="0.25"/>
  <cols>
    <col min="1" max="1" width="19" customWidth="1"/>
  </cols>
  <sheetData>
    <row r="1" spans="1:2" x14ac:dyDescent="0.25">
      <c r="A1" t="s">
        <v>24</v>
      </c>
    </row>
    <row r="2" spans="1:2" x14ac:dyDescent="0.25">
      <c r="A2" t="s">
        <v>25</v>
      </c>
      <c r="B2">
        <v>16210</v>
      </c>
    </row>
    <row r="3" spans="1:2" x14ac:dyDescent="0.25">
      <c r="A3" t="s">
        <v>30</v>
      </c>
      <c r="B3">
        <v>3</v>
      </c>
    </row>
    <row r="21" spans="5:9" x14ac:dyDescent="0.25">
      <c r="G21">
        <v>44.56129</v>
      </c>
      <c r="H21">
        <v>44.56129</v>
      </c>
      <c r="I21">
        <v>44.56129</v>
      </c>
    </row>
    <row r="22" spans="5:9" x14ac:dyDescent="0.25">
      <c r="G22">
        <v>0.05</v>
      </c>
      <c r="H22">
        <f>G22*0.05</f>
        <v>2.5000000000000005E-3</v>
      </c>
      <c r="I22">
        <f>H22*0.05</f>
        <v>1.2500000000000003E-4</v>
      </c>
    </row>
    <row r="23" spans="5:9" x14ac:dyDescent="0.25">
      <c r="G23">
        <f>G21*G22</f>
        <v>2.2280644999999999</v>
      </c>
      <c r="H23">
        <f t="shared" ref="H23:I23" si="0">H21*H22</f>
        <v>0.11140322500000002</v>
      </c>
      <c r="I23">
        <f t="shared" si="0"/>
        <v>5.5701612500000013E-3</v>
      </c>
    </row>
    <row r="26" spans="5:9" x14ac:dyDescent="0.25">
      <c r="F26">
        <v>44.56129</v>
      </c>
      <c r="G26">
        <v>0.3</v>
      </c>
    </row>
    <row r="27" spans="5:9" x14ac:dyDescent="0.25">
      <c r="E27">
        <f>F27/F26</f>
        <v>0.3</v>
      </c>
      <c r="F27">
        <f>F26*$G$26</f>
        <v>13.368387</v>
      </c>
    </row>
    <row r="28" spans="5:9" x14ac:dyDescent="0.25">
      <c r="E28">
        <f>F28/F26</f>
        <v>9.0000000000000011E-2</v>
      </c>
      <c r="F28">
        <f>F27*$G$26</f>
        <v>4.0105161000000003</v>
      </c>
    </row>
    <row r="29" spans="5:9" x14ac:dyDescent="0.25">
      <c r="E29">
        <f>F29/F26</f>
        <v>2.7000000000000003E-2</v>
      </c>
      <c r="F29">
        <f>F28*$G$26</f>
        <v>1.2031548300000001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Экстрактор</vt:lpstr>
      <vt:lpstr>Исходные данные</vt:lpstr>
      <vt:lpstr>Тарелки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11</dc:creator>
  <cp:lastModifiedBy>Николай Мадаминов</cp:lastModifiedBy>
  <dcterms:created xsi:type="dcterms:W3CDTF">2015-06-05T18:19:34Z</dcterms:created>
  <dcterms:modified xsi:type="dcterms:W3CDTF">2024-05-28T11:29:02Z</dcterms:modified>
</cp:coreProperties>
</file>