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C:\Users\youser9100\excel\projects\"/>
    </mc:Choice>
  </mc:AlternateContent>
  <xr:revisionPtr revIDLastSave="0" documentId="13_ncr:1_{EC8F4092-5F2D-48D2-9EE6-9D412793829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variables" sheetId="4" r:id="rId1"/>
    <sheet name="devices" sheetId="1" r:id="rId2"/>
    <sheet name="interfaces" sheetId="2" r:id="rId3"/>
    <sheet name="paths" sheetId="3" r:id="rId4"/>
    <sheet name="path_decomposed" sheetId="5" r:id="rId5"/>
    <sheet name="paths_input_tester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" i="9" l="1" a="1"/>
  <c r="AF4" i="9" s="1"/>
  <c r="AD4" i="9" a="1"/>
  <c r="AD4" i="9" s="1"/>
  <c r="AE4" i="9" a="1"/>
  <c r="AE4" i="9" s="1"/>
  <c r="AC4" i="9" a="1"/>
  <c r="AC4" i="9" s="1"/>
  <c r="T4" i="9" a="1"/>
  <c r="T4" i="9" s="1"/>
  <c r="D76" i="2" a="1"/>
  <c r="D76" i="2"/>
  <c r="G76" i="2"/>
  <c r="N76" i="2"/>
  <c r="H76" i="2" s="1" a="1"/>
  <c r="H76" i="2" s="1"/>
  <c r="O76" i="2"/>
  <c r="P76" i="2"/>
  <c r="Q76" i="2"/>
  <c r="Q4" i="9" a="1"/>
  <c r="G4" i="3"/>
  <c r="G5" i="3"/>
  <c r="G6" i="3"/>
  <c r="G7" i="3"/>
  <c r="G8" i="3"/>
  <c r="G10" i="3"/>
  <c r="G11" i="3"/>
  <c r="D4" i="3" a="1"/>
  <c r="D4" i="3"/>
  <c r="D5" i="3" a="1"/>
  <c r="D5" i="3"/>
  <c r="D6" i="3" a="1"/>
  <c r="D6" i="3"/>
  <c r="D7" i="3" a="1"/>
  <c r="D7" i="3"/>
  <c r="D8" i="3" a="1"/>
  <c r="D8" i="3"/>
  <c r="D9" i="3" a="1"/>
  <c r="D9" i="3"/>
  <c r="D10" i="3" a="1"/>
  <c r="D10" i="3"/>
  <c r="D11" i="3" a="1"/>
  <c r="D11" i="3"/>
  <c r="D66" i="2" a="1"/>
  <c r="D66" i="2"/>
  <c r="D67" i="2" a="1"/>
  <c r="D67" i="2"/>
  <c r="D68" i="2" a="1"/>
  <c r="D68" i="2"/>
  <c r="D69" i="2" a="1"/>
  <c r="D69" i="2"/>
  <c r="D70" i="2" a="1"/>
  <c r="D70" i="2"/>
  <c r="D71" i="2" a="1"/>
  <c r="D71" i="2"/>
  <c r="D72" i="2" a="1"/>
  <c r="D72" i="2"/>
  <c r="D73" i="2" a="1"/>
  <c r="D73" i="2"/>
  <c r="D74" i="2" a="1"/>
  <c r="D74" i="2"/>
  <c r="D75" i="2" a="1"/>
  <c r="D75" i="2"/>
  <c r="G66" i="2"/>
  <c r="G67" i="2"/>
  <c r="G68" i="2"/>
  <c r="G69" i="2"/>
  <c r="G70" i="2"/>
  <c r="G71" i="2"/>
  <c r="G72" i="2"/>
  <c r="G73" i="2"/>
  <c r="G74" i="2"/>
  <c r="G75" i="2"/>
  <c r="N66" i="2"/>
  <c r="N67" i="2"/>
  <c r="N68" i="2"/>
  <c r="N69" i="2"/>
  <c r="N70" i="2"/>
  <c r="N71" i="2"/>
  <c r="N72" i="2"/>
  <c r="N73" i="2"/>
  <c r="N74" i="2"/>
  <c r="N75" i="2"/>
  <c r="O66" i="2"/>
  <c r="P66" i="2" s="1"/>
  <c r="O67" i="2"/>
  <c r="O68" i="2"/>
  <c r="P68" i="2" s="1"/>
  <c r="O69" i="2"/>
  <c r="P69" i="2" s="1"/>
  <c r="O70" i="2"/>
  <c r="O71" i="2"/>
  <c r="O72" i="2"/>
  <c r="O73" i="2"/>
  <c r="O74" i="2"/>
  <c r="O75" i="2"/>
  <c r="P70" i="2"/>
  <c r="P71" i="2"/>
  <c r="P72" i="2"/>
  <c r="P73" i="2"/>
  <c r="P74" i="2"/>
  <c r="P75" i="2"/>
  <c r="Q66" i="2"/>
  <c r="Q67" i="2"/>
  <c r="Q68" i="2"/>
  <c r="Q69" i="2"/>
  <c r="Q70" i="2"/>
  <c r="Q71" i="2"/>
  <c r="Q72" i="2"/>
  <c r="Q73" i="2"/>
  <c r="Q74" i="2"/>
  <c r="Q75" i="2"/>
  <c r="D15" i="1" a="1"/>
  <c r="D15" i="1"/>
  <c r="G15" i="1"/>
  <c r="K15" i="1"/>
  <c r="Q15" i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G56" i="2"/>
  <c r="G57" i="2"/>
  <c r="G58" i="2"/>
  <c r="G59" i="2"/>
  <c r="G60" i="2"/>
  <c r="G61" i="2"/>
  <c r="G62" i="2"/>
  <c r="G63" i="2"/>
  <c r="G64" i="2"/>
  <c r="G65" i="2"/>
  <c r="N56" i="2"/>
  <c r="N57" i="2"/>
  <c r="N58" i="2"/>
  <c r="N59" i="2"/>
  <c r="N60" i="2"/>
  <c r="N61" i="2"/>
  <c r="N62" i="2"/>
  <c r="N63" i="2"/>
  <c r="N64" i="2"/>
  <c r="N65" i="2"/>
  <c r="O56" i="2"/>
  <c r="O57" i="2"/>
  <c r="O58" i="2"/>
  <c r="O59" i="2"/>
  <c r="O60" i="2"/>
  <c r="O61" i="2"/>
  <c r="O62" i="2"/>
  <c r="O63" i="2"/>
  <c r="O64" i="2"/>
  <c r="O65" i="2"/>
  <c r="P64" i="2"/>
  <c r="P65" i="2"/>
  <c r="Q56" i="2"/>
  <c r="Q57" i="2"/>
  <c r="Q58" i="2"/>
  <c r="Q59" i="2"/>
  <c r="Q60" i="2"/>
  <c r="Q61" i="2"/>
  <c r="Q62" i="2"/>
  <c r="Q63" i="2"/>
  <c r="Q64" i="2"/>
  <c r="Q65" i="2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G46" i="2"/>
  <c r="G47" i="2"/>
  <c r="G48" i="2"/>
  <c r="G49" i="2"/>
  <c r="G50" i="2"/>
  <c r="G51" i="2"/>
  <c r="G52" i="2"/>
  <c r="G53" i="2"/>
  <c r="G54" i="2"/>
  <c r="G55" i="2"/>
  <c r="N46" i="2"/>
  <c r="N47" i="2"/>
  <c r="N48" i="2"/>
  <c r="N49" i="2"/>
  <c r="N50" i="2"/>
  <c r="N51" i="2"/>
  <c r="N52" i="2"/>
  <c r="N53" i="2"/>
  <c r="N54" i="2"/>
  <c r="N55" i="2"/>
  <c r="O46" i="2"/>
  <c r="O47" i="2"/>
  <c r="O48" i="2"/>
  <c r="O49" i="2"/>
  <c r="O50" i="2"/>
  <c r="O51" i="2"/>
  <c r="O52" i="2"/>
  <c r="O53" i="2"/>
  <c r="O54" i="2"/>
  <c r="O55" i="2"/>
  <c r="Q46" i="2"/>
  <c r="Q47" i="2"/>
  <c r="Q48" i="2"/>
  <c r="Q49" i="2"/>
  <c r="Q50" i="2"/>
  <c r="Q51" i="2"/>
  <c r="Q52" i="2"/>
  <c r="Q53" i="2"/>
  <c r="Q54" i="2"/>
  <c r="Q55" i="2"/>
  <c r="D14" i="1" a="1"/>
  <c r="D14" i="1"/>
  <c r="G14" i="1"/>
  <c r="K14" i="1"/>
  <c r="Q14" i="1"/>
  <c r="D13" i="1" a="1"/>
  <c r="D13" i="1" s="1"/>
  <c r="G13" i="1"/>
  <c r="K13" i="1"/>
  <c r="Q13" i="1"/>
  <c r="G10" i="1"/>
  <c r="D40" i="2" a="1"/>
  <c r="D40" i="2"/>
  <c r="D41" i="2" a="1"/>
  <c r="D41" i="2"/>
  <c r="D42" i="2" a="1"/>
  <c r="D42" i="2"/>
  <c r="D43" i="2" a="1"/>
  <c r="D43" i="2" s="1"/>
  <c r="D44" i="2" a="1"/>
  <c r="D44" i="2"/>
  <c r="D45" i="2" a="1"/>
  <c r="D45" i="2"/>
  <c r="G40" i="2"/>
  <c r="G41" i="2"/>
  <c r="G42" i="2"/>
  <c r="G43" i="2"/>
  <c r="G44" i="2"/>
  <c r="G45" i="2"/>
  <c r="N40" i="2"/>
  <c r="N41" i="2"/>
  <c r="N42" i="2"/>
  <c r="N43" i="2"/>
  <c r="P43" i="2" s="1"/>
  <c r="N44" i="2"/>
  <c r="N45" i="2"/>
  <c r="O40" i="2"/>
  <c r="O41" i="2"/>
  <c r="O42" i="2"/>
  <c r="O43" i="2"/>
  <c r="O44" i="2"/>
  <c r="O45" i="2"/>
  <c r="Q40" i="2"/>
  <c r="Q41" i="2"/>
  <c r="Q42" i="2"/>
  <c r="Q43" i="2"/>
  <c r="Q44" i="2"/>
  <c r="Q45" i="2"/>
  <c r="D39" i="2" a="1"/>
  <c r="D39" i="2"/>
  <c r="G39" i="2"/>
  <c r="N39" i="2"/>
  <c r="O39" i="2"/>
  <c r="P39" i="2"/>
  <c r="Q39" i="2"/>
  <c r="D38" i="2" a="1"/>
  <c r="D38" i="2" s="1"/>
  <c r="G38" i="2"/>
  <c r="N38" i="2"/>
  <c r="O38" i="2"/>
  <c r="P38" i="2"/>
  <c r="Q38" i="2"/>
  <c r="D37" i="2" a="1"/>
  <c r="D37" i="2" s="1"/>
  <c r="G37" i="2"/>
  <c r="N37" i="2"/>
  <c r="O37" i="2"/>
  <c r="Q37" i="2"/>
  <c r="D36" i="2" a="1"/>
  <c r="D36" i="2" s="1"/>
  <c r="G36" i="2"/>
  <c r="N36" i="2"/>
  <c r="O36" i="2"/>
  <c r="Q36" i="2"/>
  <c r="D35" i="2" a="1"/>
  <c r="D35" i="2" s="1"/>
  <c r="G35" i="2"/>
  <c r="N35" i="2"/>
  <c r="O35" i="2"/>
  <c r="P35" i="2"/>
  <c r="Q35" i="2"/>
  <c r="D34" i="2" a="1"/>
  <c r="D34" i="2" s="1"/>
  <c r="G34" i="2"/>
  <c r="N34" i="2"/>
  <c r="O34" i="2"/>
  <c r="P34" i="2"/>
  <c r="Q34" i="2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G24" i="2"/>
  <c r="G25" i="2"/>
  <c r="G26" i="2"/>
  <c r="G27" i="2"/>
  <c r="G28" i="2"/>
  <c r="G29" i="2"/>
  <c r="G30" i="2"/>
  <c r="G31" i="2"/>
  <c r="G32" i="2"/>
  <c r="G33" i="2"/>
  <c r="N24" i="2"/>
  <c r="N25" i="2"/>
  <c r="N26" i="2"/>
  <c r="N27" i="2"/>
  <c r="N28" i="2"/>
  <c r="N29" i="2"/>
  <c r="N30" i="2"/>
  <c r="N31" i="2"/>
  <c r="N32" i="2"/>
  <c r="N33" i="2"/>
  <c r="O24" i="2"/>
  <c r="O25" i="2"/>
  <c r="O26" i="2"/>
  <c r="O27" i="2"/>
  <c r="O28" i="2"/>
  <c r="O29" i="2"/>
  <c r="O30" i="2"/>
  <c r="O31" i="2"/>
  <c r="O32" i="2"/>
  <c r="O33" i="2"/>
  <c r="Q24" i="2"/>
  <c r="Q25" i="2"/>
  <c r="Q26" i="2"/>
  <c r="Q27" i="2"/>
  <c r="Q28" i="2"/>
  <c r="Q29" i="2"/>
  <c r="Q30" i="2"/>
  <c r="Q31" i="2"/>
  <c r="Q32" i="2"/>
  <c r="Q33" i="2"/>
  <c r="D18" i="2" a="1"/>
  <c r="D18" i="2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G18" i="2"/>
  <c r="G19" i="2"/>
  <c r="G20" i="2"/>
  <c r="G21" i="2"/>
  <c r="G22" i="2"/>
  <c r="G23" i="2"/>
  <c r="N18" i="2"/>
  <c r="N19" i="2"/>
  <c r="N20" i="2"/>
  <c r="N21" i="2"/>
  <c r="N22" i="2"/>
  <c r="N23" i="2"/>
  <c r="O18" i="2"/>
  <c r="O19" i="2"/>
  <c r="O20" i="2"/>
  <c r="O21" i="2"/>
  <c r="O22" i="2"/>
  <c r="O23" i="2"/>
  <c r="Q18" i="2"/>
  <c r="Q19" i="2"/>
  <c r="Q20" i="2"/>
  <c r="Q21" i="2"/>
  <c r="Q22" i="2"/>
  <c r="Q23" i="2"/>
  <c r="D17" i="2" a="1"/>
  <c r="D17" i="2" s="1"/>
  <c r="G17" i="2"/>
  <c r="N17" i="2"/>
  <c r="O17" i="2"/>
  <c r="P17" i="2"/>
  <c r="Q17" i="2"/>
  <c r="D16" i="2" a="1"/>
  <c r="D16" i="2" s="1"/>
  <c r="G16" i="2"/>
  <c r="N16" i="2"/>
  <c r="O16" i="2"/>
  <c r="Q16" i="2"/>
  <c r="D15" i="2" a="1"/>
  <c r="D15" i="2" s="1"/>
  <c r="G15" i="2"/>
  <c r="N15" i="2"/>
  <c r="O15" i="2"/>
  <c r="Q15" i="2"/>
  <c r="D14" i="2" a="1"/>
  <c r="D14" i="2" s="1"/>
  <c r="G14" i="2"/>
  <c r="N14" i="2"/>
  <c r="O14" i="2"/>
  <c r="Q14" i="2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G9" i="2"/>
  <c r="G10" i="2"/>
  <c r="G11" i="2"/>
  <c r="G12" i="2"/>
  <c r="G13" i="2"/>
  <c r="N9" i="2"/>
  <c r="N10" i="2"/>
  <c r="N11" i="2"/>
  <c r="N12" i="2"/>
  <c r="N13" i="2"/>
  <c r="O9" i="2"/>
  <c r="O10" i="2"/>
  <c r="O11" i="2"/>
  <c r="O12" i="2"/>
  <c r="P12" i="2" s="1"/>
  <c r="O13" i="2"/>
  <c r="Q9" i="2"/>
  <c r="Q10" i="2"/>
  <c r="Q11" i="2"/>
  <c r="Q12" i="2"/>
  <c r="Q13" i="2"/>
  <c r="D12" i="1" a="1"/>
  <c r="D12" i="1" s="1"/>
  <c r="K12" i="1"/>
  <c r="Q12" i="1"/>
  <c r="D8" i="2" a="1"/>
  <c r="D8" i="2" s="1"/>
  <c r="G8" i="2"/>
  <c r="N8" i="2"/>
  <c r="O8" i="2"/>
  <c r="Q8" i="2"/>
  <c r="D7" i="2" a="1"/>
  <c r="D7" i="2" s="1"/>
  <c r="G7" i="2"/>
  <c r="N7" i="2"/>
  <c r="O7" i="2"/>
  <c r="Q7" i="2"/>
  <c r="E8" i="4"/>
  <c r="E7" i="4" a="1"/>
  <c r="E7" i="4" s="1"/>
  <c r="E9" i="4" s="1"/>
  <c r="Q4" i="2"/>
  <c r="Q5" i="2"/>
  <c r="Q6" i="2"/>
  <c r="Q5" i="1"/>
  <c r="Q6" i="1"/>
  <c r="Q7" i="1"/>
  <c r="Q8" i="1"/>
  <c r="Q9" i="1"/>
  <c r="Q10" i="1"/>
  <c r="Q11" i="1"/>
  <c r="D11" i="1" a="1"/>
  <c r="D11" i="1" s="1"/>
  <c r="K11" i="1"/>
  <c r="D10" i="1" a="1"/>
  <c r="D10" i="1" s="1"/>
  <c r="K10" i="1"/>
  <c r="D9" i="1" a="1"/>
  <c r="D9" i="1" s="1"/>
  <c r="G9" i="1"/>
  <c r="K9" i="1"/>
  <c r="G7" i="1"/>
  <c r="G8" i="1"/>
  <c r="D6" i="2" a="1"/>
  <c r="D6" i="2" s="1"/>
  <c r="G6" i="2"/>
  <c r="N6" i="2"/>
  <c r="O6" i="2"/>
  <c r="P6" i="2" s="1"/>
  <c r="D5" i="2" a="1"/>
  <c r="D5" i="2" s="1"/>
  <c r="N5" i="2"/>
  <c r="O5" i="2"/>
  <c r="O4" i="2"/>
  <c r="N4" i="2"/>
  <c r="P4" i="2" s="1"/>
  <c r="D4" i="2" a="1"/>
  <c r="D4" i="2" s="1"/>
  <c r="D8" i="1" a="1"/>
  <c r="D8" i="1" s="1"/>
  <c r="K8" i="1"/>
  <c r="D7" i="1" a="1"/>
  <c r="D7" i="1" s="1"/>
  <c r="K7" i="1"/>
  <c r="D6" i="1" a="1"/>
  <c r="D6" i="1" s="1"/>
  <c r="K6" i="1"/>
  <c r="K5" i="1"/>
  <c r="D5" i="1" a="1"/>
  <c r="D5" i="1" s="1"/>
  <c r="P56" i="2" l="1"/>
  <c r="P57" i="2"/>
  <c r="P58" i="2"/>
  <c r="P59" i="2"/>
  <c r="P60" i="2"/>
  <c r="P61" i="2"/>
  <c r="P62" i="2"/>
  <c r="P63" i="2"/>
  <c r="P44" i="2"/>
  <c r="P45" i="2"/>
  <c r="Q4" i="9"/>
  <c r="Z4" i="9" a="1"/>
  <c r="P41" i="2"/>
  <c r="P42" i="2"/>
  <c r="P67" i="2"/>
  <c r="R15" i="1"/>
  <c r="H15" i="1" s="1" a="1"/>
  <c r="H15" i="1" s="1"/>
  <c r="I15" i="1" s="1" a="1"/>
  <c r="I15" i="1" s="1"/>
  <c r="S15" i="1"/>
  <c r="P37" i="2"/>
  <c r="P46" i="2"/>
  <c r="P47" i="2"/>
  <c r="P48" i="2"/>
  <c r="P49" i="2"/>
  <c r="P50" i="2"/>
  <c r="P51" i="2"/>
  <c r="P52" i="2"/>
  <c r="P53" i="2"/>
  <c r="P54" i="2"/>
  <c r="P55" i="2"/>
  <c r="P36" i="2"/>
  <c r="P40" i="2"/>
  <c r="S14" i="1"/>
  <c r="R14" i="1"/>
  <c r="H14" i="1" s="1" a="1"/>
  <c r="H14" i="1" s="1"/>
  <c r="S13" i="1"/>
  <c r="R13" i="1"/>
  <c r="H13" i="1" s="1" a="1"/>
  <c r="H13" i="1" s="1"/>
  <c r="I13" i="1" s="1" a="1"/>
  <c r="I13" i="1" s="1"/>
  <c r="P24" i="2"/>
  <c r="P18" i="2"/>
  <c r="P26" i="2"/>
  <c r="P27" i="2"/>
  <c r="P14" i="2"/>
  <c r="P19" i="2"/>
  <c r="P20" i="2"/>
  <c r="P21" i="2"/>
  <c r="P28" i="2"/>
  <c r="P29" i="2"/>
  <c r="P30" i="2"/>
  <c r="P25" i="2"/>
  <c r="P31" i="2"/>
  <c r="P32" i="2"/>
  <c r="P33" i="2"/>
  <c r="P22" i="2"/>
  <c r="P23" i="2"/>
  <c r="P15" i="2"/>
  <c r="P16" i="2"/>
  <c r="P7" i="2"/>
  <c r="P11" i="2"/>
  <c r="P13" i="2"/>
  <c r="P5" i="2"/>
  <c r="P9" i="2"/>
  <c r="P10" i="2"/>
  <c r="R12" i="1"/>
  <c r="H12" i="1" s="1" a="1"/>
  <c r="H12" i="1" s="1"/>
  <c r="I12" i="1" s="1" a="1"/>
  <c r="I12" i="1" s="1"/>
  <c r="S12" i="1"/>
  <c r="P8" i="2"/>
  <c r="C7" i="5" a="1"/>
  <c r="D7" i="5" a="1"/>
  <c r="E7" i="5" a="1"/>
  <c r="R11" i="1"/>
  <c r="H11" i="1" s="1" a="1"/>
  <c r="H11" i="1" s="1"/>
  <c r="R9" i="1"/>
  <c r="H9" i="1" s="1" a="1"/>
  <c r="H9" i="1" s="1"/>
  <c r="I9" i="1" s="1" a="1"/>
  <c r="I9" i="1" s="1"/>
  <c r="R7" i="1"/>
  <c r="H7" i="1" s="1" a="1"/>
  <c r="H7" i="1" s="1"/>
  <c r="I7" i="1" s="1" a="1"/>
  <c r="I7" i="1" s="1"/>
  <c r="R8" i="1"/>
  <c r="H8" i="1" s="1" a="1"/>
  <c r="H8" i="1" s="1"/>
  <c r="I8" i="1" s="1" a="1"/>
  <c r="I8" i="1" s="1"/>
  <c r="R6" i="1"/>
  <c r="H6" i="1" s="1" a="1"/>
  <c r="H6" i="1" s="1"/>
  <c r="I6" i="1" s="1" a="1"/>
  <c r="I6" i="1" s="1"/>
  <c r="R5" i="1"/>
  <c r="H5" i="1" s="1" a="1"/>
  <c r="H5" i="1" s="1"/>
  <c r="I5" i="1" s="1" a="1"/>
  <c r="I5" i="1" s="1"/>
  <c r="S11" i="1"/>
  <c r="R10" i="1"/>
  <c r="H10" i="1" s="1" a="1"/>
  <c r="H10" i="1" s="1"/>
  <c r="I10" i="1" s="1" a="1"/>
  <c r="I10" i="1" s="1"/>
  <c r="S5" i="1"/>
  <c r="S7" i="1"/>
  <c r="S6" i="1"/>
  <c r="S10" i="1"/>
  <c r="S8" i="1"/>
  <c r="S9" i="1"/>
  <c r="S76" i="2" l="1"/>
  <c r="R76" i="2"/>
  <c r="I76" i="2" s="1" a="1"/>
  <c r="I76" i="2" s="1"/>
  <c r="J76" i="2" s="1" a="1"/>
  <c r="J76" i="2" s="1"/>
  <c r="K76" i="2" s="1"/>
  <c r="Z4" i="9"/>
  <c r="AB4" i="9" s="1" a="1"/>
  <c r="AB4" i="9" s="1"/>
  <c r="R4" i="9" a="1"/>
  <c r="P4" i="9" a="1"/>
  <c r="I14" i="1" a="1"/>
  <c r="I14" i="1" s="1"/>
  <c r="I11" i="1" a="1"/>
  <c r="I11" i="1" s="1"/>
  <c r="H67" i="2" a="1"/>
  <c r="H67" i="2" s="1"/>
  <c r="H66" i="2" a="1"/>
  <c r="H66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H74" i="2" a="1"/>
  <c r="H74" i="2" s="1"/>
  <c r="H75" i="2" a="1"/>
  <c r="H75" i="2" s="1"/>
  <c r="S68" i="2"/>
  <c r="S71" i="2"/>
  <c r="S75" i="2"/>
  <c r="S72" i="2"/>
  <c r="S73" i="2"/>
  <c r="S74" i="2"/>
  <c r="S69" i="2"/>
  <c r="S70" i="2"/>
  <c r="R69" i="2"/>
  <c r="I69" i="2" s="1" a="1"/>
  <c r="I69" i="2" s="1"/>
  <c r="J69" i="2" s="1" a="1"/>
  <c r="J69" i="2" s="1"/>
  <c r="K69" i="2" s="1"/>
  <c r="R75" i="2"/>
  <c r="I75" i="2" s="1" a="1"/>
  <c r="I75" i="2" s="1"/>
  <c r="R70" i="2"/>
  <c r="I70" i="2" s="1" a="1"/>
  <c r="I70" i="2" s="1"/>
  <c r="S67" i="2"/>
  <c r="R71" i="2"/>
  <c r="I71" i="2" s="1" a="1"/>
  <c r="I71" i="2" s="1"/>
  <c r="S66" i="2"/>
  <c r="R72" i="2"/>
  <c r="I72" i="2" s="1" a="1"/>
  <c r="I72" i="2" s="1"/>
  <c r="R67" i="2"/>
  <c r="I67" i="2" s="1" a="1"/>
  <c r="I67" i="2" s="1"/>
  <c r="R73" i="2"/>
  <c r="I73" i="2" s="1" a="1"/>
  <c r="I73" i="2" s="1"/>
  <c r="R74" i="2"/>
  <c r="I74" i="2" s="1" a="1"/>
  <c r="I74" i="2" s="1"/>
  <c r="R66" i="2"/>
  <c r="I66" i="2" s="1" a="1"/>
  <c r="I66" i="2" s="1"/>
  <c r="R68" i="2"/>
  <c r="I68" i="2" s="1" a="1"/>
  <c r="I68" i="2" s="1"/>
  <c r="S58" i="2"/>
  <c r="R59" i="2"/>
  <c r="I59" i="2" s="1" a="1"/>
  <c r="I59" i="2" s="1"/>
  <c r="S64" i="2"/>
  <c r="S65" i="2"/>
  <c r="S61" i="2"/>
  <c r="R62" i="2"/>
  <c r="I62" i="2" s="1" a="1"/>
  <c r="I62" i="2" s="1"/>
  <c r="S62" i="2"/>
  <c r="R63" i="2"/>
  <c r="I63" i="2" s="1" a="1"/>
  <c r="I63" i="2" s="1"/>
  <c r="S63" i="2"/>
  <c r="R64" i="2"/>
  <c r="I64" i="2" s="1" a="1"/>
  <c r="I64" i="2" s="1"/>
  <c r="R56" i="2"/>
  <c r="I56" i="2" s="1" a="1"/>
  <c r="I56" i="2" s="1"/>
  <c r="S56" i="2"/>
  <c r="R57" i="2"/>
  <c r="I57" i="2" s="1" a="1"/>
  <c r="I57" i="2" s="1"/>
  <c r="S57" i="2"/>
  <c r="R58" i="2"/>
  <c r="I58" i="2" s="1" a="1"/>
  <c r="I58" i="2" s="1"/>
  <c r="S59" i="2"/>
  <c r="R60" i="2"/>
  <c r="I60" i="2" s="1" a="1"/>
  <c r="I60" i="2" s="1"/>
  <c r="S60" i="2"/>
  <c r="R61" i="2"/>
  <c r="I61" i="2" s="1" a="1"/>
  <c r="I61" i="2" s="1"/>
  <c r="R65" i="2"/>
  <c r="I65" i="2" s="1" a="1"/>
  <c r="I65" i="2" s="1"/>
  <c r="S46" i="2"/>
  <c r="R46" i="2"/>
  <c r="I46" i="2" s="1" a="1"/>
  <c r="I46" i="2" s="1"/>
  <c r="S47" i="2"/>
  <c r="R47" i="2"/>
  <c r="I47" i="2" s="1" a="1"/>
  <c r="I47" i="2" s="1"/>
  <c r="S48" i="2"/>
  <c r="R48" i="2"/>
  <c r="I48" i="2" s="1" a="1"/>
  <c r="I48" i="2" s="1"/>
  <c r="S49" i="2"/>
  <c r="R49" i="2"/>
  <c r="I49" i="2" s="1" a="1"/>
  <c r="I49" i="2" s="1"/>
  <c r="S50" i="2"/>
  <c r="R50" i="2"/>
  <c r="I50" i="2" s="1" a="1"/>
  <c r="I50" i="2" s="1"/>
  <c r="S51" i="2"/>
  <c r="R51" i="2"/>
  <c r="I51" i="2" s="1" a="1"/>
  <c r="I51" i="2" s="1"/>
  <c r="S52" i="2"/>
  <c r="R52" i="2"/>
  <c r="I52" i="2" s="1" a="1"/>
  <c r="I52" i="2" s="1"/>
  <c r="S53" i="2"/>
  <c r="R53" i="2"/>
  <c r="I53" i="2" s="1" a="1"/>
  <c r="I53" i="2" s="1"/>
  <c r="S54" i="2"/>
  <c r="R54" i="2"/>
  <c r="I54" i="2" s="1" a="1"/>
  <c r="I54" i="2" s="1"/>
  <c r="S55" i="2"/>
  <c r="R55" i="2"/>
  <c r="I55" i="2" s="1" a="1"/>
  <c r="I55" i="2" s="1"/>
  <c r="H26" i="2" a="1"/>
  <c r="H26" i="2" s="1"/>
  <c r="H27" i="2" a="1"/>
  <c r="H27" i="2" s="1"/>
  <c r="H19" i="2" a="1"/>
  <c r="H19" i="2" s="1"/>
  <c r="H20" i="2" a="1"/>
  <c r="H20" i="2" s="1"/>
  <c r="H21" i="2" a="1"/>
  <c r="H21" i="2" s="1"/>
  <c r="H28" i="2" a="1"/>
  <c r="H28" i="2" s="1"/>
  <c r="H29" i="2" a="1"/>
  <c r="H29" i="2" s="1"/>
  <c r="H30" i="2" a="1"/>
  <c r="H30" i="2" s="1"/>
  <c r="H25" i="2" a="1"/>
  <c r="H25" i="2" s="1"/>
  <c r="H31" i="2" a="1"/>
  <c r="H31" i="2" s="1"/>
  <c r="H32" i="2" a="1"/>
  <c r="H32" i="2" s="1"/>
  <c r="H33" i="2" a="1"/>
  <c r="H33" i="2" s="1"/>
  <c r="H22" i="2" a="1"/>
  <c r="H22" i="2" s="1"/>
  <c r="H23" i="2" a="1"/>
  <c r="H23" i="2" s="1"/>
  <c r="H15" i="2" a="1"/>
  <c r="H15" i="2" s="1"/>
  <c r="H16" i="2" a="1"/>
  <c r="H16" i="2" s="1"/>
  <c r="H40" i="2" a="1"/>
  <c r="H40" i="2" s="1"/>
  <c r="H41" i="2" a="1"/>
  <c r="H41" i="2" s="1"/>
  <c r="H42" i="2" a="1"/>
  <c r="H42" i="2" s="1"/>
  <c r="H36" i="2" a="1"/>
  <c r="H36" i="2" s="1"/>
  <c r="H39" i="2" a="1"/>
  <c r="H39" i="2" s="1"/>
  <c r="H38" i="2" a="1"/>
  <c r="H38" i="2" s="1"/>
  <c r="H37" i="2" a="1"/>
  <c r="H37" i="2" s="1"/>
  <c r="H35" i="2" a="1"/>
  <c r="H35" i="2" s="1"/>
  <c r="H34" i="2" a="1"/>
  <c r="H34" i="2" s="1"/>
  <c r="H44" i="2" a="1"/>
  <c r="H44" i="2" s="1"/>
  <c r="H24" i="2" a="1"/>
  <c r="H24" i="2" s="1"/>
  <c r="H18" i="2" a="1"/>
  <c r="H18" i="2" s="1"/>
  <c r="H17" i="2" a="1"/>
  <c r="H17" i="2" s="1"/>
  <c r="H45" i="2" a="1"/>
  <c r="H45" i="2" s="1"/>
  <c r="H14" i="2" a="1"/>
  <c r="H14" i="2" s="1"/>
  <c r="H43" i="2" a="1"/>
  <c r="H43" i="2" s="1"/>
  <c r="R42" i="2"/>
  <c r="I42" i="2" s="1" a="1"/>
  <c r="I42" i="2" s="1"/>
  <c r="R41" i="2"/>
  <c r="I41" i="2" s="1" a="1"/>
  <c r="I41" i="2" s="1"/>
  <c r="R43" i="2"/>
  <c r="I43" i="2" s="1" a="1"/>
  <c r="I43" i="2" s="1"/>
  <c r="R40" i="2"/>
  <c r="I40" i="2" s="1" a="1"/>
  <c r="I40" i="2" s="1"/>
  <c r="R45" i="2"/>
  <c r="I45" i="2" s="1" a="1"/>
  <c r="I45" i="2" s="1"/>
  <c r="S45" i="2"/>
  <c r="R44" i="2"/>
  <c r="I44" i="2" s="1" a="1"/>
  <c r="I44" i="2" s="1"/>
  <c r="S42" i="2"/>
  <c r="S41" i="2"/>
  <c r="S44" i="2"/>
  <c r="S43" i="2"/>
  <c r="S40" i="2"/>
  <c r="S39" i="2"/>
  <c r="R39" i="2"/>
  <c r="I39" i="2" s="1" a="1"/>
  <c r="I39" i="2" s="1"/>
  <c r="R38" i="2"/>
  <c r="I38" i="2" s="1" a="1"/>
  <c r="I38" i="2" s="1"/>
  <c r="S38" i="2"/>
  <c r="R37" i="2"/>
  <c r="I37" i="2" s="1" a="1"/>
  <c r="I37" i="2" s="1"/>
  <c r="S37" i="2"/>
  <c r="R36" i="2"/>
  <c r="I36" i="2" s="1" a="1"/>
  <c r="I36" i="2" s="1"/>
  <c r="S36" i="2"/>
  <c r="R35" i="2"/>
  <c r="I35" i="2" s="1" a="1"/>
  <c r="I35" i="2" s="1"/>
  <c r="S35" i="2"/>
  <c r="R34" i="2"/>
  <c r="I34" i="2" s="1" a="1"/>
  <c r="I34" i="2" s="1"/>
  <c r="S34" i="2"/>
  <c r="S31" i="2"/>
  <c r="R31" i="2"/>
  <c r="I31" i="2" s="1" a="1"/>
  <c r="I31" i="2" s="1"/>
  <c r="S32" i="2"/>
  <c r="R32" i="2"/>
  <c r="I32" i="2" s="1" a="1"/>
  <c r="I32" i="2" s="1"/>
  <c r="S33" i="2"/>
  <c r="R33" i="2"/>
  <c r="I33" i="2" s="1" a="1"/>
  <c r="I33" i="2" s="1"/>
  <c r="R12" i="2"/>
  <c r="I12" i="2" s="1" a="1"/>
  <c r="I12" i="2" s="1"/>
  <c r="R25" i="2"/>
  <c r="I25" i="2" s="1" a="1"/>
  <c r="I25" i="2" s="1"/>
  <c r="S26" i="2"/>
  <c r="S27" i="2"/>
  <c r="R28" i="2"/>
  <c r="I28" i="2" s="1" a="1"/>
  <c r="I28" i="2" s="1"/>
  <c r="S29" i="2"/>
  <c r="R24" i="2"/>
  <c r="I24" i="2" s="1" a="1"/>
  <c r="I24" i="2" s="1"/>
  <c r="S28" i="2"/>
  <c r="R29" i="2"/>
  <c r="I29" i="2" s="1" a="1"/>
  <c r="I29" i="2" s="1"/>
  <c r="S25" i="2"/>
  <c r="R27" i="2"/>
  <c r="I27" i="2" s="1" a="1"/>
  <c r="I27" i="2" s="1"/>
  <c r="S24" i="2"/>
  <c r="R26" i="2"/>
  <c r="I26" i="2" s="1" a="1"/>
  <c r="I26" i="2" s="1"/>
  <c r="R30" i="2"/>
  <c r="I30" i="2" s="1" a="1"/>
  <c r="I30" i="2" s="1"/>
  <c r="S30" i="2"/>
  <c r="S21" i="2"/>
  <c r="S22" i="2"/>
  <c r="R21" i="2"/>
  <c r="I21" i="2" s="1" a="1"/>
  <c r="I21" i="2" s="1"/>
  <c r="R22" i="2"/>
  <c r="I22" i="2" s="1" a="1"/>
  <c r="I22" i="2" s="1"/>
  <c r="R23" i="2"/>
  <c r="I23" i="2" s="1" a="1"/>
  <c r="I23" i="2" s="1"/>
  <c r="S23" i="2"/>
  <c r="R19" i="2"/>
  <c r="I19" i="2" s="1" a="1"/>
  <c r="I19" i="2" s="1"/>
  <c r="R18" i="2"/>
  <c r="I18" i="2" s="1" a="1"/>
  <c r="I18" i="2" s="1"/>
  <c r="R20" i="2"/>
  <c r="I20" i="2" s="1" a="1"/>
  <c r="I20" i="2" s="1"/>
  <c r="S19" i="2"/>
  <c r="S18" i="2"/>
  <c r="S20" i="2"/>
  <c r="R17" i="2"/>
  <c r="I17" i="2" s="1" a="1"/>
  <c r="I17" i="2" s="1"/>
  <c r="S17" i="2"/>
  <c r="S16" i="2"/>
  <c r="R16" i="2"/>
  <c r="I16" i="2" s="1" a="1"/>
  <c r="I16" i="2" s="1"/>
  <c r="R15" i="2"/>
  <c r="I15" i="2" s="1" a="1"/>
  <c r="I15" i="2" s="1"/>
  <c r="S15" i="2"/>
  <c r="R14" i="2"/>
  <c r="I14" i="2" s="1" a="1"/>
  <c r="I14" i="2" s="1"/>
  <c r="S14" i="2"/>
  <c r="R13" i="2"/>
  <c r="I13" i="2" s="1" a="1"/>
  <c r="I13" i="2" s="1"/>
  <c r="S12" i="2"/>
  <c r="S13" i="2"/>
  <c r="S9" i="2"/>
  <c r="R9" i="2"/>
  <c r="I9" i="2" s="1" a="1"/>
  <c r="I9" i="2" s="1"/>
  <c r="R10" i="2"/>
  <c r="I10" i="2" s="1" a="1"/>
  <c r="I10" i="2" s="1"/>
  <c r="S10" i="2"/>
  <c r="S11" i="2"/>
  <c r="R11" i="2"/>
  <c r="I11" i="2" s="1" a="1"/>
  <c r="I11" i="2" s="1"/>
  <c r="R6" i="2"/>
  <c r="I6" i="2" s="1" a="1"/>
  <c r="I6" i="2" s="1"/>
  <c r="S7" i="2"/>
  <c r="R5" i="2"/>
  <c r="I5" i="2" s="1" a="1"/>
  <c r="I5" i="2" s="1"/>
  <c r="S4" i="2"/>
  <c r="S6" i="2"/>
  <c r="R4" i="2"/>
  <c r="I4" i="2" s="1" a="1"/>
  <c r="I4" i="2" s="1"/>
  <c r="S5" i="2"/>
  <c r="R7" i="2"/>
  <c r="I7" i="2" s="1" a="1"/>
  <c r="I7" i="2" s="1"/>
  <c r="S8" i="2"/>
  <c r="R8" i="2"/>
  <c r="I8" i="2" s="1" a="1"/>
  <c r="I8" i="2" s="1"/>
  <c r="C7" i="5"/>
  <c r="E7" i="5"/>
  <c r="D7" i="5"/>
  <c r="J75" i="2" l="1" a="1"/>
  <c r="J75" i="2" s="1"/>
  <c r="K75" i="2" s="1"/>
  <c r="AA4" i="9" a="1"/>
  <c r="Y4" i="9" a="1"/>
  <c r="R4" i="9"/>
  <c r="U4" i="9" a="1"/>
  <c r="P4" i="9"/>
  <c r="H46" i="2" a="1"/>
  <c r="H46" i="2" s="1"/>
  <c r="H62" i="2" a="1"/>
  <c r="H62" i="2" s="1"/>
  <c r="J62" i="2" s="1" a="1"/>
  <c r="J62" i="2" s="1"/>
  <c r="K62" i="2" s="1"/>
  <c r="H63" i="2" a="1"/>
  <c r="H63" i="2" s="1"/>
  <c r="H64" i="2" a="1"/>
  <c r="H64" i="2" s="1"/>
  <c r="H65" i="2" a="1"/>
  <c r="H65" i="2" s="1"/>
  <c r="H47" i="2" a="1"/>
  <c r="H47" i="2" s="1"/>
  <c r="J47" i="2" s="1" a="1"/>
  <c r="J47" i="2" s="1"/>
  <c r="K47" i="2" s="1"/>
  <c r="H48" i="2" a="1"/>
  <c r="H48" i="2" s="1"/>
  <c r="J48" i="2" s="1" a="1"/>
  <c r="J48" i="2" s="1"/>
  <c r="K48" i="2" s="1"/>
  <c r="H49" i="2" a="1"/>
  <c r="H49" i="2" s="1"/>
  <c r="J49" i="2" s="1" a="1"/>
  <c r="J49" i="2" s="1"/>
  <c r="K49" i="2" s="1"/>
  <c r="H50" i="2" a="1"/>
  <c r="H50" i="2" s="1"/>
  <c r="J50" i="2" s="1" a="1"/>
  <c r="J50" i="2" s="1"/>
  <c r="K50" i="2" s="1"/>
  <c r="H51" i="2" a="1"/>
  <c r="H51" i="2" s="1"/>
  <c r="J51" i="2" s="1" a="1"/>
  <c r="J51" i="2" s="1"/>
  <c r="K51" i="2" s="1"/>
  <c r="H52" i="2" a="1"/>
  <c r="H52" i="2" s="1"/>
  <c r="H53" i="2" a="1"/>
  <c r="H53" i="2" s="1"/>
  <c r="J53" i="2" s="1" a="1"/>
  <c r="J53" i="2" s="1"/>
  <c r="K53" i="2" s="1"/>
  <c r="H54" i="2" a="1"/>
  <c r="H54" i="2" s="1"/>
  <c r="J54" i="2" s="1" a="1"/>
  <c r="J54" i="2" s="1"/>
  <c r="K54" i="2" s="1"/>
  <c r="H55" i="2" a="1"/>
  <c r="H55" i="2" s="1"/>
  <c r="J55" i="2" s="1" a="1"/>
  <c r="J55" i="2" s="1"/>
  <c r="K55" i="2" s="1"/>
  <c r="H61" i="2" a="1"/>
  <c r="H61" i="2" s="1"/>
  <c r="J61" i="2" s="1" a="1"/>
  <c r="J61" i="2" s="1"/>
  <c r="K61" i="2" s="1"/>
  <c r="H58" i="2" a="1"/>
  <c r="H58" i="2" s="1"/>
  <c r="J58" i="2" s="1" a="1"/>
  <c r="J58" i="2" s="1"/>
  <c r="K58" i="2" s="1"/>
  <c r="H56" i="2" a="1"/>
  <c r="H56" i="2" s="1"/>
  <c r="J56" i="2" s="1" a="1"/>
  <c r="J56" i="2" s="1"/>
  <c r="K56" i="2" s="1"/>
  <c r="H60" i="2" a="1"/>
  <c r="H60" i="2" s="1"/>
  <c r="J60" i="2" s="1" a="1"/>
  <c r="J60" i="2" s="1"/>
  <c r="K60" i="2" s="1"/>
  <c r="H59" i="2" a="1"/>
  <c r="H59" i="2" s="1"/>
  <c r="J59" i="2" s="1" a="1"/>
  <c r="J59" i="2" s="1"/>
  <c r="K59" i="2" s="1"/>
  <c r="H57" i="2" a="1"/>
  <c r="H57" i="2" s="1"/>
  <c r="J57" i="2" s="1" a="1"/>
  <c r="J57" i="2" s="1"/>
  <c r="K57" i="2" s="1"/>
  <c r="H11" i="2" a="1"/>
  <c r="H11" i="2" s="1"/>
  <c r="J11" i="2" s="1" a="1"/>
  <c r="J11" i="2" s="1"/>
  <c r="K11" i="2" s="1"/>
  <c r="H13" i="2" a="1"/>
  <c r="H13" i="2" s="1"/>
  <c r="J13" i="2" s="1" a="1"/>
  <c r="J13" i="2" s="1"/>
  <c r="K13" i="2" s="1"/>
  <c r="H9" i="2" a="1"/>
  <c r="H9" i="2" s="1"/>
  <c r="J9" i="2" s="1" a="1"/>
  <c r="J9" i="2" s="1"/>
  <c r="K9" i="2" s="1"/>
  <c r="H10" i="2" a="1"/>
  <c r="H10" i="2" s="1"/>
  <c r="J10" i="2" s="1" a="1"/>
  <c r="J10" i="2" s="1"/>
  <c r="K10" i="2" s="1"/>
  <c r="H12" i="2" a="1"/>
  <c r="H12" i="2" s="1"/>
  <c r="J12" i="2" s="1" a="1"/>
  <c r="J12" i="2" s="1"/>
  <c r="K12" i="2" s="1"/>
  <c r="H8" i="2" a="1"/>
  <c r="H8" i="2" s="1"/>
  <c r="J8" i="2" s="1" a="1"/>
  <c r="J8" i="2" s="1"/>
  <c r="K8" i="2" s="1"/>
  <c r="H4" i="2" a="1"/>
  <c r="H4" i="2" s="1"/>
  <c r="J4" i="2" s="1" a="1"/>
  <c r="J4" i="2" s="1"/>
  <c r="K4" i="2" s="1"/>
  <c r="H5" i="2" a="1"/>
  <c r="H5" i="2" s="1"/>
  <c r="J5" i="2" s="1" a="1"/>
  <c r="J5" i="2" s="1"/>
  <c r="K5" i="2" s="1"/>
  <c r="H6" i="2" a="1"/>
  <c r="H6" i="2" s="1"/>
  <c r="J6" i="2" s="1" a="1"/>
  <c r="J6" i="2" s="1"/>
  <c r="K6" i="2" s="1"/>
  <c r="H7" i="2" a="1"/>
  <c r="H7" i="2" s="1"/>
  <c r="J7" i="2" s="1" a="1"/>
  <c r="J7" i="2" s="1"/>
  <c r="K7" i="2" s="1"/>
  <c r="J70" i="2" a="1"/>
  <c r="J70" i="2" s="1"/>
  <c r="K70" i="2" s="1"/>
  <c r="J71" i="2" a="1"/>
  <c r="J71" i="2" s="1"/>
  <c r="K71" i="2" s="1"/>
  <c r="J72" i="2" a="1"/>
  <c r="J72" i="2" s="1"/>
  <c r="K72" i="2" s="1"/>
  <c r="J68" i="2" a="1"/>
  <c r="J68" i="2" s="1"/>
  <c r="K68" i="2" s="1"/>
  <c r="J67" i="2" a="1"/>
  <c r="J67" i="2" s="1"/>
  <c r="K67" i="2" s="1"/>
  <c r="J73" i="2" a="1"/>
  <c r="J73" i="2" s="1"/>
  <c r="K73" i="2" s="1"/>
  <c r="J74" i="2" a="1"/>
  <c r="J74" i="2" s="1"/>
  <c r="K74" i="2" s="1"/>
  <c r="J66" i="2" a="1"/>
  <c r="J66" i="2" s="1"/>
  <c r="K66" i="2" s="1"/>
  <c r="J65" i="2" a="1"/>
  <c r="J65" i="2" s="1"/>
  <c r="K65" i="2" s="1"/>
  <c r="J46" i="2" a="1"/>
  <c r="J46" i="2" s="1"/>
  <c r="K46" i="2" s="1"/>
  <c r="J63" i="2" a="1"/>
  <c r="J63" i="2" s="1"/>
  <c r="K63" i="2" s="1"/>
  <c r="J64" i="2" a="1"/>
  <c r="J64" i="2" s="1"/>
  <c r="K64" i="2" s="1"/>
  <c r="J52" i="2" a="1"/>
  <c r="J52" i="2" s="1"/>
  <c r="K52" i="2" s="1"/>
  <c r="J44" i="2" a="1"/>
  <c r="J44" i="2" s="1"/>
  <c r="K44" i="2" s="1"/>
  <c r="J41" i="2" a="1"/>
  <c r="J41" i="2" s="1"/>
  <c r="K41" i="2" s="1"/>
  <c r="J42" i="2" a="1"/>
  <c r="J42" i="2" s="1"/>
  <c r="K42" i="2" s="1"/>
  <c r="J26" i="2" a="1"/>
  <c r="J26" i="2" s="1"/>
  <c r="K26" i="2" s="1"/>
  <c r="J30" i="2" a="1"/>
  <c r="J30" i="2" s="1"/>
  <c r="K30" i="2" s="1"/>
  <c r="J19" i="2" a="1"/>
  <c r="J19" i="2" s="1"/>
  <c r="K19" i="2" s="1"/>
  <c r="J36" i="2" a="1"/>
  <c r="J36" i="2" s="1"/>
  <c r="K36" i="2" s="1"/>
  <c r="J35" i="2" a="1"/>
  <c r="J35" i="2" s="1"/>
  <c r="K35" i="2" s="1"/>
  <c r="J34" i="2" a="1"/>
  <c r="J34" i="2" s="1"/>
  <c r="K34" i="2" s="1"/>
  <c r="J29" i="2" a="1"/>
  <c r="J29" i="2" s="1"/>
  <c r="K29" i="2" s="1"/>
  <c r="J39" i="2" a="1"/>
  <c r="J39" i="2" s="1"/>
  <c r="K39" i="2" s="1"/>
  <c r="J38" i="2" a="1"/>
  <c r="J38" i="2" s="1"/>
  <c r="K38" i="2" s="1"/>
  <c r="J37" i="2" a="1"/>
  <c r="J37" i="2" s="1"/>
  <c r="K37" i="2" s="1"/>
  <c r="J43" i="2" a="1"/>
  <c r="J43" i="2" s="1"/>
  <c r="K43" i="2" s="1"/>
  <c r="J32" i="2" a="1"/>
  <c r="J32" i="2" s="1"/>
  <c r="K32" i="2" s="1"/>
  <c r="J24" i="2" a="1"/>
  <c r="J24" i="2" s="1"/>
  <c r="K24" i="2" s="1"/>
  <c r="J27" i="2" a="1"/>
  <c r="J27" i="2" s="1"/>
  <c r="K27" i="2" s="1"/>
  <c r="J18" i="2" a="1"/>
  <c r="J18" i="2" s="1"/>
  <c r="K18" i="2" s="1"/>
  <c r="J45" i="2" a="1"/>
  <c r="J45" i="2" s="1"/>
  <c r="K45" i="2" s="1"/>
  <c r="J33" i="2" a="1"/>
  <c r="J33" i="2" s="1"/>
  <c r="K33" i="2" s="1"/>
  <c r="J20" i="2" a="1"/>
  <c r="J20" i="2" s="1"/>
  <c r="K20" i="2" s="1"/>
  <c r="J14" i="2" a="1"/>
  <c r="J14" i="2" s="1"/>
  <c r="K14" i="2" s="1"/>
  <c r="J40" i="2" a="1"/>
  <c r="J40" i="2" s="1"/>
  <c r="K40" i="2" s="1"/>
  <c r="J31" i="2" a="1"/>
  <c r="J31" i="2" s="1"/>
  <c r="K31" i="2" s="1"/>
  <c r="J25" i="2" a="1"/>
  <c r="J25" i="2" s="1"/>
  <c r="K25" i="2" s="1"/>
  <c r="J28" i="2" a="1"/>
  <c r="J28" i="2" s="1"/>
  <c r="K28" i="2" s="1"/>
  <c r="J21" i="2" a="1"/>
  <c r="J21" i="2" s="1"/>
  <c r="K21" i="2" s="1"/>
  <c r="J22" i="2" a="1"/>
  <c r="J22" i="2" s="1"/>
  <c r="K22" i="2" s="1"/>
  <c r="J23" i="2" a="1"/>
  <c r="J23" i="2" s="1"/>
  <c r="K23" i="2" s="1"/>
  <c r="J17" i="2" a="1"/>
  <c r="J17" i="2" s="1"/>
  <c r="K17" i="2" s="1"/>
  <c r="J16" i="2" a="1"/>
  <c r="J16" i="2" s="1"/>
  <c r="K16" i="2" s="1"/>
  <c r="J15" i="2" a="1"/>
  <c r="J15" i="2" s="1"/>
  <c r="K15" i="2" s="1"/>
  <c r="F7" i="5" a="1"/>
  <c r="S4" i="9" l="1" a="1"/>
  <c r="S4" i="9" s="1"/>
  <c r="AA4" i="9"/>
  <c r="Y4" i="9"/>
  <c r="U4" i="9"/>
  <c r="F7" i="5"/>
  <c r="V4" i="9" l="1" a="1"/>
  <c r="V4" i="9" s="1"/>
  <c r="W4" i="9" a="1"/>
  <c r="W4" i="9" s="1"/>
  <c r="P7" i="5" a="1"/>
  <c r="P7" i="5" s="1"/>
  <c r="J7" i="5" a="1"/>
  <c r="G7" i="5" a="1"/>
  <c r="G7" i="5" s="1"/>
  <c r="H7" i="5" a="1"/>
  <c r="H7" i="5" s="1"/>
  <c r="I7" i="5" s="1" a="1"/>
  <c r="J7" i="5" l="1"/>
  <c r="I4" i="3" a="1"/>
  <c r="I4" i="3" s="1"/>
  <c r="I7" i="3" a="1"/>
  <c r="I7" i="3" s="1"/>
  <c r="I8" i="3" a="1"/>
  <c r="I8" i="3" s="1"/>
  <c r="I7" i="5"/>
  <c r="I5" i="3" l="1" a="1"/>
  <c r="I5" i="3" s="1"/>
  <c r="I6" i="3" a="1"/>
  <c r="I6" i="3" s="1"/>
  <c r="I9" i="3" a="1"/>
  <c r="I9" i="3" s="1"/>
  <c r="I10" i="3" a="1"/>
  <c r="I10" i="3" s="1"/>
  <c r="I11" i="3" a="1"/>
  <c r="I11" i="3" s="1"/>
  <c r="H4" i="3" a="1"/>
  <c r="H4" i="3" s="1"/>
  <c r="J4" i="3" s="1" a="1"/>
  <c r="J4" i="3" s="1"/>
  <c r="K4" i="3" s="1" a="1"/>
  <c r="K4" i="3" s="1"/>
  <c r="H5" i="3" a="1"/>
  <c r="H5" i="3" s="1"/>
  <c r="H6" i="3" a="1"/>
  <c r="H6" i="3" s="1"/>
  <c r="H7" i="3" a="1"/>
  <c r="H7" i="3" s="1"/>
  <c r="J7" i="3" s="1" a="1"/>
  <c r="J7" i="3" s="1"/>
  <c r="K7" i="3" s="1" a="1"/>
  <c r="K7" i="3" s="1"/>
  <c r="H8" i="3" a="1"/>
  <c r="H8" i="3" s="1"/>
  <c r="J8" i="3" s="1" a="1"/>
  <c r="J8" i="3" s="1"/>
  <c r="K8" i="3" s="1" a="1"/>
  <c r="K8" i="3" s="1"/>
  <c r="H9" i="3" a="1"/>
  <c r="H9" i="3" s="1"/>
  <c r="H10" i="3" a="1"/>
  <c r="H10" i="3" s="1"/>
  <c r="H11" i="3" a="1"/>
  <c r="H11" i="3" s="1"/>
  <c r="J9" i="3" l="1" a="1"/>
  <c r="J9" i="3" s="1"/>
  <c r="K9" i="3" s="1" a="1"/>
  <c r="K9" i="3" s="1"/>
  <c r="J5" i="3" a="1"/>
  <c r="J5" i="3" s="1"/>
  <c r="K5" i="3" s="1" a="1"/>
  <c r="K5" i="3" s="1"/>
  <c r="J6" i="3" a="1"/>
  <c r="J6" i="3" s="1"/>
  <c r="K6" i="3" s="1" a="1"/>
  <c r="K6" i="3" s="1"/>
  <c r="J10" i="3" a="1"/>
  <c r="J10" i="3" s="1"/>
  <c r="K10" i="3" s="1" a="1"/>
  <c r="K10" i="3" s="1"/>
  <c r="J11" i="3" a="1"/>
  <c r="J11" i="3" s="1"/>
  <c r="K11" i="3" s="1" a="1"/>
  <c r="K11" i="3" s="1"/>
  <c r="K7" i="5" l="1" a="1"/>
  <c r="K7" i="5" s="1"/>
  <c r="L7" i="5" l="1" a="1"/>
  <c r="L7" i="5" s="1"/>
  <c r="M7" i="5" s="1" a="1"/>
  <c r="M7" i="5" s="1"/>
  <c r="N7" i="5" a="1"/>
  <c r="N7" i="5" s="1"/>
  <c r="O7" i="5" s="1" a="1"/>
  <c r="O7" i="5" l="1"/>
  <c r="L4" i="3" l="1" a="1"/>
  <c r="L4" i="3" s="1"/>
  <c r="M4" i="3" s="1" a="1"/>
  <c r="M4" i="3" s="1"/>
  <c r="L5" i="3" a="1"/>
  <c r="L5" i="3" s="1"/>
  <c r="M5" i="3" s="1" a="1"/>
  <c r="M5" i="3" s="1"/>
  <c r="L6" i="3" a="1"/>
  <c r="L6" i="3" s="1"/>
  <c r="M6" i="3" s="1" a="1"/>
  <c r="M6" i="3" s="1"/>
  <c r="L7" i="3" a="1"/>
  <c r="L7" i="3" s="1"/>
  <c r="M7" i="3" s="1" a="1"/>
  <c r="M7" i="3" s="1"/>
  <c r="L8" i="3" a="1"/>
  <c r="L8" i="3" s="1"/>
  <c r="M8" i="3" s="1" a="1"/>
  <c r="M8" i="3" s="1"/>
  <c r="L9" i="3" a="1"/>
  <c r="L9" i="3" s="1"/>
  <c r="M9" i="3" s="1" a="1"/>
  <c r="M9" i="3" s="1"/>
  <c r="L10" i="3" a="1"/>
  <c r="L10" i="3" s="1"/>
  <c r="M10" i="3" s="1" a="1"/>
  <c r="M10" i="3" s="1"/>
  <c r="L11" i="3" a="1"/>
  <c r="L11" i="3" s="1"/>
  <c r="M11" i="3" s="1" a="1"/>
  <c r="M1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<sst xmlns="http://schemas.openxmlformats.org/spreadsheetml/2006/main" count="297" uniqueCount="129">
  <si>
    <t>index</t>
  </si>
  <si>
    <t>manual_index</t>
  </si>
  <si>
    <t>auto_index</t>
  </si>
  <si>
    <t>timestamp</t>
  </si>
  <si>
    <t>manual_state</t>
  </si>
  <si>
    <t>derived_state</t>
  </si>
  <si>
    <t>final_state</t>
  </si>
  <si>
    <t>name</t>
  </si>
  <si>
    <t>sn</t>
  </si>
  <si>
    <t>asset_tagn</t>
  </si>
  <si>
    <t>location</t>
  </si>
  <si>
    <t>cabinet</t>
  </si>
  <si>
    <t>base_ru</t>
  </si>
  <si>
    <t>device_state</t>
  </si>
  <si>
    <t>active</t>
  </si>
  <si>
    <t>handle_permanent_raw</t>
  </si>
  <si>
    <t>handle_permanent_cleaned</t>
  </si>
  <si>
    <t>srv01</t>
  </si>
  <si>
    <t>srv02</t>
  </si>
  <si>
    <t>value</t>
  </si>
  <si>
    <t>delimiter_device_if_name</t>
  </si>
  <si>
    <t>;</t>
  </si>
  <si>
    <t>delimiter_edge</t>
  </si>
  <si>
    <t>&lt;~~~&gt;</t>
  </si>
  <si>
    <t>if_name_raw</t>
  </si>
  <si>
    <t>if_name_cleaned</t>
  </si>
  <si>
    <t>if_id</t>
  </si>
  <si>
    <t>device_handle_cleaned</t>
  </si>
  <si>
    <t>device_handle_raw</t>
  </si>
  <si>
    <t>rtr01</t>
  </si>
  <si>
    <t>fw01</t>
  </si>
  <si>
    <t>active_handle_count</t>
  </si>
  <si>
    <t>handle_count</t>
  </si>
  <si>
    <t>helper data</t>
  </si>
  <si>
    <t>|</t>
  </si>
  <si>
    <t>active_if_id_count</t>
  </si>
  <si>
    <t>if_id_count</t>
  </si>
  <si>
    <t>console</t>
  </si>
  <si>
    <t>collective_device_state</t>
  </si>
  <si>
    <t>collective_if_id_state</t>
  </si>
  <si>
    <t>deprecation_state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</si>
  <si>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</si>
  <si>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</si>
  <si>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</si>
  <si>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</si>
  <si>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</si>
  <si>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</si>
  <si>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</si>
  <si>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</si>
  <si>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</si>
  <si>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</si>
  <si>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path_index</t>
  </si>
  <si>
    <t>hop_index</t>
  </si>
  <si>
    <t>hop_index_compressed</t>
  </si>
  <si>
    <t>hop_count</t>
  </si>
  <si>
    <t>path_count</t>
  </si>
  <si>
    <t>path_entry_count</t>
  </si>
  <si>
    <t>device</t>
  </si>
  <si>
    <t>if_id_state</t>
  </si>
  <si>
    <t>project</t>
  </si>
  <si>
    <t>idrac</t>
  </si>
  <si>
    <t>01</t>
  </si>
  <si>
    <t>ob/1</t>
  </si>
  <si>
    <t>ob/2</t>
  </si>
  <si>
    <t>pcie_1/2</t>
  </si>
  <si>
    <t>pcie_1/1</t>
  </si>
  <si>
    <t>mgmt</t>
  </si>
  <si>
    <t>02</t>
  </si>
  <si>
    <t>03</t>
  </si>
  <si>
    <t>04</t>
  </si>
  <si>
    <t>05</t>
  </si>
  <si>
    <t>06</t>
  </si>
  <si>
    <t>07</t>
  </si>
  <si>
    <t>08</t>
  </si>
  <si>
    <t>g_0/0/0</t>
  </si>
  <si>
    <t>g_0/0/1</t>
  </si>
  <si>
    <t>g_1/0/0</t>
  </si>
  <si>
    <t>g_1/0/1</t>
  </si>
  <si>
    <t>leaf02</t>
  </si>
  <si>
    <t>leaf01</t>
  </si>
  <si>
    <t>rtr02</t>
  </si>
  <si>
    <t>spine01</t>
  </si>
  <si>
    <t>spine02</t>
  </si>
  <si>
    <t>mgmtsw01</t>
  </si>
  <si>
    <t>srv01;idrac</t>
  </si>
  <si>
    <t>mgmtsw01;01</t>
  </si>
  <si>
    <t>srv01;ob/1</t>
  </si>
  <si>
    <t>leaf01;01</t>
  </si>
  <si>
    <t>srv01;ob/2</t>
  </si>
  <si>
    <t>leaf01;02</t>
  </si>
  <si>
    <t>srv02;idrac</t>
  </si>
  <si>
    <t>mgmtsw01;02</t>
  </si>
  <si>
    <t>leaf01;07</t>
  </si>
  <si>
    <t>spine01;01</t>
  </si>
  <si>
    <t>leaf01;08</t>
  </si>
  <si>
    <t>spine02;01</t>
  </si>
  <si>
    <t>leaf01;mgmt</t>
  </si>
  <si>
    <t>mgmtsw01;07</t>
  </si>
  <si>
    <t>srv02;pcie_1/1</t>
  </si>
  <si>
    <t>leaf01;04</t>
  </si>
  <si>
    <t>collective_path_state</t>
  </si>
  <si>
    <t>entry_index_of_most_recent_occurence_of_if_id_over_all_ok_paths</t>
  </si>
  <si>
    <t>path_index_of_most_recent_occurence_of_if_id_over_all_ok_paths</t>
  </si>
  <si>
    <t>if_id_occurence_count_per_path</t>
  </si>
  <si>
    <t>is_path_deprecated</t>
  </si>
  <si>
    <t>most_recent_entry_path_index_per_path</t>
  </si>
  <si>
    <t>fw02</t>
  </si>
  <si>
    <t>derived_path_state</t>
  </si>
  <si>
    <t>"=LET(path_index_of_most_recent_occurence_of_if_id_over_all_ok_paths, N7#,
     path_states,             K7#,
     path_indicies,           D7#,
     if_ids,                  F7#,
     most_recents,            L7#,
     max_of_recents_per_path, M7#,
     most_recent_indcies,  path_index_of_most_recent_occurence_of_if_id_over_all_ok_paths,
     temp_table,           HSTACK(path_indicies, if_ids, most_recents, max_of_recents_per_path),
     true_acc_f,           LAMBDA(current,acc,
                                  current = acc),
     true_reducer_f,       LAMBDA(bool_array,
                                  REDUCE(TRUE, bool_array,
                                         true_acc_f)),
     map_lambda,           LAMBDA(path_index,if_id,path_state,most_recent,max_recent,
                                  IFS(path_state = "ok",
                                      IF(LEN(if_id) &gt;= 0,
                                         LET(per_path_table,          FILTER(temp_table,
                                                                             CHOOSECOLS(temp_table, 1) = path_index),
                                             is_most_recents,         CHOOSECOLS(per_path_table, 3) = CHOOSECOLS(per_path_table, 4),
                                             is_deprecated,           "fixme",
                                             return,                  NOT(true_reducer_f(is_most_recents)),
                                             return),
                                         ""),
                                        TRUE,
                                        "MY_NA::::deprecation_not_applicable_since_path_is_NOT_ok")),
     mapping,              MAP(path_indicies, if_ids, path_states, most_recents, max_of_recents_per_path,
                               map_lambda),
     return,               mapping,
     return)"</t>
  </si>
  <si>
    <t>all_given_if_ids</t>
  </si>
  <si>
    <t>given_devices</t>
  </si>
  <si>
    <t>all_found_if_ids</t>
  </si>
  <si>
    <t>all_missing_if_ids</t>
  </si>
  <si>
    <t>all_found_devices</t>
  </si>
  <si>
    <t>all_missing_devices</t>
  </si>
  <si>
    <t>boobs;1</t>
  </si>
  <si>
    <t>big;2</t>
  </si>
  <si>
    <t>farts;69</t>
  </si>
  <si>
    <t>lazah_beams;420</t>
  </si>
  <si>
    <t>index_if_ids</t>
  </si>
  <si>
    <t>is_given_if_id_found</t>
  </si>
  <si>
    <t>is_given_if_id_found_and_in_state_ok</t>
  </si>
  <si>
    <t>all_found_and_ok_if_ids</t>
  </si>
  <si>
    <t>all_missing_and_ok_if_ids</t>
  </si>
  <si>
    <t>is_given_device_found</t>
  </si>
  <si>
    <t>is_given_device_found_and_in_state_ok</t>
  </si>
  <si>
    <t>fw02;mgmt</t>
  </si>
  <si>
    <t>suspended</t>
  </si>
  <si>
    <t>all_found_and_devices_ids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</si>
</sst>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onsolas"/>
      <family val="3"/>
    </font>
    <font>
      <b/>
      <sz val="11"/>
      <color rgb="FF00B050"/>
      <name val="Consolas"/>
      <family val="3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80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onsolas"/>
        <family val="3"/>
        <scheme val="none"/>
      </font>
      <numFmt numFmtId="0" formatCode="General"/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nsolas"/>
        <family val="3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onsolas"/>
        <family val="3"/>
        <scheme val="none"/>
      </font>
      <numFmt numFmtId="0" formatCode="General"/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98B1E55D-C6EF-4E1B-9EF5-49F0E47FE88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370B8C-A0DB-4526-B092-8DA43A64ED12}" name="tbl_variable" displayName="tbl_variable" ref="C4:E9" totalsRowShown="0" headerRowDxfId="79" dataDxfId="78">
  <autoFilter ref="C4:E9" xr:uid="{43370B8C-A0DB-4526-B092-8DA43A64ED12}"/>
  <tableColumns count="3">
    <tableColumn id="1" xr3:uid="{F24B5101-DA23-4325-BEF6-4CBBD5B2FF92}" name="index" dataDxfId="77"/>
    <tableColumn id="2" xr3:uid="{302B73A8-14EC-441E-96C4-120E996423B2}" name="name" dataDxfId="76"/>
    <tableColumn id="3" xr3:uid="{AC9AF5D3-DF8E-4F64-9FF2-0C10A3DEC7DA}" name="value" dataDxfId="7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CE9839-0255-4F2C-890D-7D5EB659EE26}" name="tbl_devices" displayName="tbl_devices" ref="C4:S15" totalsRowShown="0" headerRowDxfId="74" dataDxfId="73">
  <autoFilter ref="C4:S15" xr:uid="{73CE9839-0255-4F2C-890D-7D5EB659EE26}"/>
  <tableColumns count="17">
    <tableColumn id="1" xr3:uid="{EDC8E3B9-4BFE-49AF-B011-073C68A445B4}" name="manual_index" dataDxfId="72"/>
    <tableColumn id="2" xr3:uid="{5C1BE6FA-C5A7-46B1-884E-FD131F1DB2FC}" name="auto_index" dataDxfId="71">
      <calculatedColumnFormula array="1">ROW() - ROW(tbl_devices[#Headers])</calculatedColumnFormula>
    </tableColumn>
    <tableColumn id="3" xr3:uid="{0758A3A7-D568-4BCF-A85D-6A0C9EC40DF3}" name="timestamp" dataDxfId="70"/>
    <tableColumn id="11" xr3:uid="{B8B3A74B-EF8A-4F03-98AE-8FD2F9F10721}" name="project" dataDxfId="69"/>
    <tableColumn id="4" xr3:uid="{4F3462B8-C4EA-42D3-AB32-7A6DDB4EBD86}" name="manual_state" dataDxfId="68">
      <calculatedColumnFormula>"active"</calculatedColumnFormula>
    </tableColumn>
    <tableColumn id="5" xr3:uid="{C3384ED4-1FD1-49B5-B16E-41719CC7A222}" name="derived_state" dataDxfId="67">
      <calculatedColumnFormula array="1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calculatedColumnFormula>
    </tableColumn>
    <tableColumn id="6" xr3:uid="{D0807396-181F-4A68-9E7B-958D1B7CC745}" name="final_state" dataDxfId="66">
      <calculatedColumnFormula array="1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calculatedColumnFormula>
    </tableColumn>
    <tableColumn id="7" xr3:uid="{F6777400-4D3B-4D1E-9F58-39DFBB938D1C}" name="handle_permanent_raw" dataDxfId="65"/>
    <tableColumn id="17" xr3:uid="{3A7A3642-9CD1-4592-B83C-CC89CBD5C804}" name="handle_permanent_cleaned" dataDxfId="64">
      <calculatedColumnFormula>_xlfn.LET(_xlpm.raw,               tbl_devices[[#This Row],[handle_permanent_raw]],
     _xlpm.cleaned,           LOWER(SUBSTITUTE(CLEAN(TRIM(_xlpm.raw)), " ", "")),
     _xlpm.return,            _xlpm.cleaned,
     _xlpm.return)</calculatedColumnFormula>
    </tableColumn>
    <tableColumn id="12" xr3:uid="{0D8B3EDD-2C0C-4EFB-B2DA-D9BAAC05B2EA}" name="sn" dataDxfId="63"/>
    <tableColumn id="13" xr3:uid="{B2E2C5AE-3B3C-4EE1-BDED-592680ADC029}" name="asset_tagn" dataDxfId="62"/>
    <tableColumn id="14" xr3:uid="{8DBB4027-131C-41A3-84C2-ACCAC52E9F39}" name="location" dataDxfId="61"/>
    <tableColumn id="15" xr3:uid="{62C0AE92-A0C7-4BA3-9387-C52268191B38}" name="cabinet" dataDxfId="60"/>
    <tableColumn id="16" xr3:uid="{EA2B6894-DD4A-4A61-BB12-F1BAA0072D1E}" name="base_ru" dataDxfId="59"/>
    <tableColumn id="10" xr3:uid="{49103343-3971-41D3-942E-2CC0105D4D9A}" name="|" dataDxfId="58">
      <calculatedColumnFormula>"|"</calculatedColumnFormula>
    </tableColumn>
    <tableColumn id="8" xr3:uid="{DA99C0AF-5F3E-49AC-8625-6AE4F9ACFFAD}" name="active_handle_count" dataDxfId="57">
      <calculatedColumnFormula>COUNTIFS(tbl_devices[manual_state], "active",
          tbl_devices[handle_permanent_cleaned], tbl_devices[[#This Row],[handle_permanent_cleaned]])</calculatedColumnFormula>
    </tableColumn>
    <tableColumn id="9" xr3:uid="{77762222-8B8A-40BC-9F4B-60731C3A413A}" name="handle_count" dataDxfId="56">
      <calculatedColumnFormula>COUNTIF(tbl_devices[handle_permanent_cleaned], tbl_devices[[#This Row],[handle_permanent_cleaned]])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C626DA-05D2-40BE-8B4C-D5027E787BEB}" name="tbl_interfaces" displayName="tbl_interfaces" ref="C3:S76" totalsRowShown="0" headerRowDxfId="55" dataDxfId="54" tableBorderDxfId="53">
  <autoFilter ref="C3:S76" xr:uid="{34C626DA-05D2-40BE-8B4C-D5027E787BEB}"/>
  <tableColumns count="17">
    <tableColumn id="1" xr3:uid="{0A80FB57-B115-495B-8CD2-8F4AD9272DDD}" name="manual_index" dataDxfId="52"/>
    <tableColumn id="2" xr3:uid="{8D03FD4B-1611-45A6-A6BC-0DA6038D8728}" name="auto_index" dataDxfId="51">
      <calculatedColumnFormula array="1">ROW() - ROW(tbl_interfaces[#Headers])</calculatedColumnFormula>
    </tableColumn>
    <tableColumn id="3" xr3:uid="{2A7A594A-C7DD-4C98-A983-79C599F9DD9E}" name="timestamp" dataDxfId="50"/>
    <tableColumn id="17" xr3:uid="{1563E796-4313-4725-8B81-1B5886EE83DA}" name="project" dataDxfId="49"/>
    <tableColumn id="4" xr3:uid="{C04CB19F-87C4-4B7F-B36E-C788F929EBD5}" name="manual_state" dataDxfId="48">
      <calculatedColumnFormula>"active"</calculatedColumnFormula>
    </tableColumn>
    <tableColumn id="7" xr3:uid="{2BAB6D62-958F-433C-B8A7-CD66A564FB8D}" name="device_state" dataDxfId="47">
      <calculatedColumnFormula array="1">_xlfn.XLOOKUP(1,
         (tbl_devices[handle_permanent_cleaned] = tbl_interfaces[[#This Row],[device_handle_cleaned]])  *
         (tbl_devices[final_state] = "ok"),
         tbl_devices[final_state],
         "ERROR::::ok_device_not_found_in_device_table", 0)</calculatedColumnFormula>
    </tableColumn>
    <tableColumn id="16" xr3:uid="{DB0A95CF-C13D-48F2-B651-42B27C4E9CFB}" name="if_id_state" dataDxfId="46">
      <calculatedColumnFormula array="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calculatedColumnFormula>
    </tableColumn>
    <tableColumn id="5" xr3:uid="{7A3174E7-59B5-4B0B-9849-2AEB232B2C0B}" name="derived_state" dataDxfId="45">
      <calculatedColumnFormula array="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calculatedColumnFormula>
    </tableColumn>
    <tableColumn id="6" xr3:uid="{7F5AE62E-5A28-4305-8D3F-86DC763D1423}" name="final_state" dataDxfId="44">
      <calculatedColumnFormula>tbl_interfaces[[#This Row],[derived_state]]</calculatedColumnFormula>
    </tableColumn>
    <tableColumn id="8" xr3:uid="{7311D847-2C4B-4713-8CA0-C89AB50688DC}" name="device_handle_raw" dataDxfId="43"/>
    <tableColumn id="9" xr3:uid="{61CFAFFD-F0B0-43E9-B3FC-66D8199796E5}" name="if_name_raw" dataDxfId="42"/>
    <tableColumn id="10" xr3:uid="{BD574A0A-4DBC-46B2-88DF-222EBAD68703}" name="device_handle_cleaned" dataDxfId="41">
      <calculatedColumnFormula>_xlfn.LET(_xlpm.raw,               tbl_interfaces[[#This Row],[device_handle_raw]],
     _xlpm.cleaned,           LOWER(SUBSTITUTE(CLEAN(TRIM(_xlpm.raw)), " ", "")),
     _xlpm.return,            _xlpm.cleaned,
     _xlpm.return)</calculatedColumnFormula>
    </tableColumn>
    <tableColumn id="11" xr3:uid="{CB738AFD-303B-44F8-9801-AA56A7730023}" name="if_name_cleaned" dataDxfId="40">
      <calculatedColumnFormula>_xlfn.LET(_xlpm.raw,               tbl_interfaces[[#This Row],[if_name_raw]],
     _xlpm.cleaned,           LOWER(SUBSTITUTE(CLEAN(TRIM(_xlpm.raw)), " ", "")),
     _xlpm.return,            _xlpm.cleaned,
     _xlpm.return)</calculatedColumnFormula>
    </tableColumn>
    <tableColumn id="12" xr3:uid="{B556151B-1D15-43A9-8969-F6DC9B08EDBF}" name="if_id" dataDxfId="39">
      <calculatedColumnFormula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calculatedColumnFormula>
    </tableColumn>
    <tableColumn id="13" xr3:uid="{F4831AAE-7136-4D64-BC16-1FEEE92ABCA5}" name="|" dataDxfId="38">
      <calculatedColumnFormula>"|"</calculatedColumnFormula>
    </tableColumn>
    <tableColumn id="14" xr3:uid="{F21DCFFC-5C1A-406C-B204-C14499CED153}" name="active_if_id_count" dataDxfId="37">
      <calculatedColumnFormula>COUNTIFS(tbl_interfaces[manual_state], "active",
          tbl_interfaces[if_id], tbl_interfaces[[#This Row],[if_id]])</calculatedColumnFormula>
    </tableColumn>
    <tableColumn id="15" xr3:uid="{7DB65F45-CBC1-4243-99DE-7D5ED9F2A8AE}" name="if_id_count" dataDxfId="36">
      <calculatedColumnFormula>COUNTIF(tbl_interfaces[if_id], tbl_interfaces[[#This Row],[if_id]])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0E4E9-12AE-47EB-B1E0-CBCF160A4B0E}" name="tbl_paths" displayName="tbl_paths" ref="C3:W11" totalsRowShown="0" headerRowDxfId="35" dataDxfId="34">
  <autoFilter ref="C3:W11" xr:uid="{BEF0E4E9-12AE-47EB-B1E0-CBCF160A4B0E}"/>
  <tableColumns count="21">
    <tableColumn id="1" xr3:uid="{2C826E48-C7C2-466E-BF2F-00C69BE001D0}" name="manual_index" dataDxfId="33"/>
    <tableColumn id="2" xr3:uid="{29D0444A-7F6A-4693-A178-7A93AF44C9E4}" name="auto_index" dataDxfId="32">
      <calculatedColumnFormula array="1">ROW()-ROW(tbl_paths[#Headers])</calculatedColumnFormula>
    </tableColumn>
    <tableColumn id="3" xr3:uid="{F3101545-2005-4457-AAAE-93D0578549FA}" name="timestamp" dataDxfId="31"/>
    <tableColumn id="19" xr3:uid="{FBB00214-A2B3-4292-B61A-949E8965FA6B}" name="project" dataDxfId="30"/>
    <tableColumn id="4" xr3:uid="{E960960E-8E26-4BCA-8C2A-8B03E70BAC6F}" name="manual_state" dataDxfId="29">
      <calculatedColumnFormula>"active"</calculatedColumnFormula>
    </tableColumn>
    <tableColumn id="5" xr3:uid="{357AA516-6C5A-4FC2-B2D9-BA25FE0BFD1C}" name="collective_device_state" dataDxfId="28">
      <calculatedColumnFormula array="1">_xlfn.LET(_xlpm.path_index,               tbl_paths[[#This Row],[manual_index]],
     _xlpm.decomposed_index,_xlfn.ANCHORARRAY(         path_decomposed!D$7),
     _xlpm.decomposed_device_state,_xlfn.ANCHORARRAY(  path_decomposed!I$7),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calculatedColumnFormula>
    </tableColumn>
    <tableColumn id="8" xr3:uid="{966A0E11-BCCE-4ED7-BD23-A79B8F95F0A2}" name="collective_if_id_state" dataDxfId="27">
      <calculatedColumnFormula array="1">_xlfn.LET(_xlpm.path_index,           tbl_paths[[#This Row],[manual_index]],
     _xlpm.decomposed_index,_xlfn.ANCHORARRAY(     path_decomposed!D$7),
     _xlpm.decomposed_if_state,_xlfn.ANCHORARRAY(  path_decomposed!J$7),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calculatedColumnFormula>
    </tableColumn>
    <tableColumn id="21" xr3:uid="{82718CAB-BB2C-4743-88AC-48065C021A6F}" name="collective_path_state" dataDxfId="26">
      <calculatedColumnFormula array="1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calculatedColumnFormula>
    </tableColumn>
    <tableColumn id="20" xr3:uid="{4679C0CB-C715-4D29-B7A7-80FD4052D757}" name="derived_state" dataDxfId="25">
      <calculatedColumnFormula array="1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calculatedColumnFormula>
    </tableColumn>
    <tableColumn id="6" xr3:uid="{74F0E3A8-7F12-4087-8283-0B3040314714}" name="deprecation_state" dataDxfId="24">
      <calculatedColumnFormula array="1">_xlfn.LET(_xlpm.path_manual_index,                    tbl_paths[[#This Row],[manual_index]],
     _xlpm.decomposed_path_id,_xlfn.ANCHORARRAY(                   path_decomposed!D$7),
     _xlpm.decomposed_deprecation_state_flag,_xlfn.ANCHORARRAY(    path_decomposed!O$7),
     _xlpm.lookup,      _xlfn.XLOOKUP(_xlpm.path_manual_index,_xlfn.ANCHORARRAY(
                          path_decomposed!D$7),_xlfn.ANCHORARRAY(
                          path_decomposed!O$7),
                          "FIXME", 0),
     _xlpm.return,      IF(_xlpm.lookup,
                     "deprecated",
                     "current"),
     _xlpm.return)</calculatedColumnFormula>
    </tableColumn>
    <tableColumn id="7" xr3:uid="{E1C5C468-F3D1-4EDE-81E5-9039A1780D64}" name="final_state" dataDxfId="23">
      <calculatedColumnFormula array="1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calculatedColumnFormula>
    </tableColumn>
    <tableColumn id="9" xr3:uid="{DAFB1602-679C-4334-B0E6-688F68EE5479}" name="1" dataDxfId="22"/>
    <tableColumn id="10" xr3:uid="{5220F133-B83C-49B2-94D6-82A11D51E8AC}" name="2" dataDxfId="21"/>
    <tableColumn id="11" xr3:uid="{D88CE13F-8950-42F8-A660-1B327997CBB7}" name="3" dataDxfId="20"/>
    <tableColumn id="12" xr3:uid="{8BBC82AA-A613-4A23-8ACB-D3ED9999BEA7}" name="4" dataDxfId="19"/>
    <tableColumn id="13" xr3:uid="{02F8EBEC-2600-413A-A093-BF3BF0A5CD6C}" name="5" dataDxfId="18"/>
    <tableColumn id="14" xr3:uid="{951E3EC7-BCDD-49E7-9DEB-D5848BA7DE15}" name="6" dataDxfId="17"/>
    <tableColumn id="15" xr3:uid="{FEC5B515-5E77-429F-A20B-B264A85DED2A}" name="7" dataDxfId="16"/>
    <tableColumn id="16" xr3:uid="{FCC9F3C9-0BAE-44B6-8F33-2F88A5D03532}" name="8" dataDxfId="15"/>
    <tableColumn id="17" xr3:uid="{E2C85A2A-CD51-4ADE-BB26-E46318E8FB7D}" name="9" dataDxfId="14"/>
    <tableColumn id="18" xr3:uid="{70AFE3B1-3054-4B88-86C8-B133A5179BF2}" name="10" dataDxfId="1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F9C8E4-DE5C-4751-9025-880EDB97D6AD}" name="tbl_paths_input_tester" displayName="tbl_paths_input_tester" ref="C3:M5" totalsRowShown="0" headerRowDxfId="12" dataDxfId="11">
  <autoFilter ref="C3:M5" xr:uid="{6DF9C8E4-DE5C-4751-9025-880EDB97D6AD}"/>
  <tableColumns count="11">
    <tableColumn id="1" xr3:uid="{30710AB5-AEAE-467C-B8A6-4594E3558B53}" name="index" dataDxfId="10"/>
    <tableColumn id="2" xr3:uid="{ADA0A725-5548-42A9-B0CB-F1ED6E06164E}" name="1" dataDxfId="9"/>
    <tableColumn id="3" xr3:uid="{8C734407-73A8-4B13-AD35-B610F4F0675D}" name="2" dataDxfId="8"/>
    <tableColumn id="4" xr3:uid="{58644BDF-60D5-4A89-9A84-13EED2EA7156}" name="3" dataDxfId="7"/>
    <tableColumn id="5" xr3:uid="{99CF2162-9443-482C-8C85-2685968C8B5A}" name="4" dataDxfId="6"/>
    <tableColumn id="6" xr3:uid="{CE847FD3-F10A-4816-B83D-71C282713572}" name="5" dataDxfId="5"/>
    <tableColumn id="7" xr3:uid="{A1F5053F-90AF-4C4B-9351-1AE87A2E3479}" name="6" dataDxfId="4"/>
    <tableColumn id="8" xr3:uid="{581FB23B-B469-4F2F-A778-7AA138927F0A}" name="7" dataDxfId="3"/>
    <tableColumn id="9" xr3:uid="{CE35BB7E-ADEE-4E08-96D4-666877B6531F}" name="8" dataDxfId="2"/>
    <tableColumn id="10" xr3:uid="{158ECEF0-7878-4268-BD37-AAF92BD99DC1}" name="9" dataDxfId="1"/>
    <tableColumn id="11" xr3:uid="{DE5FA7BD-793E-4B32-BC1A-1BC61360A01B}" name="10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7361-3C80-43A0-90C4-248581959A81}">
  <dimension ref="C4:E9"/>
  <sheetViews>
    <sheetView workbookViewId="0">
      <selection activeCell="E9" sqref="E9"/>
    </sheetView>
  </sheetViews>
  <sheetFormatPr defaultRowHeight="15" x14ac:dyDescent="0.25"/>
  <cols>
    <col min="1" max="3" width="9.140625" style="1"/>
    <col min="4" max="4" width="32.5703125" style="1" customWidth="1"/>
    <col min="5" max="5" width="19.5703125" style="1" customWidth="1"/>
    <col min="6" max="16384" width="9.140625" style="1"/>
  </cols>
  <sheetData>
    <row r="4" spans="3:5" x14ac:dyDescent="0.25">
      <c r="C4" s="1" t="s">
        <v>0</v>
      </c>
      <c r="D4" s="1" t="s">
        <v>7</v>
      </c>
      <c r="E4" s="1" t="s">
        <v>19</v>
      </c>
    </row>
    <row r="5" spans="3:5" x14ac:dyDescent="0.25">
      <c r="C5" s="1">
        <v>1</v>
      </c>
      <c r="D5" s="14" t="s">
        <v>20</v>
      </c>
      <c r="E5" s="1" t="s">
        <v>21</v>
      </c>
    </row>
    <row r="6" spans="3:5" x14ac:dyDescent="0.25">
      <c r="C6" s="1">
        <v>2</v>
      </c>
      <c r="D6" s="14" t="s">
        <v>22</v>
      </c>
      <c r="E6" s="1" t="s">
        <v>23</v>
      </c>
    </row>
    <row r="7" spans="3:5" x14ac:dyDescent="0.25">
      <c r="C7" s="1">
        <v>3</v>
      </c>
      <c r="D7" s="14" t="s">
        <v>54</v>
      </c>
      <c r="E7" s="1" cm="1">
        <f t="array" ref="E7">_xlfn.LET(_xlpm.path_header_row,               tbl_paths[#Headers],
     _xlpm.path_header_row_values,        VALUE(_xlpm.path_header_row),
     _xlpm.row_de_errored,                _xlfn._xlws.FILTER(_xlpm.path_header_row_values,
                                           NOT(ISERROR(_xlpm.path_header_row_values))),
     _xlpm.return,                        MAX(_xlpm.row_de_errored),
     _xlpm.return)</f>
        <v>10</v>
      </c>
    </row>
    <row r="8" spans="3:5" x14ac:dyDescent="0.25">
      <c r="C8" s="1">
        <v>4</v>
      </c>
      <c r="D8" s="14" t="s">
        <v>55</v>
      </c>
      <c r="E8" s="1">
        <f>ROWS(tbl_paths[])</f>
        <v>8</v>
      </c>
    </row>
    <row r="9" spans="3:5" x14ac:dyDescent="0.25">
      <c r="C9" s="1">
        <v>5</v>
      </c>
      <c r="D9" s="14" t="s">
        <v>56</v>
      </c>
      <c r="E9" s="1">
        <f>_xlfn.LET(_xlpm.hop_count,     _xlfn.XLOOKUP("hop_count", tbl_variable[name], tbl_variable[value], "FIXME", 0),
     _xlpm.path_count,    _xlfn.XLOOKUP("path_count", tbl_variable[name], tbl_variable[value], "FIXME", 0),
     _xlpm.return,        _xlpm.hop_count * _xlpm.path_count,
     _xlpm.return)</f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S15"/>
  <sheetViews>
    <sheetView topLeftCell="E1" workbookViewId="0">
      <selection activeCell="N2" sqref="N2"/>
    </sheetView>
  </sheetViews>
  <sheetFormatPr defaultRowHeight="15" x14ac:dyDescent="0.25"/>
  <cols>
    <col min="1" max="2" width="9.140625" style="1"/>
    <col min="3" max="3" width="16.85546875" style="1" customWidth="1"/>
    <col min="4" max="4" width="9" style="1" customWidth="1"/>
    <col min="5" max="6" width="16.7109375" style="1" customWidth="1"/>
    <col min="7" max="7" width="19.28515625" style="1" customWidth="1"/>
    <col min="8" max="8" width="30" style="1" customWidth="1"/>
    <col min="9" max="9" width="21.7109375" style="1" customWidth="1"/>
    <col min="10" max="10" width="25.28515625" style="1" customWidth="1"/>
    <col min="11" max="11" width="23.7109375" style="1" customWidth="1"/>
    <col min="12" max="12" width="14.42578125" style="1" customWidth="1"/>
    <col min="13" max="13" width="21.140625" style="1" customWidth="1"/>
    <col min="14" max="14" width="20.140625" style="1" customWidth="1"/>
    <col min="15" max="15" width="20" style="1" customWidth="1"/>
    <col min="16" max="16" width="16.140625" style="1" customWidth="1"/>
    <col min="17" max="17" width="4.85546875" style="1" customWidth="1"/>
    <col min="18" max="18" width="24.42578125" style="1" customWidth="1"/>
    <col min="19" max="19" width="20" style="1" customWidth="1"/>
    <col min="20" max="16384" width="9.140625" style="1"/>
  </cols>
  <sheetData>
    <row r="2" spans="3:19" ht="15.75" thickBot="1" x14ac:dyDescent="0.3"/>
    <row r="3" spans="3:19" ht="15.75" thickBot="1" x14ac:dyDescent="0.3">
      <c r="R3" s="24" t="s">
        <v>33</v>
      </c>
      <c r="S3" s="25"/>
    </row>
    <row r="4" spans="3:19" x14ac:dyDescent="0.25">
      <c r="C4" s="1" t="s">
        <v>1</v>
      </c>
      <c r="D4" s="1" t="s">
        <v>2</v>
      </c>
      <c r="E4" s="1" t="s">
        <v>3</v>
      </c>
      <c r="F4" s="1" t="s">
        <v>59</v>
      </c>
      <c r="G4" s="1" t="s">
        <v>4</v>
      </c>
      <c r="H4" s="1" t="s">
        <v>5</v>
      </c>
      <c r="I4" s="1" t="s">
        <v>6</v>
      </c>
      <c r="J4" s="1" t="s">
        <v>15</v>
      </c>
      <c r="K4" s="1" t="s">
        <v>16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34</v>
      </c>
      <c r="R4" s="1" t="s">
        <v>31</v>
      </c>
      <c r="S4" s="1" t="s">
        <v>32</v>
      </c>
    </row>
    <row r="5" spans="3:19" x14ac:dyDescent="0.25">
      <c r="C5" s="2">
        <v>1</v>
      </c>
      <c r="D5" s="4" cm="1">
        <f t="array" ref="D5">ROW() - ROW(tbl_devices[#Headers])</f>
        <v>1</v>
      </c>
      <c r="E5" s="3"/>
      <c r="F5" s="3"/>
      <c r="G5" s="2" t="s">
        <v>14</v>
      </c>
      <c r="H5" s="4" t="str" cm="1">
        <f t="array" ref="H5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I5" s="4" t="str" cm="1">
        <f t="array" ref="I5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J5" s="2" t="s">
        <v>79</v>
      </c>
      <c r="K5" s="4" t="str">
        <f>_xlfn.LET(_xlpm.raw,               tbl_devices[[#This Row],[handle_permanent_raw]],
     _xlpm.cleaned,           LOWER(SUBSTITUTE(CLEAN(TRIM(_xlpm.raw)), " ", "")),
     _xlpm.return,            _xlpm.cleaned,
     _xlpm.return)</f>
        <v>leaf01</v>
      </c>
      <c r="L5" s="3"/>
      <c r="M5" s="3"/>
      <c r="N5" s="3"/>
      <c r="O5" s="3"/>
      <c r="P5" s="3"/>
      <c r="Q5" s="9" t="str">
        <f t="shared" ref="Q5:Q11" si="0">"|"</f>
        <v>|</v>
      </c>
      <c r="R5" s="4">
        <f>COUNTIFS(tbl_devices[manual_state], "active",
          tbl_devices[handle_permanent_cleaned], tbl_devices[[#This Row],[handle_permanent_cleaned]])</f>
        <v>1</v>
      </c>
      <c r="S5" s="4">
        <f>COUNTIF(tbl_devices[handle_permanent_cleaned], tbl_devices[[#This Row],[handle_permanent_cleaned]])</f>
        <v>1</v>
      </c>
    </row>
    <row r="6" spans="3:19" x14ac:dyDescent="0.25">
      <c r="C6" s="2">
        <v>2</v>
      </c>
      <c r="D6" s="4" cm="1">
        <f t="array" ref="D6">ROW() - ROW(tbl_devices[#Headers])</f>
        <v>2</v>
      </c>
      <c r="E6" s="3"/>
      <c r="F6" s="3"/>
      <c r="G6" s="2" t="s">
        <v>14</v>
      </c>
      <c r="H6" s="4" t="str" cm="1">
        <f t="array" ref="H6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I6" s="4" t="str" cm="1">
        <f t="array" ref="I6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J6" s="2" t="s">
        <v>78</v>
      </c>
      <c r="K6" s="4" t="str">
        <f>_xlfn.LET(_xlpm.raw,               tbl_devices[[#This Row],[handle_permanent_raw]],
     _xlpm.cleaned,           LOWER(SUBSTITUTE(CLEAN(TRIM(_xlpm.raw)), " ", "")),
     _xlpm.return,            _xlpm.cleaned,
     _xlpm.return)</f>
        <v>leaf02</v>
      </c>
      <c r="L6" s="3"/>
      <c r="M6" s="3"/>
      <c r="N6" s="3"/>
      <c r="O6" s="3"/>
      <c r="P6" s="3"/>
      <c r="Q6" s="9" t="str">
        <f t="shared" si="0"/>
        <v>|</v>
      </c>
      <c r="R6" s="4">
        <f>COUNTIFS(tbl_devices[manual_state], "active",
          tbl_devices[handle_permanent_cleaned], tbl_devices[[#This Row],[handle_permanent_cleaned]])</f>
        <v>1</v>
      </c>
      <c r="S6" s="4">
        <f>COUNTIF(tbl_devices[handle_permanent_cleaned], tbl_devices[[#This Row],[handle_permanent_cleaned]])</f>
        <v>1</v>
      </c>
    </row>
    <row r="7" spans="3:19" x14ac:dyDescent="0.25">
      <c r="C7" s="2">
        <v>3</v>
      </c>
      <c r="D7" s="4" cm="1">
        <f t="array" ref="D7">ROW() - ROW(tbl_devices[#Headers])</f>
        <v>3</v>
      </c>
      <c r="E7" s="3"/>
      <c r="F7" s="3"/>
      <c r="G7" s="2" t="str">
        <f t="shared" ref="G7:G8" si="1">"active"</f>
        <v>active</v>
      </c>
      <c r="H7" s="4" t="str" cm="1">
        <f t="array" ref="H7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I7" s="4" t="str" cm="1">
        <f t="array" ref="I7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J7" s="2" t="s">
        <v>17</v>
      </c>
      <c r="K7" s="4" t="str">
        <f>_xlfn.LET(_xlpm.raw,               tbl_devices[[#This Row],[handle_permanent_raw]],
     _xlpm.cleaned,           LOWER(SUBSTITUTE(CLEAN(TRIM(_xlpm.raw)), " ", "")),
     _xlpm.return,            _xlpm.cleaned,
     _xlpm.return)</f>
        <v>srv01</v>
      </c>
      <c r="L7" s="3"/>
      <c r="M7" s="3"/>
      <c r="N7" s="3"/>
      <c r="O7" s="3"/>
      <c r="P7" s="3"/>
      <c r="Q7" s="9" t="str">
        <f t="shared" si="0"/>
        <v>|</v>
      </c>
      <c r="R7" s="4">
        <f>COUNTIFS(tbl_devices[manual_state], "active",
          tbl_devices[handle_permanent_cleaned], tbl_devices[[#This Row],[handle_permanent_cleaned]])</f>
        <v>1</v>
      </c>
      <c r="S7" s="4">
        <f>COUNTIF(tbl_devices[handle_permanent_cleaned], tbl_devices[[#This Row],[handle_permanent_cleaned]])</f>
        <v>1</v>
      </c>
    </row>
    <row r="8" spans="3:19" x14ac:dyDescent="0.25">
      <c r="C8" s="2">
        <v>4</v>
      </c>
      <c r="D8" s="4" cm="1">
        <f t="array" ref="D8">ROW() - ROW(tbl_devices[#Headers])</f>
        <v>4</v>
      </c>
      <c r="E8" s="3"/>
      <c r="F8" s="3"/>
      <c r="G8" s="2" t="str">
        <f t="shared" si="1"/>
        <v>active</v>
      </c>
      <c r="H8" s="4" t="str" cm="1">
        <f t="array" ref="H8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I8" s="4" t="str" cm="1">
        <f t="array" ref="I8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J8" s="2" t="s">
        <v>18</v>
      </c>
      <c r="K8" s="4" t="str">
        <f>_xlfn.LET(_xlpm.raw,               tbl_devices[[#This Row],[handle_permanent_raw]],
     _xlpm.cleaned,           LOWER(SUBSTITUTE(CLEAN(TRIM(_xlpm.raw)), " ", "")),
     _xlpm.return,            _xlpm.cleaned,
     _xlpm.return)</f>
        <v>srv02</v>
      </c>
      <c r="L8" s="3"/>
      <c r="M8" s="3"/>
      <c r="N8" s="3"/>
      <c r="O8" s="3"/>
      <c r="P8" s="3"/>
      <c r="Q8" s="9" t="str">
        <f t="shared" si="0"/>
        <v>|</v>
      </c>
      <c r="R8" s="4">
        <f>COUNTIFS(tbl_devices[manual_state], "active",
          tbl_devices[handle_permanent_cleaned], tbl_devices[[#This Row],[handle_permanent_cleaned]])</f>
        <v>1</v>
      </c>
      <c r="S8" s="4">
        <f>COUNTIF(tbl_devices[handle_permanent_cleaned], tbl_devices[[#This Row],[handle_permanent_cleaned]])</f>
        <v>1</v>
      </c>
    </row>
    <row r="9" spans="3:19" x14ac:dyDescent="0.25">
      <c r="C9" s="2">
        <v>5</v>
      </c>
      <c r="D9" s="4" cm="1">
        <f t="array" ref="D9">ROW() - ROW(tbl_devices[#Headers])</f>
        <v>5</v>
      </c>
      <c r="E9" s="3"/>
      <c r="F9" s="3"/>
      <c r="G9" s="2" t="str">
        <f>"active"</f>
        <v>active</v>
      </c>
      <c r="H9" s="4" t="str" cm="1">
        <f t="array" ref="H9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I9" s="4" t="str" cm="1">
        <f t="array" ref="I9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J9" s="2" t="s">
        <v>29</v>
      </c>
      <c r="K9" s="4" t="str">
        <f>_xlfn.LET(_xlpm.raw,               tbl_devices[[#This Row],[handle_permanent_raw]],
     _xlpm.cleaned,           LOWER(SUBSTITUTE(CLEAN(TRIM(_xlpm.raw)), " ", "")),
     _xlpm.return,            _xlpm.cleaned,
     _xlpm.return)</f>
        <v>rtr01</v>
      </c>
      <c r="L9" s="3"/>
      <c r="M9" s="3"/>
      <c r="N9" s="3"/>
      <c r="O9" s="3"/>
      <c r="P9" s="3"/>
      <c r="Q9" s="9" t="str">
        <f t="shared" si="0"/>
        <v>|</v>
      </c>
      <c r="R9" s="4">
        <f>COUNTIFS(tbl_devices[manual_state], "active",
          tbl_devices[handle_permanent_cleaned], tbl_devices[[#This Row],[handle_permanent_cleaned]])</f>
        <v>1</v>
      </c>
      <c r="S9" s="4">
        <f>COUNTIF(tbl_devices[handle_permanent_cleaned], tbl_devices[[#This Row],[handle_permanent_cleaned]])</f>
        <v>1</v>
      </c>
    </row>
    <row r="10" spans="3:19" x14ac:dyDescent="0.25">
      <c r="C10" s="2">
        <v>6</v>
      </c>
      <c r="D10" s="4" cm="1">
        <f t="array" ref="D10">ROW() - ROW(tbl_devices[#Headers])</f>
        <v>6</v>
      </c>
      <c r="E10" s="3"/>
      <c r="F10" s="3"/>
      <c r="G10" s="2" t="str">
        <f>"active"</f>
        <v>active</v>
      </c>
      <c r="H10" s="4" t="str" cm="1">
        <f t="array" ref="H10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I10" s="4" t="str" cm="1">
        <f t="array" ref="I10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J10" s="2" t="s">
        <v>80</v>
      </c>
      <c r="K10" s="4" t="str">
        <f>_xlfn.LET(_xlpm.raw,               tbl_devices[[#This Row],[handle_permanent_raw]],
     _xlpm.cleaned,           LOWER(SUBSTITUTE(CLEAN(TRIM(_xlpm.raw)), " ", "")),
     _xlpm.return,            _xlpm.cleaned,
     _xlpm.return)</f>
        <v>rtr02</v>
      </c>
      <c r="L10" s="3"/>
      <c r="M10" s="3"/>
      <c r="N10" s="3"/>
      <c r="O10" s="3"/>
      <c r="P10" s="3"/>
      <c r="Q10" s="9" t="str">
        <f t="shared" si="0"/>
        <v>|</v>
      </c>
      <c r="R10" s="4">
        <f>COUNTIFS(tbl_devices[manual_state], "active",
          tbl_devices[handle_permanent_cleaned], tbl_devices[[#This Row],[handle_permanent_cleaned]])</f>
        <v>1</v>
      </c>
      <c r="S10" s="4">
        <f>COUNTIF(tbl_devices[handle_permanent_cleaned], tbl_devices[[#This Row],[handle_permanent_cleaned]])</f>
        <v>1</v>
      </c>
    </row>
    <row r="11" spans="3:19" x14ac:dyDescent="0.25">
      <c r="C11" s="2">
        <v>7</v>
      </c>
      <c r="D11" s="4" cm="1">
        <f t="array" ref="D11">ROW() - ROW(tbl_devices[#Headers])</f>
        <v>7</v>
      </c>
      <c r="E11" s="3"/>
      <c r="F11" s="3"/>
      <c r="G11" s="2" t="s">
        <v>14</v>
      </c>
      <c r="H11" s="4" t="str" cm="1">
        <f t="array" ref="H11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I11" s="4" t="str" cm="1">
        <f t="array" ref="I11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J11" s="2" t="s">
        <v>30</v>
      </c>
      <c r="K11" s="4" t="str">
        <f>_xlfn.LET(_xlpm.raw,               tbl_devices[[#This Row],[handle_permanent_raw]],
     _xlpm.cleaned,           LOWER(SUBSTITUTE(CLEAN(TRIM(_xlpm.raw)), " ", "")),
     _xlpm.return,            _xlpm.cleaned,
     _xlpm.return)</f>
        <v>fw01</v>
      </c>
      <c r="L11" s="3"/>
      <c r="M11" s="3"/>
      <c r="N11" s="3"/>
      <c r="O11" s="3"/>
      <c r="P11" s="3"/>
      <c r="Q11" s="9" t="str">
        <f t="shared" si="0"/>
        <v>|</v>
      </c>
      <c r="R11" s="4">
        <f>COUNTIFS(tbl_devices[manual_state], "active",
          tbl_devices[handle_permanent_cleaned], tbl_devices[[#This Row],[handle_permanent_cleaned]])</f>
        <v>1</v>
      </c>
      <c r="S11" s="4">
        <f>COUNTIF(tbl_devices[handle_permanent_cleaned], tbl_devices[[#This Row],[handle_permanent_cleaned]])</f>
        <v>1</v>
      </c>
    </row>
    <row r="12" spans="3:19" x14ac:dyDescent="0.25">
      <c r="C12" s="2">
        <v>8</v>
      </c>
      <c r="D12" s="4" cm="1">
        <f t="array" ref="D12">ROW() - ROW(tbl_devices[#Headers])</f>
        <v>8</v>
      </c>
      <c r="E12" s="3"/>
      <c r="F12" s="3"/>
      <c r="G12" s="2" t="s">
        <v>127</v>
      </c>
      <c r="H12" s="4" t="str" cm="1">
        <f t="array" ref="H12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suspended</v>
      </c>
      <c r="I12" s="4" t="str" cm="1">
        <f t="array" ref="I12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suspended</v>
      </c>
      <c r="J12" s="2" t="s">
        <v>106</v>
      </c>
      <c r="K12" s="4" t="str">
        <f>_xlfn.LET(_xlpm.raw,               tbl_devices[[#This Row],[handle_permanent_raw]],
     _xlpm.cleaned,           LOWER(SUBSTITUTE(CLEAN(TRIM(_xlpm.raw)), " ", "")),
     _xlpm.return,            _xlpm.cleaned,
     _xlpm.return)</f>
        <v>fw02</v>
      </c>
      <c r="L12" s="3"/>
      <c r="M12" s="3"/>
      <c r="N12" s="3"/>
      <c r="O12" s="3"/>
      <c r="P12" s="3"/>
      <c r="Q12" s="9" t="str">
        <f>"|"</f>
        <v>|</v>
      </c>
      <c r="R12" s="4">
        <f>COUNTIFS(tbl_devices[manual_state], "active",
          tbl_devices[handle_permanent_cleaned], tbl_devices[[#This Row],[handle_permanent_cleaned]])</f>
        <v>0</v>
      </c>
      <c r="S12" s="4">
        <f>COUNTIF(tbl_devices[handle_permanent_cleaned], tbl_devices[[#This Row],[handle_permanent_cleaned]])</f>
        <v>1</v>
      </c>
    </row>
    <row r="13" spans="3:19" x14ac:dyDescent="0.25">
      <c r="C13" s="2">
        <v>9</v>
      </c>
      <c r="D13" s="4" cm="1">
        <f t="array" ref="D13">ROW() - ROW(tbl_devices[#Headers])</f>
        <v>9</v>
      </c>
      <c r="E13" s="3"/>
      <c r="F13" s="3"/>
      <c r="G13" s="2" t="str">
        <f>"active"</f>
        <v>active</v>
      </c>
      <c r="H13" s="4" t="str" cm="1">
        <f t="array" ref="H13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I13" s="4" t="str" cm="1">
        <f t="array" ref="I13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J13" s="2" t="s">
        <v>81</v>
      </c>
      <c r="K13" s="4" t="str">
        <f>_xlfn.LET(_xlpm.raw,               tbl_devices[[#This Row],[handle_permanent_raw]],
     _xlpm.cleaned,           LOWER(SUBSTITUTE(CLEAN(TRIM(_xlpm.raw)), " ", "")),
     _xlpm.return,            _xlpm.cleaned,
     _xlpm.return)</f>
        <v>spine01</v>
      </c>
      <c r="L13" s="3"/>
      <c r="M13" s="3"/>
      <c r="N13" s="3"/>
      <c r="O13" s="3"/>
      <c r="P13" s="3"/>
      <c r="Q13" s="9" t="str">
        <f>"|"</f>
        <v>|</v>
      </c>
      <c r="R13" s="4">
        <f>COUNTIFS(tbl_devices[manual_state], "active",
          tbl_devices[handle_permanent_cleaned], tbl_devices[[#This Row],[handle_permanent_cleaned]])</f>
        <v>1</v>
      </c>
      <c r="S13" s="4">
        <f>COUNTIF(tbl_devices[handle_permanent_cleaned], tbl_devices[[#This Row],[handle_permanent_cleaned]])</f>
        <v>1</v>
      </c>
    </row>
    <row r="14" spans="3:19" x14ac:dyDescent="0.25">
      <c r="C14" s="2">
        <v>10</v>
      </c>
      <c r="D14" s="4" cm="1">
        <f t="array" ref="D14">ROW() - ROW(tbl_devices[#Headers])</f>
        <v>10</v>
      </c>
      <c r="E14" s="3"/>
      <c r="F14" s="3"/>
      <c r="G14" s="2" t="str">
        <f>"active"</f>
        <v>active</v>
      </c>
      <c r="H14" s="4" t="str" cm="1">
        <f t="array" ref="H14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I14" s="4" t="str" cm="1">
        <f t="array" ref="I14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J14" s="2" t="s">
        <v>82</v>
      </c>
      <c r="K14" s="4" t="str">
        <f>_xlfn.LET(_xlpm.raw,               tbl_devices[[#This Row],[handle_permanent_raw]],
     _xlpm.cleaned,           LOWER(SUBSTITUTE(CLEAN(TRIM(_xlpm.raw)), " ", "")),
     _xlpm.return,            _xlpm.cleaned,
     _xlpm.return)</f>
        <v>spine02</v>
      </c>
      <c r="L14" s="3"/>
      <c r="M14" s="3"/>
      <c r="N14" s="3"/>
      <c r="O14" s="3"/>
      <c r="P14" s="3"/>
      <c r="Q14" s="9" t="str">
        <f>"|"</f>
        <v>|</v>
      </c>
      <c r="R14" s="4">
        <f>COUNTIFS(tbl_devices[manual_state], "active",
          tbl_devices[handle_permanent_cleaned], tbl_devices[[#This Row],[handle_permanent_cleaned]])</f>
        <v>1</v>
      </c>
      <c r="S14" s="4">
        <f>COUNTIF(tbl_devices[handle_permanent_cleaned], tbl_devices[[#This Row],[handle_permanent_cleaned]])</f>
        <v>1</v>
      </c>
    </row>
    <row r="15" spans="3:19" x14ac:dyDescent="0.25">
      <c r="C15" s="2">
        <v>11</v>
      </c>
      <c r="D15" s="4" cm="1">
        <f t="array" ref="D15">ROW() - ROW(tbl_devices[#Headers])</f>
        <v>11</v>
      </c>
      <c r="E15" s="3"/>
      <c r="F15" s="3"/>
      <c r="G15" s="2" t="str">
        <f>"active"</f>
        <v>active</v>
      </c>
      <c r="H15" s="4" t="str" cm="1">
        <f t="array" ref="H15">_xlfn.LET(_xlpm.manual_state,           tbl_devices[[#This Row],[manual_state]],
     _xlpm.handle,                 tbl_devices[[#This Row],[handle_permanent_cleaned]],
     _xlpm.handles,                tbl_devices[handle_permanent_cleaned],
     _xlpm.temp_table,             _xlfn.HSTACK(tbl_devices[manual_state], tbl_devices[handle_permanent_cleaned]),
     _xlpm.active_handles,         _xlfn.CHOOSECOLS(_xlfn._xlws.FILTER(_xlpm.temp_table,
                                               _xlfn.CHOOSECOLS(_xlpm.temp_table, 1) = "active"),
                                        2),
     _xlpm.active_handle_count,   tbl_devices[[#This Row],[active_handle_count]],
     _xlpm.comment_01,            "SUMPRODUCT(--(active_handles = handle))",
     _xlpm.return,                _xlfn.IFS(_xlpm.manual_state = "suspended",
                                "suspended",
                                _xlpm.active_handle_count &gt; 1,
                                "ERROR::::duplicate_active_device_handles",
                                TRUE,
                                "ok"),
     _xlpm.return)</f>
        <v>ok</v>
      </c>
      <c r="I15" s="4" t="str" cm="1">
        <f t="array" ref="I15">_xlfn.LET(_xlpm.manual_state,      tbl_devices[[#This Row],[manual_state]],
     _xlpm.derived_state,     tbl_devices[[#This Row],[derived_state]],
     _xlpm.return,            _xlfn.IFS(AND(_xlpm.manual_state = "active",
                                _xlpm.derived_state = "ok"),
                            _xlpm.derived_state,
                            AND(_xlpm.manual_state = "active",
                                _xlpm.derived_state &lt;&gt; "ok"),
                            _xlpm.derived_state,
                            _xlpm.manual_state = "suspended",
                            "suspended"),
      _xlpm.return)</f>
        <v>ok</v>
      </c>
      <c r="J15" s="2" t="s">
        <v>83</v>
      </c>
      <c r="K15" s="4" t="str">
        <f>_xlfn.LET(_xlpm.raw,               tbl_devices[[#This Row],[handle_permanent_raw]],
     _xlpm.cleaned,           LOWER(SUBSTITUTE(CLEAN(TRIM(_xlpm.raw)), " ", "")),
     _xlpm.return,            _xlpm.cleaned,
     _xlpm.return)</f>
        <v>mgmtsw01</v>
      </c>
      <c r="L15" s="3"/>
      <c r="M15" s="3"/>
      <c r="N15" s="3"/>
      <c r="O15" s="3"/>
      <c r="P15" s="3"/>
      <c r="Q15" s="9" t="str">
        <f>"|"</f>
        <v>|</v>
      </c>
      <c r="R15" s="4">
        <f>COUNTIFS(tbl_devices[manual_state], "active",
          tbl_devices[handle_permanent_cleaned], tbl_devices[[#This Row],[handle_permanent_cleaned]])</f>
        <v>1</v>
      </c>
      <c r="S15" s="4">
        <f>COUNTIF(tbl_devices[handle_permanent_cleaned], tbl_devices[[#This Row],[handle_permanent_cleaned]])</f>
        <v>1</v>
      </c>
    </row>
  </sheetData>
  <mergeCells count="1">
    <mergeCell ref="R3:S3"/>
  </mergeCells>
  <dataValidations count="1">
    <dataValidation type="list" allowBlank="1" showInputMessage="1" showErrorMessage="1" sqref="G5:G15" xr:uid="{5EB17269-71D5-489E-AE90-5E119DD799E5}">
      <formula1>"active,suspended"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2A60-936C-42FB-87A8-BA43DA422740}">
  <dimension ref="C1:S76"/>
  <sheetViews>
    <sheetView tabSelected="1" workbookViewId="0">
      <selection activeCell="F9" sqref="F9"/>
    </sheetView>
  </sheetViews>
  <sheetFormatPr defaultRowHeight="15" x14ac:dyDescent="0.25"/>
  <cols>
    <col min="3" max="3" width="16.85546875" customWidth="1"/>
    <col min="4" max="4" width="14.5703125" customWidth="1"/>
    <col min="5" max="6" width="13.42578125" customWidth="1"/>
    <col min="7" max="7" width="16.85546875" customWidth="1"/>
    <col min="8" max="8" width="24" customWidth="1"/>
    <col min="9" max="9" width="20.5703125" customWidth="1"/>
    <col min="10" max="10" width="43.7109375" customWidth="1"/>
    <col min="11" max="11" width="25.28515625" customWidth="1"/>
    <col min="12" max="12" width="25" customWidth="1"/>
    <col min="13" max="13" width="18.7109375" customWidth="1"/>
    <col min="14" max="14" width="22.28515625" customWidth="1"/>
    <col min="15" max="15" width="17.5703125" customWidth="1"/>
    <col min="16" max="16" width="22.28515625" customWidth="1"/>
    <col min="18" max="18" width="28.85546875" customWidth="1"/>
    <col min="19" max="19" width="24.85546875" customWidth="1"/>
  </cols>
  <sheetData>
    <row r="1" spans="3:19" ht="15.75" thickBot="1" x14ac:dyDescent="0.3"/>
    <row r="2" spans="3:19" ht="15.75" thickBot="1" x14ac:dyDescent="0.3">
      <c r="R2" s="24" t="s">
        <v>33</v>
      </c>
      <c r="S2" s="25"/>
    </row>
    <row r="3" spans="3:19" x14ac:dyDescent="0.25">
      <c r="C3" s="5" t="s">
        <v>1</v>
      </c>
      <c r="D3" s="5" t="s">
        <v>2</v>
      </c>
      <c r="E3" s="5" t="s">
        <v>3</v>
      </c>
      <c r="F3" s="5" t="s">
        <v>59</v>
      </c>
      <c r="G3" s="5" t="s">
        <v>4</v>
      </c>
      <c r="H3" s="5" t="s">
        <v>13</v>
      </c>
      <c r="I3" s="5" t="s">
        <v>58</v>
      </c>
      <c r="J3" s="5" t="s">
        <v>5</v>
      </c>
      <c r="K3" s="5" t="s">
        <v>6</v>
      </c>
      <c r="L3" s="5" t="s">
        <v>28</v>
      </c>
      <c r="M3" s="5" t="s">
        <v>24</v>
      </c>
      <c r="N3" s="5" t="s">
        <v>27</v>
      </c>
      <c r="O3" s="5" t="s">
        <v>25</v>
      </c>
      <c r="P3" s="5" t="s">
        <v>26</v>
      </c>
      <c r="Q3" s="5" t="s">
        <v>34</v>
      </c>
      <c r="R3" s="5" t="s">
        <v>35</v>
      </c>
      <c r="S3" s="5" t="s">
        <v>36</v>
      </c>
    </row>
    <row r="4" spans="3:19" x14ac:dyDescent="0.25">
      <c r="C4" s="6">
        <v>1</v>
      </c>
      <c r="D4" s="7" cm="1">
        <f t="array" ref="D4">ROW() - ROW(tbl_interfaces[#Headers])</f>
        <v>1</v>
      </c>
      <c r="E4" s="15"/>
      <c r="F4" s="15"/>
      <c r="G4" s="6" t="s">
        <v>14</v>
      </c>
      <c r="H4" s="8" t="str" cm="1">
        <f t="array" ref="H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4" s="8" t="str" cm="1">
        <f t="array" ref="I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4" s="8" t="str" cm="1">
        <f t="array" ref="J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4" s="7" t="str">
        <f>tbl_interfaces[[#This Row],[derived_state]]</f>
        <v>ok</v>
      </c>
      <c r="L4" s="2" t="s">
        <v>17</v>
      </c>
      <c r="M4" s="2" t="s">
        <v>60</v>
      </c>
      <c r="N4" s="4" t="str">
        <f>_xlfn.LET(_xlpm.raw,               tbl_interfaces[[#This Row],[device_handle_raw]],
     _xlpm.cleaned,           LOWER(SUBSTITUTE(CLEAN(TRIM(_xlpm.raw)), " ", "")),
     _xlpm.return,            _xlpm.cleaned,
     _xlpm.return)</f>
        <v>srv01</v>
      </c>
      <c r="O4" s="4" t="str">
        <f>_xlfn.LET(_xlpm.raw,               tbl_interfaces[[#This Row],[if_name_raw]],
     _xlpm.cleaned,           LOWER(SUBSTITUTE(CLEAN(TRIM(_xlpm.raw)), " ", "")),
     _xlpm.return,            _xlpm.cleaned,
     _xlpm.return)</f>
        <v>idrac</v>
      </c>
      <c r="P4" s="4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srv01;idrac</v>
      </c>
      <c r="Q4" s="9" t="str">
        <f t="shared" ref="Q4:Q6" si="0">"|"</f>
        <v>|</v>
      </c>
      <c r="R4" s="4">
        <f>COUNTIFS(tbl_interfaces[manual_state], "active",
          tbl_interfaces[if_id], tbl_interfaces[[#This Row],[if_id]])</f>
        <v>1</v>
      </c>
      <c r="S4" s="4">
        <f>COUNTIF(tbl_interfaces[if_id], tbl_interfaces[[#This Row],[if_id]])</f>
        <v>1</v>
      </c>
    </row>
    <row r="5" spans="3:19" x14ac:dyDescent="0.25">
      <c r="C5" s="6">
        <v>2</v>
      </c>
      <c r="D5" s="7" cm="1">
        <f t="array" ref="D5">ROW() - ROW(tbl_interfaces[#Headers])</f>
        <v>2</v>
      </c>
      <c r="E5" s="15"/>
      <c r="F5" s="15"/>
      <c r="G5" s="6" t="s">
        <v>14</v>
      </c>
      <c r="H5" s="8" t="str" cm="1">
        <f t="array" ref="H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5" s="8" t="str" cm="1">
        <f t="array" ref="I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5" s="8" t="str" cm="1">
        <f t="array" ref="J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5" s="7" t="str">
        <f>tbl_interfaces[[#This Row],[derived_state]]</f>
        <v>ok</v>
      </c>
      <c r="L5" s="2" t="s">
        <v>17</v>
      </c>
      <c r="M5" s="6" t="s">
        <v>62</v>
      </c>
      <c r="N5" s="7" t="str">
        <f>_xlfn.LET(_xlpm.raw,               tbl_interfaces[[#This Row],[device_handle_raw]],
     _xlpm.cleaned,           LOWER(SUBSTITUTE(CLEAN(TRIM(_xlpm.raw)), " ", "")),
     _xlpm.return,            _xlpm.cleaned,
     _xlpm.return)</f>
        <v>srv01</v>
      </c>
      <c r="O5" s="7" t="str">
        <f>_xlfn.LET(_xlpm.raw,               tbl_interfaces[[#This Row],[if_name_raw]],
     _xlpm.cleaned,           LOWER(SUBSTITUTE(CLEAN(TRIM(_xlpm.raw)), " ", "")),
     _xlpm.return,            _xlpm.cleaned,
     _xlpm.return)</f>
        <v>ob/1</v>
      </c>
      <c r="P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srv01;ob/1</v>
      </c>
      <c r="Q5" s="9" t="str">
        <f t="shared" si="0"/>
        <v>|</v>
      </c>
      <c r="R5" s="4">
        <f>COUNTIFS(tbl_interfaces[manual_state], "active",
          tbl_interfaces[if_id], tbl_interfaces[[#This Row],[if_id]])</f>
        <v>1</v>
      </c>
      <c r="S5" s="4">
        <f>COUNTIF(tbl_interfaces[if_id], tbl_interfaces[[#This Row],[if_id]])</f>
        <v>1</v>
      </c>
    </row>
    <row r="6" spans="3:19" x14ac:dyDescent="0.25">
      <c r="C6" s="6">
        <v>3</v>
      </c>
      <c r="D6" s="7" cm="1">
        <f t="array" ref="D6">ROW() - ROW(tbl_interfaces[#Headers])</f>
        <v>3</v>
      </c>
      <c r="E6" s="15"/>
      <c r="F6" s="15"/>
      <c r="G6" s="6" t="str">
        <f>"active"</f>
        <v>active</v>
      </c>
      <c r="H6" s="8" t="str" cm="1">
        <f t="array" ref="H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6" s="8" t="str" cm="1">
        <f t="array" ref="I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6" s="8" t="str" cm="1">
        <f t="array" ref="J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6" s="7" t="str">
        <f>tbl_interfaces[[#This Row],[derived_state]]</f>
        <v>ok</v>
      </c>
      <c r="L6" s="2" t="s">
        <v>17</v>
      </c>
      <c r="M6" s="6" t="s">
        <v>63</v>
      </c>
      <c r="N6" s="7" t="str">
        <f>_xlfn.LET(_xlpm.raw,               tbl_interfaces[[#This Row],[device_handle_raw]],
     _xlpm.cleaned,           LOWER(SUBSTITUTE(CLEAN(TRIM(_xlpm.raw)), " ", "")),
     _xlpm.return,            _xlpm.cleaned,
     _xlpm.return)</f>
        <v>srv01</v>
      </c>
      <c r="O6" s="7" t="str">
        <f>_xlfn.LET(_xlpm.raw,               tbl_interfaces[[#This Row],[if_name_raw]],
     _xlpm.cleaned,           LOWER(SUBSTITUTE(CLEAN(TRIM(_xlpm.raw)), " ", "")),
     _xlpm.return,            _xlpm.cleaned,
     _xlpm.return)</f>
        <v>ob/2</v>
      </c>
      <c r="P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srv01;ob/2</v>
      </c>
      <c r="Q6" s="9" t="str">
        <f t="shared" si="0"/>
        <v>|</v>
      </c>
      <c r="R6" s="4">
        <f>COUNTIFS(tbl_interfaces[manual_state], "active",
          tbl_interfaces[if_id], tbl_interfaces[[#This Row],[if_id]])</f>
        <v>1</v>
      </c>
      <c r="S6" s="4">
        <f>COUNTIF(tbl_interfaces[if_id], tbl_interfaces[[#This Row],[if_id]])</f>
        <v>1</v>
      </c>
    </row>
    <row r="7" spans="3:19" x14ac:dyDescent="0.25">
      <c r="C7" s="6">
        <v>4</v>
      </c>
      <c r="D7" s="7" cm="1">
        <f t="array" ref="D7">ROW() - ROW(tbl_interfaces[#Headers])</f>
        <v>4</v>
      </c>
      <c r="E7" s="15"/>
      <c r="F7" s="15"/>
      <c r="G7" s="6" t="str">
        <f>"active"</f>
        <v>active</v>
      </c>
      <c r="H7" s="8" t="str" cm="1">
        <f t="array" ref="H7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7" s="8" t="str" cm="1">
        <f t="array" ref="I7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7" s="8" t="str" cm="1">
        <f t="array" ref="J7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7" s="7" t="str">
        <f>tbl_interfaces[[#This Row],[derived_state]]</f>
        <v>ok</v>
      </c>
      <c r="L7" s="2" t="s">
        <v>17</v>
      </c>
      <c r="M7" s="6" t="s">
        <v>65</v>
      </c>
      <c r="N7" s="7" t="str">
        <f>_xlfn.LET(_xlpm.raw,               tbl_interfaces[[#This Row],[device_handle_raw]],
     _xlpm.cleaned,           LOWER(SUBSTITUTE(CLEAN(TRIM(_xlpm.raw)), " ", "")),
     _xlpm.return,            _xlpm.cleaned,
     _xlpm.return)</f>
        <v>srv01</v>
      </c>
      <c r="O7" s="7" t="str">
        <f>_xlfn.LET(_xlpm.raw,               tbl_interfaces[[#This Row],[if_name_raw]],
     _xlpm.cleaned,           LOWER(SUBSTITUTE(CLEAN(TRIM(_xlpm.raw)), " ", "")),
     _xlpm.return,            _xlpm.cleaned,
     _xlpm.return)</f>
        <v>pcie_1/1</v>
      </c>
      <c r="P7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srv01;pcie_1/1</v>
      </c>
      <c r="Q7" s="16" t="str">
        <f>"|"</f>
        <v>|</v>
      </c>
      <c r="R7" s="7">
        <f>COUNTIFS(tbl_interfaces[manual_state], "active",
          tbl_interfaces[if_id], tbl_interfaces[[#This Row],[if_id]])</f>
        <v>1</v>
      </c>
      <c r="S7" s="7">
        <f>COUNTIF(tbl_interfaces[if_id], tbl_interfaces[[#This Row],[if_id]])</f>
        <v>1</v>
      </c>
    </row>
    <row r="8" spans="3:19" x14ac:dyDescent="0.25">
      <c r="C8" s="6">
        <v>5</v>
      </c>
      <c r="D8" s="7" cm="1">
        <f t="array" ref="D8">ROW() - ROW(tbl_interfaces[#Headers])</f>
        <v>5</v>
      </c>
      <c r="E8" s="15"/>
      <c r="F8" s="15"/>
      <c r="G8" s="6" t="str">
        <f>"active"</f>
        <v>active</v>
      </c>
      <c r="H8" s="8" t="str" cm="1">
        <f t="array" ref="H8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8" s="8" t="str" cm="1">
        <f t="array" ref="I8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8" s="8" t="str" cm="1">
        <f t="array" ref="J8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8" s="7" t="str">
        <f>tbl_interfaces[[#This Row],[derived_state]]</f>
        <v>ok</v>
      </c>
      <c r="L8" s="2" t="s">
        <v>17</v>
      </c>
      <c r="M8" s="17" t="s">
        <v>64</v>
      </c>
      <c r="N8" s="7" t="str">
        <f>_xlfn.LET(_xlpm.raw,               tbl_interfaces[[#This Row],[device_handle_raw]],
     _xlpm.cleaned,           LOWER(SUBSTITUTE(CLEAN(TRIM(_xlpm.raw)), " ", "")),
     _xlpm.return,            _xlpm.cleaned,
     _xlpm.return)</f>
        <v>srv01</v>
      </c>
      <c r="O8" s="7" t="str">
        <f>_xlfn.LET(_xlpm.raw,               tbl_interfaces[[#This Row],[if_name_raw]],
     _xlpm.cleaned,           LOWER(SUBSTITUTE(CLEAN(TRIM(_xlpm.raw)), " ", "")),
     _xlpm.return,            _xlpm.cleaned,
     _xlpm.return)</f>
        <v>pcie_1/2</v>
      </c>
      <c r="P8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srv01;pcie_1/2</v>
      </c>
      <c r="Q8" s="16" t="str">
        <f>"|"</f>
        <v>|</v>
      </c>
      <c r="R8" s="7">
        <f>COUNTIFS(tbl_interfaces[manual_state], "active",
          tbl_interfaces[if_id], tbl_interfaces[[#This Row],[if_id]])</f>
        <v>1</v>
      </c>
      <c r="S8" s="7">
        <f>COUNTIF(tbl_interfaces[if_id], tbl_interfaces[[#This Row],[if_id]])</f>
        <v>1</v>
      </c>
    </row>
    <row r="9" spans="3:19" x14ac:dyDescent="0.25">
      <c r="C9" s="6">
        <v>6</v>
      </c>
      <c r="D9" s="7" cm="1">
        <f t="array" ref="D9">ROW() - ROW(tbl_interfaces[#Headers])</f>
        <v>6</v>
      </c>
      <c r="E9" s="15"/>
      <c r="F9" s="15"/>
      <c r="G9" s="6" t="str">
        <f t="shared" ref="G9:G13" si="1">"active"</f>
        <v>active</v>
      </c>
      <c r="H9" s="8" t="str" cm="1">
        <f t="array" ref="H9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9" s="8" t="str" cm="1">
        <f t="array" ref="I9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9" s="8" t="str" cm="1">
        <f t="array" ref="J9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9" s="7" t="str">
        <f>tbl_interfaces[[#This Row],[derived_state]]</f>
        <v>ok</v>
      </c>
      <c r="L9" s="2" t="s">
        <v>18</v>
      </c>
      <c r="M9" s="6" t="s">
        <v>60</v>
      </c>
      <c r="N9" s="7" t="str">
        <f>_xlfn.LET(_xlpm.raw,               tbl_interfaces[[#This Row],[device_handle_raw]],
     _xlpm.cleaned,           LOWER(SUBSTITUTE(CLEAN(TRIM(_xlpm.raw)), " ", "")),
     _xlpm.return,            _xlpm.cleaned,
     _xlpm.return)</f>
        <v>srv02</v>
      </c>
      <c r="O9" s="7" t="str">
        <f>_xlfn.LET(_xlpm.raw,               tbl_interfaces[[#This Row],[if_name_raw]],
     _xlpm.cleaned,           LOWER(SUBSTITUTE(CLEAN(TRIM(_xlpm.raw)), " ", "")),
     _xlpm.return,            _xlpm.cleaned,
     _xlpm.return)</f>
        <v>idrac</v>
      </c>
      <c r="P9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srv02;idrac</v>
      </c>
      <c r="Q9" s="16" t="str">
        <f t="shared" ref="Q9:Q13" si="2">"|"</f>
        <v>|</v>
      </c>
      <c r="R9" s="7">
        <f>COUNTIFS(tbl_interfaces[manual_state], "active",
          tbl_interfaces[if_id], tbl_interfaces[[#This Row],[if_id]])</f>
        <v>1</v>
      </c>
      <c r="S9" s="7">
        <f>COUNTIF(tbl_interfaces[if_id], tbl_interfaces[[#This Row],[if_id]])</f>
        <v>1</v>
      </c>
    </row>
    <row r="10" spans="3:19" x14ac:dyDescent="0.25">
      <c r="C10" s="6">
        <v>7</v>
      </c>
      <c r="D10" s="7" cm="1">
        <f t="array" ref="D10">ROW() - ROW(tbl_interfaces[#Headers])</f>
        <v>7</v>
      </c>
      <c r="E10" s="15"/>
      <c r="F10" s="3"/>
      <c r="G10" s="6" t="str">
        <f t="shared" si="1"/>
        <v>active</v>
      </c>
      <c r="H10" s="18" t="str" cm="1">
        <f t="array" ref="H10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10" s="18" t="str" cm="1">
        <f t="array" ref="I10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10" s="18" t="str" cm="1">
        <f t="array" ref="J10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10" s="4" t="str">
        <f>tbl_interfaces[[#This Row],[derived_state]]</f>
        <v>ok</v>
      </c>
      <c r="L10" s="2" t="s">
        <v>18</v>
      </c>
      <c r="M10" s="6" t="s">
        <v>62</v>
      </c>
      <c r="N10" s="4" t="str">
        <f>_xlfn.LET(_xlpm.raw,               tbl_interfaces[[#This Row],[device_handle_raw]],
     _xlpm.cleaned,           LOWER(SUBSTITUTE(CLEAN(TRIM(_xlpm.raw)), " ", "")),
     _xlpm.return,            _xlpm.cleaned,
     _xlpm.return)</f>
        <v>srv02</v>
      </c>
      <c r="O10" s="4" t="str">
        <f>_xlfn.LET(_xlpm.raw,               tbl_interfaces[[#This Row],[if_name_raw]],
     _xlpm.cleaned,           LOWER(SUBSTITUTE(CLEAN(TRIM(_xlpm.raw)), " ", "")),
     _xlpm.return,            _xlpm.cleaned,
     _xlpm.return)</f>
        <v>ob/1</v>
      </c>
      <c r="P10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srv02;ob/1</v>
      </c>
      <c r="Q10" s="9" t="str">
        <f t="shared" si="2"/>
        <v>|</v>
      </c>
      <c r="R10" s="4">
        <f>COUNTIFS(tbl_interfaces[manual_state], "active",
          tbl_interfaces[if_id], tbl_interfaces[[#This Row],[if_id]])</f>
        <v>1</v>
      </c>
      <c r="S10" s="4">
        <f>COUNTIF(tbl_interfaces[if_id], tbl_interfaces[[#This Row],[if_id]])</f>
        <v>1</v>
      </c>
    </row>
    <row r="11" spans="3:19" x14ac:dyDescent="0.25">
      <c r="C11" s="6">
        <v>8</v>
      </c>
      <c r="D11" s="7" cm="1">
        <f t="array" ref="D11">ROW() - ROW(tbl_interfaces[#Headers])</f>
        <v>8</v>
      </c>
      <c r="E11" s="15"/>
      <c r="F11" s="3"/>
      <c r="G11" s="6" t="str">
        <f t="shared" si="1"/>
        <v>active</v>
      </c>
      <c r="H11" s="18" t="str" cm="1">
        <f t="array" ref="H11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11" s="18" t="str" cm="1">
        <f t="array" ref="I1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11" s="18" t="str" cm="1">
        <f t="array" ref="J1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11" s="4" t="str">
        <f>tbl_interfaces[[#This Row],[derived_state]]</f>
        <v>ok</v>
      </c>
      <c r="L11" s="2" t="s">
        <v>18</v>
      </c>
      <c r="M11" s="6" t="s">
        <v>63</v>
      </c>
      <c r="N11" s="4" t="str">
        <f>_xlfn.LET(_xlpm.raw,               tbl_interfaces[[#This Row],[device_handle_raw]],
     _xlpm.cleaned,           LOWER(SUBSTITUTE(CLEAN(TRIM(_xlpm.raw)), " ", "")),
     _xlpm.return,            _xlpm.cleaned,
     _xlpm.return)</f>
        <v>srv02</v>
      </c>
      <c r="O11" s="4" t="str">
        <f>_xlfn.LET(_xlpm.raw,               tbl_interfaces[[#This Row],[if_name_raw]],
     _xlpm.cleaned,           LOWER(SUBSTITUTE(CLEAN(TRIM(_xlpm.raw)), " ", "")),
     _xlpm.return,            _xlpm.cleaned,
     _xlpm.return)</f>
        <v>ob/2</v>
      </c>
      <c r="P11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srv02;ob/2</v>
      </c>
      <c r="Q11" s="9" t="str">
        <f t="shared" si="2"/>
        <v>|</v>
      </c>
      <c r="R11" s="4">
        <f>COUNTIFS(tbl_interfaces[manual_state], "active",
          tbl_interfaces[if_id], tbl_interfaces[[#This Row],[if_id]])</f>
        <v>1</v>
      </c>
      <c r="S11" s="4">
        <f>COUNTIF(tbl_interfaces[if_id], tbl_interfaces[[#This Row],[if_id]])</f>
        <v>1</v>
      </c>
    </row>
    <row r="12" spans="3:19" x14ac:dyDescent="0.25">
      <c r="C12" s="6">
        <v>9</v>
      </c>
      <c r="D12" s="7" cm="1">
        <f t="array" ref="D12">ROW() - ROW(tbl_interfaces[#Headers])</f>
        <v>9</v>
      </c>
      <c r="E12" s="15"/>
      <c r="F12" s="3"/>
      <c r="G12" s="6" t="str">
        <f t="shared" si="1"/>
        <v>active</v>
      </c>
      <c r="H12" s="18" t="str" cm="1">
        <f t="array" ref="H12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12" s="18" t="str" cm="1">
        <f t="array" ref="I12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12" s="18" t="str" cm="1">
        <f t="array" ref="J12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12" s="4" t="str">
        <f>tbl_interfaces[[#This Row],[derived_state]]</f>
        <v>ok</v>
      </c>
      <c r="L12" s="2" t="s">
        <v>18</v>
      </c>
      <c r="M12" s="6" t="s">
        <v>65</v>
      </c>
      <c r="N12" s="4" t="str">
        <f>_xlfn.LET(_xlpm.raw,               tbl_interfaces[[#This Row],[device_handle_raw]],
     _xlpm.cleaned,           LOWER(SUBSTITUTE(CLEAN(TRIM(_xlpm.raw)), " ", "")),
     _xlpm.return,            _xlpm.cleaned,
     _xlpm.return)</f>
        <v>srv02</v>
      </c>
      <c r="O12" s="4" t="str">
        <f>_xlfn.LET(_xlpm.raw,               tbl_interfaces[[#This Row],[if_name_raw]],
     _xlpm.cleaned,           LOWER(SUBSTITUTE(CLEAN(TRIM(_xlpm.raw)), " ", "")),
     _xlpm.return,            _xlpm.cleaned,
     _xlpm.return)</f>
        <v>pcie_1/1</v>
      </c>
      <c r="P12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srv02;pcie_1/1</v>
      </c>
      <c r="Q12" s="9" t="str">
        <f t="shared" si="2"/>
        <v>|</v>
      </c>
      <c r="R12" s="4">
        <f>COUNTIFS(tbl_interfaces[manual_state], "active",
          tbl_interfaces[if_id], tbl_interfaces[[#This Row],[if_id]])</f>
        <v>1</v>
      </c>
      <c r="S12" s="4">
        <f>COUNTIF(tbl_interfaces[if_id], tbl_interfaces[[#This Row],[if_id]])</f>
        <v>1</v>
      </c>
    </row>
    <row r="13" spans="3:19" x14ac:dyDescent="0.25">
      <c r="C13" s="6">
        <v>10</v>
      </c>
      <c r="D13" s="7" cm="1">
        <f t="array" ref="D13">ROW() - ROW(tbl_interfaces[#Headers])</f>
        <v>10</v>
      </c>
      <c r="E13" s="15"/>
      <c r="F13" s="3"/>
      <c r="G13" s="6" t="str">
        <f t="shared" si="1"/>
        <v>active</v>
      </c>
      <c r="H13" s="18" t="str" cm="1">
        <f t="array" ref="H13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13" s="18" t="str" cm="1">
        <f t="array" ref="I13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13" s="18" t="str" cm="1">
        <f t="array" ref="J13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13" s="4" t="str">
        <f>tbl_interfaces[[#This Row],[derived_state]]</f>
        <v>ok</v>
      </c>
      <c r="L13" s="2" t="s">
        <v>18</v>
      </c>
      <c r="M13" s="17" t="s">
        <v>64</v>
      </c>
      <c r="N13" s="4" t="str">
        <f>_xlfn.LET(_xlpm.raw,               tbl_interfaces[[#This Row],[device_handle_raw]],
     _xlpm.cleaned,           LOWER(SUBSTITUTE(CLEAN(TRIM(_xlpm.raw)), " ", "")),
     _xlpm.return,            _xlpm.cleaned,
     _xlpm.return)</f>
        <v>srv02</v>
      </c>
      <c r="O13" s="4" t="str">
        <f>_xlfn.LET(_xlpm.raw,               tbl_interfaces[[#This Row],[if_name_raw]],
     _xlpm.cleaned,           LOWER(SUBSTITUTE(CLEAN(TRIM(_xlpm.raw)), " ", "")),
     _xlpm.return,            _xlpm.cleaned,
     _xlpm.return)</f>
        <v>pcie_1/2</v>
      </c>
      <c r="P13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srv02;pcie_1/2</v>
      </c>
      <c r="Q13" s="9" t="str">
        <f t="shared" si="2"/>
        <v>|</v>
      </c>
      <c r="R13" s="4">
        <f>COUNTIFS(tbl_interfaces[manual_state], "active",
          tbl_interfaces[if_id], tbl_interfaces[[#This Row],[if_id]])</f>
        <v>1</v>
      </c>
      <c r="S13" s="4">
        <f>COUNTIF(tbl_interfaces[if_id], tbl_interfaces[[#This Row],[if_id]])</f>
        <v>1</v>
      </c>
    </row>
    <row r="14" spans="3:19" x14ac:dyDescent="0.25">
      <c r="C14" s="6">
        <v>11</v>
      </c>
      <c r="D14" s="7" cm="1">
        <f t="array" ref="D14">ROW() - ROW(tbl_interfaces[#Headers])</f>
        <v>11</v>
      </c>
      <c r="E14" s="15"/>
      <c r="F14" s="15"/>
      <c r="G14" s="6" t="str">
        <f>"active"</f>
        <v>active</v>
      </c>
      <c r="H14" s="8" t="str" cm="1">
        <f t="array" ref="H1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14" s="8" t="str" cm="1">
        <f t="array" ref="I1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14" s="8" t="str" cm="1">
        <f t="array" ref="J1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14" s="7" t="str">
        <f>tbl_interfaces[[#This Row],[derived_state]]</f>
        <v>ok</v>
      </c>
      <c r="L14" s="2" t="s">
        <v>79</v>
      </c>
      <c r="M14" s="6" t="s">
        <v>37</v>
      </c>
      <c r="N14" s="7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O14" s="7" t="str">
        <f>_xlfn.LET(_xlpm.raw,               tbl_interfaces[[#This Row],[if_name_raw]],
     _xlpm.cleaned,           LOWER(SUBSTITUTE(CLEAN(TRIM(_xlpm.raw)), " ", "")),
     _xlpm.return,            _xlpm.cleaned,
     _xlpm.return)</f>
        <v>console</v>
      </c>
      <c r="P14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leaf01;console</v>
      </c>
      <c r="Q14" s="16" t="str">
        <f>"|"</f>
        <v>|</v>
      </c>
      <c r="R14" s="7">
        <f>COUNTIFS(tbl_interfaces[manual_state], "active",
          tbl_interfaces[if_id], tbl_interfaces[[#This Row],[if_id]])</f>
        <v>1</v>
      </c>
      <c r="S14" s="7">
        <f>COUNTIF(tbl_interfaces[if_id], tbl_interfaces[[#This Row],[if_id]])</f>
        <v>1</v>
      </c>
    </row>
    <row r="15" spans="3:19" x14ac:dyDescent="0.25">
      <c r="C15" s="6">
        <v>12</v>
      </c>
      <c r="D15" s="7" cm="1">
        <f t="array" ref="D15">ROW() - ROW(tbl_interfaces[#Headers])</f>
        <v>12</v>
      </c>
      <c r="E15" s="15"/>
      <c r="F15" s="15"/>
      <c r="G15" s="6" t="str">
        <f>"active"</f>
        <v>active</v>
      </c>
      <c r="H15" s="8" t="str" cm="1">
        <f t="array" ref="H1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15" s="8" t="str" cm="1">
        <f t="array" ref="I1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15" s="8" t="str" cm="1">
        <f t="array" ref="J1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15" s="7" t="str">
        <f>tbl_interfaces[[#This Row],[derived_state]]</f>
        <v>ok</v>
      </c>
      <c r="L15" s="2" t="s">
        <v>79</v>
      </c>
      <c r="M15" s="6" t="s">
        <v>66</v>
      </c>
      <c r="N15" s="7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O15" s="7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P1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leaf01;mgmt</v>
      </c>
      <c r="Q15" s="16" t="str">
        <f>"|"</f>
        <v>|</v>
      </c>
      <c r="R15" s="7">
        <f>COUNTIFS(tbl_interfaces[manual_state], "active",
          tbl_interfaces[if_id], tbl_interfaces[[#This Row],[if_id]])</f>
        <v>1</v>
      </c>
      <c r="S15" s="7">
        <f>COUNTIF(tbl_interfaces[if_id], tbl_interfaces[[#This Row],[if_id]])</f>
        <v>1</v>
      </c>
    </row>
    <row r="16" spans="3:19" x14ac:dyDescent="0.25">
      <c r="C16" s="6">
        <v>13</v>
      </c>
      <c r="D16" s="7" cm="1">
        <f t="array" ref="D16">ROW() - ROW(tbl_interfaces[#Headers])</f>
        <v>13</v>
      </c>
      <c r="E16" s="15"/>
      <c r="F16" s="15"/>
      <c r="G16" s="6" t="str">
        <f>"active"</f>
        <v>active</v>
      </c>
      <c r="H16" s="8" t="str" cm="1">
        <f t="array" ref="H1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16" s="8" t="str" cm="1">
        <f t="array" ref="I1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16" s="8" t="str" cm="1">
        <f t="array" ref="J1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16" s="7" t="str">
        <f>tbl_interfaces[[#This Row],[derived_state]]</f>
        <v>ok</v>
      </c>
      <c r="L16" s="2" t="s">
        <v>79</v>
      </c>
      <c r="M16" s="17" t="s">
        <v>61</v>
      </c>
      <c r="N16" s="7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O16" s="7" t="str">
        <f>_xlfn.LET(_xlpm.raw,               tbl_interfaces[[#This Row],[if_name_raw]],
     _xlpm.cleaned,           LOWER(SUBSTITUTE(CLEAN(TRIM(_xlpm.raw)), " ", "")),
     _xlpm.return,            _xlpm.cleaned,
     _xlpm.return)</f>
        <v>01</v>
      </c>
      <c r="P1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leaf01;01</v>
      </c>
      <c r="Q16" s="16" t="str">
        <f>"|"</f>
        <v>|</v>
      </c>
      <c r="R16" s="7">
        <f>COUNTIFS(tbl_interfaces[manual_state], "active",
          tbl_interfaces[if_id], tbl_interfaces[[#This Row],[if_id]])</f>
        <v>1</v>
      </c>
      <c r="S16" s="7">
        <f>COUNTIF(tbl_interfaces[if_id], tbl_interfaces[[#This Row],[if_id]])</f>
        <v>1</v>
      </c>
    </row>
    <row r="17" spans="3:19" x14ac:dyDescent="0.25">
      <c r="C17" s="6">
        <v>14</v>
      </c>
      <c r="D17" s="7" cm="1">
        <f t="array" ref="D17">ROW() - ROW(tbl_interfaces[#Headers])</f>
        <v>14</v>
      </c>
      <c r="E17" s="15"/>
      <c r="F17" s="15"/>
      <c r="G17" s="6" t="str">
        <f>"active"</f>
        <v>active</v>
      </c>
      <c r="H17" s="8" t="str" cm="1">
        <f t="array" ref="H17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17" s="8" t="str" cm="1">
        <f t="array" ref="I17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17" s="8" t="str" cm="1">
        <f t="array" ref="J17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17" s="7" t="str">
        <f>tbl_interfaces[[#This Row],[derived_state]]</f>
        <v>ok</v>
      </c>
      <c r="L17" s="2" t="s">
        <v>79</v>
      </c>
      <c r="M17" s="17" t="s">
        <v>67</v>
      </c>
      <c r="N17" s="7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O17" s="7" t="str">
        <f>_xlfn.LET(_xlpm.raw,               tbl_interfaces[[#This Row],[if_name_raw]],
     _xlpm.cleaned,           LOWER(SUBSTITUTE(CLEAN(TRIM(_xlpm.raw)), " ", "")),
     _xlpm.return,            _xlpm.cleaned,
     _xlpm.return)</f>
        <v>02</v>
      </c>
      <c r="P17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leaf01;02</v>
      </c>
      <c r="Q17" s="16" t="str">
        <f>"|"</f>
        <v>|</v>
      </c>
      <c r="R17" s="7">
        <f>COUNTIFS(tbl_interfaces[manual_state], "active",
          tbl_interfaces[if_id], tbl_interfaces[[#This Row],[if_id]])</f>
        <v>1</v>
      </c>
      <c r="S17" s="7">
        <f>COUNTIF(tbl_interfaces[if_id], tbl_interfaces[[#This Row],[if_id]])</f>
        <v>1</v>
      </c>
    </row>
    <row r="18" spans="3:19" x14ac:dyDescent="0.25">
      <c r="C18" s="6">
        <v>15</v>
      </c>
      <c r="D18" s="7" cm="1">
        <f t="array" ref="D18">ROW() - ROW(tbl_interfaces[#Headers])</f>
        <v>15</v>
      </c>
      <c r="E18" s="15"/>
      <c r="F18" s="15"/>
      <c r="G18" s="6" t="str">
        <f t="shared" ref="G18:G23" si="3">"active"</f>
        <v>active</v>
      </c>
      <c r="H18" s="8" t="str" cm="1">
        <f t="array" ref="H18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18" s="8" t="str" cm="1">
        <f t="array" ref="I18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18" s="8" t="str" cm="1">
        <f t="array" ref="J18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18" s="7" t="str">
        <f>tbl_interfaces[[#This Row],[derived_state]]</f>
        <v>ok</v>
      </c>
      <c r="L18" s="2" t="s">
        <v>79</v>
      </c>
      <c r="M18" s="17" t="s">
        <v>68</v>
      </c>
      <c r="N18" s="7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O18" s="7" t="str">
        <f>_xlfn.LET(_xlpm.raw,               tbl_interfaces[[#This Row],[if_name_raw]],
     _xlpm.cleaned,           LOWER(SUBSTITUTE(CLEAN(TRIM(_xlpm.raw)), " ", "")),
     _xlpm.return,            _xlpm.cleaned,
     _xlpm.return)</f>
        <v>03</v>
      </c>
      <c r="P18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leaf01;03</v>
      </c>
      <c r="Q18" s="16" t="str">
        <f t="shared" ref="Q18:Q23" si="4">"|"</f>
        <v>|</v>
      </c>
      <c r="R18" s="7">
        <f>COUNTIFS(tbl_interfaces[manual_state], "active",
          tbl_interfaces[if_id], tbl_interfaces[[#This Row],[if_id]])</f>
        <v>1</v>
      </c>
      <c r="S18" s="7">
        <f>COUNTIF(tbl_interfaces[if_id], tbl_interfaces[[#This Row],[if_id]])</f>
        <v>1</v>
      </c>
    </row>
    <row r="19" spans="3:19" x14ac:dyDescent="0.25">
      <c r="C19" s="6">
        <v>16</v>
      </c>
      <c r="D19" s="7" cm="1">
        <f t="array" ref="D19">ROW() - ROW(tbl_interfaces[#Headers])</f>
        <v>16</v>
      </c>
      <c r="E19" s="15"/>
      <c r="F19" s="3"/>
      <c r="G19" s="6" t="str">
        <f t="shared" si="3"/>
        <v>active</v>
      </c>
      <c r="H19" s="18" t="str" cm="1">
        <f t="array" ref="H19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19" s="18" t="str" cm="1">
        <f t="array" ref="I19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19" s="18" t="str" cm="1">
        <f t="array" ref="J19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19" s="4" t="str">
        <f>tbl_interfaces[[#This Row],[derived_state]]</f>
        <v>ok</v>
      </c>
      <c r="L19" s="2" t="s">
        <v>79</v>
      </c>
      <c r="M19" s="17" t="s">
        <v>69</v>
      </c>
      <c r="N19" s="4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O19" s="4" t="str">
        <f>_xlfn.LET(_xlpm.raw,               tbl_interfaces[[#This Row],[if_name_raw]],
     _xlpm.cleaned,           LOWER(SUBSTITUTE(CLEAN(TRIM(_xlpm.raw)), " ", "")),
     _xlpm.return,            _xlpm.cleaned,
     _xlpm.return)</f>
        <v>04</v>
      </c>
      <c r="P19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leaf01;04</v>
      </c>
      <c r="Q19" s="9" t="str">
        <f t="shared" si="4"/>
        <v>|</v>
      </c>
      <c r="R19" s="4">
        <f>COUNTIFS(tbl_interfaces[manual_state], "active",
          tbl_interfaces[if_id], tbl_interfaces[[#This Row],[if_id]])</f>
        <v>1</v>
      </c>
      <c r="S19" s="4">
        <f>COUNTIF(tbl_interfaces[if_id], tbl_interfaces[[#This Row],[if_id]])</f>
        <v>1</v>
      </c>
    </row>
    <row r="20" spans="3:19" x14ac:dyDescent="0.25">
      <c r="C20" s="6">
        <v>17</v>
      </c>
      <c r="D20" s="7" cm="1">
        <f t="array" ref="D20">ROW() - ROW(tbl_interfaces[#Headers])</f>
        <v>17</v>
      </c>
      <c r="E20" s="15"/>
      <c r="F20" s="3"/>
      <c r="G20" s="6" t="str">
        <f t="shared" si="3"/>
        <v>active</v>
      </c>
      <c r="H20" s="18" t="str" cm="1">
        <f t="array" ref="H20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20" s="18" t="str" cm="1">
        <f t="array" ref="I20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20" s="18" t="str" cm="1">
        <f t="array" ref="J20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20" s="4" t="str">
        <f>tbl_interfaces[[#This Row],[derived_state]]</f>
        <v>ok</v>
      </c>
      <c r="L20" s="2" t="s">
        <v>79</v>
      </c>
      <c r="M20" s="17" t="s">
        <v>70</v>
      </c>
      <c r="N20" s="4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O20" s="4" t="str">
        <f>_xlfn.LET(_xlpm.raw,               tbl_interfaces[[#This Row],[if_name_raw]],
     _xlpm.cleaned,           LOWER(SUBSTITUTE(CLEAN(TRIM(_xlpm.raw)), " ", "")),
     _xlpm.return,            _xlpm.cleaned,
     _xlpm.return)</f>
        <v>05</v>
      </c>
      <c r="P20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leaf01;05</v>
      </c>
      <c r="Q20" s="9" t="str">
        <f t="shared" si="4"/>
        <v>|</v>
      </c>
      <c r="R20" s="4">
        <f>COUNTIFS(tbl_interfaces[manual_state], "active",
          tbl_interfaces[if_id], tbl_interfaces[[#This Row],[if_id]])</f>
        <v>1</v>
      </c>
      <c r="S20" s="4">
        <f>COUNTIF(tbl_interfaces[if_id], tbl_interfaces[[#This Row],[if_id]])</f>
        <v>1</v>
      </c>
    </row>
    <row r="21" spans="3:19" x14ac:dyDescent="0.25">
      <c r="C21" s="6">
        <v>18</v>
      </c>
      <c r="D21" s="7" cm="1">
        <f t="array" ref="D21">ROW() - ROW(tbl_interfaces[#Headers])</f>
        <v>18</v>
      </c>
      <c r="E21" s="15"/>
      <c r="F21" s="3"/>
      <c r="G21" s="6" t="str">
        <f t="shared" si="3"/>
        <v>active</v>
      </c>
      <c r="H21" s="18" t="str" cm="1">
        <f t="array" ref="H21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21" s="18" t="str" cm="1">
        <f t="array" ref="I2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21" s="18" t="str" cm="1">
        <f t="array" ref="J2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21" s="4" t="str">
        <f>tbl_interfaces[[#This Row],[derived_state]]</f>
        <v>ok</v>
      </c>
      <c r="L21" s="2" t="s">
        <v>79</v>
      </c>
      <c r="M21" s="17" t="s">
        <v>71</v>
      </c>
      <c r="N21" s="4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O21" s="4" t="str">
        <f>_xlfn.LET(_xlpm.raw,               tbl_interfaces[[#This Row],[if_name_raw]],
     _xlpm.cleaned,           LOWER(SUBSTITUTE(CLEAN(TRIM(_xlpm.raw)), " ", "")),
     _xlpm.return,            _xlpm.cleaned,
     _xlpm.return)</f>
        <v>06</v>
      </c>
      <c r="P21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leaf01;06</v>
      </c>
      <c r="Q21" s="9" t="str">
        <f t="shared" si="4"/>
        <v>|</v>
      </c>
      <c r="R21" s="4">
        <f>COUNTIFS(tbl_interfaces[manual_state], "active",
          tbl_interfaces[if_id], tbl_interfaces[[#This Row],[if_id]])</f>
        <v>1</v>
      </c>
      <c r="S21" s="4">
        <f>COUNTIF(tbl_interfaces[if_id], tbl_interfaces[[#This Row],[if_id]])</f>
        <v>1</v>
      </c>
    </row>
    <row r="22" spans="3:19" x14ac:dyDescent="0.25">
      <c r="C22" s="6">
        <v>19</v>
      </c>
      <c r="D22" s="7" cm="1">
        <f t="array" ref="D22">ROW() - ROW(tbl_interfaces[#Headers])</f>
        <v>19</v>
      </c>
      <c r="E22" s="15"/>
      <c r="F22" s="3"/>
      <c r="G22" s="6" t="str">
        <f t="shared" si="3"/>
        <v>active</v>
      </c>
      <c r="H22" s="18" t="str" cm="1">
        <f t="array" ref="H22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22" s="18" t="str" cm="1">
        <f t="array" ref="I22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22" s="18" t="str" cm="1">
        <f t="array" ref="J22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22" s="4" t="str">
        <f>tbl_interfaces[[#This Row],[derived_state]]</f>
        <v>ok</v>
      </c>
      <c r="L22" s="2" t="s">
        <v>79</v>
      </c>
      <c r="M22" s="17" t="s">
        <v>72</v>
      </c>
      <c r="N22" s="4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O22" s="4" t="str">
        <f>_xlfn.LET(_xlpm.raw,               tbl_interfaces[[#This Row],[if_name_raw]],
     _xlpm.cleaned,           LOWER(SUBSTITUTE(CLEAN(TRIM(_xlpm.raw)), " ", "")),
     _xlpm.return,            _xlpm.cleaned,
     _xlpm.return)</f>
        <v>07</v>
      </c>
      <c r="P22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leaf01;07</v>
      </c>
      <c r="Q22" s="9" t="str">
        <f t="shared" si="4"/>
        <v>|</v>
      </c>
      <c r="R22" s="4">
        <f>COUNTIFS(tbl_interfaces[manual_state], "active",
          tbl_interfaces[if_id], tbl_interfaces[[#This Row],[if_id]])</f>
        <v>1</v>
      </c>
      <c r="S22" s="4">
        <f>COUNTIF(tbl_interfaces[if_id], tbl_interfaces[[#This Row],[if_id]])</f>
        <v>1</v>
      </c>
    </row>
    <row r="23" spans="3:19" x14ac:dyDescent="0.25">
      <c r="C23" s="6">
        <v>20</v>
      </c>
      <c r="D23" s="7" cm="1">
        <f t="array" ref="D23">ROW() - ROW(tbl_interfaces[#Headers])</f>
        <v>20</v>
      </c>
      <c r="E23" s="15"/>
      <c r="F23" s="3"/>
      <c r="G23" s="6" t="str">
        <f t="shared" si="3"/>
        <v>active</v>
      </c>
      <c r="H23" s="18" t="str" cm="1">
        <f t="array" ref="H23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23" s="18" t="str" cm="1">
        <f t="array" ref="I23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23" s="18" t="str" cm="1">
        <f t="array" ref="J23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23" s="4" t="str">
        <f>tbl_interfaces[[#This Row],[derived_state]]</f>
        <v>ok</v>
      </c>
      <c r="L23" s="2" t="s">
        <v>79</v>
      </c>
      <c r="M23" s="17" t="s">
        <v>73</v>
      </c>
      <c r="N23" s="4" t="str">
        <f>_xlfn.LET(_xlpm.raw,               tbl_interfaces[[#This Row],[device_handle_raw]],
     _xlpm.cleaned,           LOWER(SUBSTITUTE(CLEAN(TRIM(_xlpm.raw)), " ", "")),
     _xlpm.return,            _xlpm.cleaned,
     _xlpm.return)</f>
        <v>leaf01</v>
      </c>
      <c r="O23" s="4" t="str">
        <f>_xlfn.LET(_xlpm.raw,               tbl_interfaces[[#This Row],[if_name_raw]],
     _xlpm.cleaned,           LOWER(SUBSTITUTE(CLEAN(TRIM(_xlpm.raw)), " ", "")),
     _xlpm.return,            _xlpm.cleaned,
     _xlpm.return)</f>
        <v>08</v>
      </c>
      <c r="P23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leaf01;08</v>
      </c>
      <c r="Q23" s="9" t="str">
        <f t="shared" si="4"/>
        <v>|</v>
      </c>
      <c r="R23" s="4">
        <f>COUNTIFS(tbl_interfaces[manual_state], "active",
          tbl_interfaces[if_id], tbl_interfaces[[#This Row],[if_id]])</f>
        <v>1</v>
      </c>
      <c r="S23" s="4">
        <f>COUNTIF(tbl_interfaces[if_id], tbl_interfaces[[#This Row],[if_id]])</f>
        <v>1</v>
      </c>
    </row>
    <row r="24" spans="3:19" x14ac:dyDescent="0.25">
      <c r="C24" s="6">
        <v>21</v>
      </c>
      <c r="D24" s="7" cm="1">
        <f t="array" ref="D24">ROW() - ROW(tbl_interfaces[#Headers])</f>
        <v>21</v>
      </c>
      <c r="E24" s="15"/>
      <c r="F24" s="15"/>
      <c r="G24" s="6" t="str">
        <f t="shared" ref="G24:G33" si="5">"active"</f>
        <v>active</v>
      </c>
      <c r="H24" s="8" t="str" cm="1">
        <f t="array" ref="H2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24" s="8" t="str" cm="1">
        <f t="array" ref="I2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24" s="8" t="str" cm="1">
        <f t="array" ref="J2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24" s="7" t="str">
        <f>tbl_interfaces[[#This Row],[derived_state]]</f>
        <v>ok</v>
      </c>
      <c r="L24" s="2" t="s">
        <v>78</v>
      </c>
      <c r="M24" s="6" t="s">
        <v>37</v>
      </c>
      <c r="N24" s="7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O24" s="7" t="str">
        <f>_xlfn.LET(_xlpm.raw,               tbl_interfaces[[#This Row],[if_name_raw]],
     _xlpm.cleaned,           LOWER(SUBSTITUTE(CLEAN(TRIM(_xlpm.raw)), " ", "")),
     _xlpm.return,            _xlpm.cleaned,
     _xlpm.return)</f>
        <v>console</v>
      </c>
      <c r="P24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leaf02;console</v>
      </c>
      <c r="Q24" s="16" t="str">
        <f t="shared" ref="Q24:Q33" si="6">"|"</f>
        <v>|</v>
      </c>
      <c r="R24" s="7">
        <f>COUNTIFS(tbl_interfaces[manual_state], "active",
          tbl_interfaces[if_id], tbl_interfaces[[#This Row],[if_id]])</f>
        <v>1</v>
      </c>
      <c r="S24" s="7">
        <f>COUNTIF(tbl_interfaces[if_id], tbl_interfaces[[#This Row],[if_id]])</f>
        <v>1</v>
      </c>
    </row>
    <row r="25" spans="3:19" x14ac:dyDescent="0.25">
      <c r="C25" s="6">
        <v>22</v>
      </c>
      <c r="D25" s="7" cm="1">
        <f t="array" ref="D25">ROW() - ROW(tbl_interfaces[#Headers])</f>
        <v>22</v>
      </c>
      <c r="E25" s="15"/>
      <c r="F25" s="3"/>
      <c r="G25" s="6" t="str">
        <f t="shared" si="5"/>
        <v>active</v>
      </c>
      <c r="H25" s="18" t="str" cm="1">
        <f t="array" ref="H2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25" s="18" t="str" cm="1">
        <f t="array" ref="I2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25" s="18" t="str" cm="1">
        <f t="array" ref="J2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25" s="4" t="str">
        <f>tbl_interfaces[[#This Row],[derived_state]]</f>
        <v>ok</v>
      </c>
      <c r="L25" s="2" t="s">
        <v>78</v>
      </c>
      <c r="M25" s="6" t="s">
        <v>66</v>
      </c>
      <c r="N25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O25" s="4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P2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leaf02;mgmt</v>
      </c>
      <c r="Q25" s="9" t="str">
        <f t="shared" si="6"/>
        <v>|</v>
      </c>
      <c r="R25" s="4">
        <f>COUNTIFS(tbl_interfaces[manual_state], "active",
          tbl_interfaces[if_id], tbl_interfaces[[#This Row],[if_id]])</f>
        <v>1</v>
      </c>
      <c r="S25" s="4">
        <f>COUNTIF(tbl_interfaces[if_id], tbl_interfaces[[#This Row],[if_id]])</f>
        <v>1</v>
      </c>
    </row>
    <row r="26" spans="3:19" x14ac:dyDescent="0.25">
      <c r="C26" s="6">
        <v>23</v>
      </c>
      <c r="D26" s="7" cm="1">
        <f t="array" ref="D26">ROW() - ROW(tbl_interfaces[#Headers])</f>
        <v>23</v>
      </c>
      <c r="E26" s="15"/>
      <c r="F26" s="3"/>
      <c r="G26" s="6" t="str">
        <f t="shared" si="5"/>
        <v>active</v>
      </c>
      <c r="H26" s="18" t="str" cm="1">
        <f t="array" ref="H2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26" s="18" t="str" cm="1">
        <f t="array" ref="I2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26" s="18" t="str" cm="1">
        <f t="array" ref="J2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26" s="4" t="str">
        <f>tbl_interfaces[[#This Row],[derived_state]]</f>
        <v>ok</v>
      </c>
      <c r="L26" s="2" t="s">
        <v>78</v>
      </c>
      <c r="M26" s="17" t="s">
        <v>61</v>
      </c>
      <c r="N26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O26" s="4" t="str">
        <f>_xlfn.LET(_xlpm.raw,               tbl_interfaces[[#This Row],[if_name_raw]],
     _xlpm.cleaned,           LOWER(SUBSTITUTE(CLEAN(TRIM(_xlpm.raw)), " ", "")),
     _xlpm.return,            _xlpm.cleaned,
     _xlpm.return)</f>
        <v>01</v>
      </c>
      <c r="P2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leaf02;01</v>
      </c>
      <c r="Q26" s="9" t="str">
        <f t="shared" si="6"/>
        <v>|</v>
      </c>
      <c r="R26" s="4">
        <f>COUNTIFS(tbl_interfaces[manual_state], "active",
          tbl_interfaces[if_id], tbl_interfaces[[#This Row],[if_id]])</f>
        <v>1</v>
      </c>
      <c r="S26" s="4">
        <f>COUNTIF(tbl_interfaces[if_id], tbl_interfaces[[#This Row],[if_id]])</f>
        <v>1</v>
      </c>
    </row>
    <row r="27" spans="3:19" x14ac:dyDescent="0.25">
      <c r="C27" s="6">
        <v>24</v>
      </c>
      <c r="D27" s="7" cm="1">
        <f t="array" ref="D27">ROW() - ROW(tbl_interfaces[#Headers])</f>
        <v>24</v>
      </c>
      <c r="E27" s="15"/>
      <c r="F27" s="3"/>
      <c r="G27" s="6" t="str">
        <f t="shared" si="5"/>
        <v>active</v>
      </c>
      <c r="H27" s="18" t="str" cm="1">
        <f t="array" ref="H27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27" s="18" t="str" cm="1">
        <f t="array" ref="I27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27" s="18" t="str" cm="1">
        <f t="array" ref="J27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27" s="4" t="str">
        <f>tbl_interfaces[[#This Row],[derived_state]]</f>
        <v>ok</v>
      </c>
      <c r="L27" s="2" t="s">
        <v>78</v>
      </c>
      <c r="M27" s="17" t="s">
        <v>67</v>
      </c>
      <c r="N27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O27" s="4" t="str">
        <f>_xlfn.LET(_xlpm.raw,               tbl_interfaces[[#This Row],[if_name_raw]],
     _xlpm.cleaned,           LOWER(SUBSTITUTE(CLEAN(TRIM(_xlpm.raw)), " ", "")),
     _xlpm.return,            _xlpm.cleaned,
     _xlpm.return)</f>
        <v>02</v>
      </c>
      <c r="P27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leaf02;02</v>
      </c>
      <c r="Q27" s="9" t="str">
        <f t="shared" si="6"/>
        <v>|</v>
      </c>
      <c r="R27" s="4">
        <f>COUNTIFS(tbl_interfaces[manual_state], "active",
          tbl_interfaces[if_id], tbl_interfaces[[#This Row],[if_id]])</f>
        <v>1</v>
      </c>
      <c r="S27" s="4">
        <f>COUNTIF(tbl_interfaces[if_id], tbl_interfaces[[#This Row],[if_id]])</f>
        <v>1</v>
      </c>
    </row>
    <row r="28" spans="3:19" x14ac:dyDescent="0.25">
      <c r="C28" s="6">
        <v>25</v>
      </c>
      <c r="D28" s="7" cm="1">
        <f t="array" ref="D28">ROW() - ROW(tbl_interfaces[#Headers])</f>
        <v>25</v>
      </c>
      <c r="E28" s="15"/>
      <c r="F28" s="3"/>
      <c r="G28" s="6" t="str">
        <f t="shared" si="5"/>
        <v>active</v>
      </c>
      <c r="H28" s="18" t="str" cm="1">
        <f t="array" ref="H28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28" s="18" t="str" cm="1">
        <f t="array" ref="I28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28" s="18" t="str" cm="1">
        <f t="array" ref="J28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28" s="4" t="str">
        <f>tbl_interfaces[[#This Row],[derived_state]]</f>
        <v>ok</v>
      </c>
      <c r="L28" s="2" t="s">
        <v>78</v>
      </c>
      <c r="M28" s="17" t="s">
        <v>68</v>
      </c>
      <c r="N28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O28" s="4" t="str">
        <f>_xlfn.LET(_xlpm.raw,               tbl_interfaces[[#This Row],[if_name_raw]],
     _xlpm.cleaned,           LOWER(SUBSTITUTE(CLEAN(TRIM(_xlpm.raw)), " ", "")),
     _xlpm.return,            _xlpm.cleaned,
     _xlpm.return)</f>
        <v>03</v>
      </c>
      <c r="P28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leaf02;03</v>
      </c>
      <c r="Q28" s="9" t="str">
        <f t="shared" si="6"/>
        <v>|</v>
      </c>
      <c r="R28" s="4">
        <f>COUNTIFS(tbl_interfaces[manual_state], "active",
          tbl_interfaces[if_id], tbl_interfaces[[#This Row],[if_id]])</f>
        <v>1</v>
      </c>
      <c r="S28" s="4">
        <f>COUNTIF(tbl_interfaces[if_id], tbl_interfaces[[#This Row],[if_id]])</f>
        <v>1</v>
      </c>
    </row>
    <row r="29" spans="3:19" x14ac:dyDescent="0.25">
      <c r="C29" s="6">
        <v>26</v>
      </c>
      <c r="D29" s="7" cm="1">
        <f t="array" ref="D29">ROW() - ROW(tbl_interfaces[#Headers])</f>
        <v>26</v>
      </c>
      <c r="E29" s="15"/>
      <c r="F29" s="3"/>
      <c r="G29" s="6" t="str">
        <f t="shared" si="5"/>
        <v>active</v>
      </c>
      <c r="H29" s="18" t="str" cm="1">
        <f t="array" ref="H29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29" s="18" t="str" cm="1">
        <f t="array" ref="I29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29" s="18" t="str" cm="1">
        <f t="array" ref="J29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29" s="4" t="str">
        <f>tbl_interfaces[[#This Row],[derived_state]]</f>
        <v>ok</v>
      </c>
      <c r="L29" s="2" t="s">
        <v>78</v>
      </c>
      <c r="M29" s="17" t="s">
        <v>69</v>
      </c>
      <c r="N29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O29" s="4" t="str">
        <f>_xlfn.LET(_xlpm.raw,               tbl_interfaces[[#This Row],[if_name_raw]],
     _xlpm.cleaned,           LOWER(SUBSTITUTE(CLEAN(TRIM(_xlpm.raw)), " ", "")),
     _xlpm.return,            _xlpm.cleaned,
     _xlpm.return)</f>
        <v>04</v>
      </c>
      <c r="P29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leaf02;04</v>
      </c>
      <c r="Q29" s="9" t="str">
        <f t="shared" si="6"/>
        <v>|</v>
      </c>
      <c r="R29" s="4">
        <f>COUNTIFS(tbl_interfaces[manual_state], "active",
          tbl_interfaces[if_id], tbl_interfaces[[#This Row],[if_id]])</f>
        <v>1</v>
      </c>
      <c r="S29" s="4">
        <f>COUNTIF(tbl_interfaces[if_id], tbl_interfaces[[#This Row],[if_id]])</f>
        <v>1</v>
      </c>
    </row>
    <row r="30" spans="3:19" x14ac:dyDescent="0.25">
      <c r="C30" s="6">
        <v>27</v>
      </c>
      <c r="D30" s="7" cm="1">
        <f t="array" ref="D30">ROW() - ROW(tbl_interfaces[#Headers])</f>
        <v>27</v>
      </c>
      <c r="E30" s="15"/>
      <c r="F30" s="3"/>
      <c r="G30" s="6" t="str">
        <f t="shared" si="5"/>
        <v>active</v>
      </c>
      <c r="H30" s="18" t="str" cm="1">
        <f t="array" ref="H30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30" s="18" t="str" cm="1">
        <f t="array" ref="I30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30" s="18" t="str" cm="1">
        <f t="array" ref="J30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30" s="4" t="str">
        <f>tbl_interfaces[[#This Row],[derived_state]]</f>
        <v>ok</v>
      </c>
      <c r="L30" s="2" t="s">
        <v>78</v>
      </c>
      <c r="M30" s="17" t="s">
        <v>70</v>
      </c>
      <c r="N30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O30" s="4" t="str">
        <f>_xlfn.LET(_xlpm.raw,               tbl_interfaces[[#This Row],[if_name_raw]],
     _xlpm.cleaned,           LOWER(SUBSTITUTE(CLEAN(TRIM(_xlpm.raw)), " ", "")),
     _xlpm.return,            _xlpm.cleaned,
     _xlpm.return)</f>
        <v>05</v>
      </c>
      <c r="P30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leaf02;05</v>
      </c>
      <c r="Q30" s="9" t="str">
        <f t="shared" si="6"/>
        <v>|</v>
      </c>
      <c r="R30" s="4">
        <f>COUNTIFS(tbl_interfaces[manual_state], "active",
          tbl_interfaces[if_id], tbl_interfaces[[#This Row],[if_id]])</f>
        <v>1</v>
      </c>
      <c r="S30" s="4">
        <f>COUNTIF(tbl_interfaces[if_id], tbl_interfaces[[#This Row],[if_id]])</f>
        <v>1</v>
      </c>
    </row>
    <row r="31" spans="3:19" x14ac:dyDescent="0.25">
      <c r="C31" s="6">
        <v>28</v>
      </c>
      <c r="D31" s="7" cm="1">
        <f t="array" ref="D31">ROW() - ROW(tbl_interfaces[#Headers])</f>
        <v>28</v>
      </c>
      <c r="E31" s="15"/>
      <c r="F31" s="3"/>
      <c r="G31" s="6" t="str">
        <f t="shared" si="5"/>
        <v>active</v>
      </c>
      <c r="H31" s="18" t="str" cm="1">
        <f t="array" ref="H31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31" s="18" t="str" cm="1">
        <f t="array" ref="I3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31" s="18" t="str" cm="1">
        <f t="array" ref="J3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31" s="4" t="str">
        <f>tbl_interfaces[[#This Row],[derived_state]]</f>
        <v>ok</v>
      </c>
      <c r="L31" s="2" t="s">
        <v>78</v>
      </c>
      <c r="M31" s="17" t="s">
        <v>71</v>
      </c>
      <c r="N31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O31" s="4" t="str">
        <f>_xlfn.LET(_xlpm.raw,               tbl_interfaces[[#This Row],[if_name_raw]],
     _xlpm.cleaned,           LOWER(SUBSTITUTE(CLEAN(TRIM(_xlpm.raw)), " ", "")),
     _xlpm.return,            _xlpm.cleaned,
     _xlpm.return)</f>
        <v>06</v>
      </c>
      <c r="P31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leaf02;06</v>
      </c>
      <c r="Q31" s="9" t="str">
        <f t="shared" si="6"/>
        <v>|</v>
      </c>
      <c r="R31" s="4">
        <f>COUNTIFS(tbl_interfaces[manual_state], "active",
          tbl_interfaces[if_id], tbl_interfaces[[#This Row],[if_id]])</f>
        <v>1</v>
      </c>
      <c r="S31" s="4">
        <f>COUNTIF(tbl_interfaces[if_id], tbl_interfaces[[#This Row],[if_id]])</f>
        <v>1</v>
      </c>
    </row>
    <row r="32" spans="3:19" x14ac:dyDescent="0.25">
      <c r="C32" s="6">
        <v>29</v>
      </c>
      <c r="D32" s="7" cm="1">
        <f t="array" ref="D32">ROW() - ROW(tbl_interfaces[#Headers])</f>
        <v>29</v>
      </c>
      <c r="E32" s="15"/>
      <c r="F32" s="3"/>
      <c r="G32" s="6" t="str">
        <f t="shared" si="5"/>
        <v>active</v>
      </c>
      <c r="H32" s="18" t="str" cm="1">
        <f t="array" ref="H32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32" s="18" t="str" cm="1">
        <f t="array" ref="I32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32" s="18" t="str" cm="1">
        <f t="array" ref="J32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32" s="4" t="str">
        <f>tbl_interfaces[[#This Row],[derived_state]]</f>
        <v>ok</v>
      </c>
      <c r="L32" s="2" t="s">
        <v>78</v>
      </c>
      <c r="M32" s="17" t="s">
        <v>72</v>
      </c>
      <c r="N32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O32" s="4" t="str">
        <f>_xlfn.LET(_xlpm.raw,               tbl_interfaces[[#This Row],[if_name_raw]],
     _xlpm.cleaned,           LOWER(SUBSTITUTE(CLEAN(TRIM(_xlpm.raw)), " ", "")),
     _xlpm.return,            _xlpm.cleaned,
     _xlpm.return)</f>
        <v>07</v>
      </c>
      <c r="P32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leaf02;07</v>
      </c>
      <c r="Q32" s="9" t="str">
        <f t="shared" si="6"/>
        <v>|</v>
      </c>
      <c r="R32" s="4">
        <f>COUNTIFS(tbl_interfaces[manual_state], "active",
          tbl_interfaces[if_id], tbl_interfaces[[#This Row],[if_id]])</f>
        <v>1</v>
      </c>
      <c r="S32" s="4">
        <f>COUNTIF(tbl_interfaces[if_id], tbl_interfaces[[#This Row],[if_id]])</f>
        <v>1</v>
      </c>
    </row>
    <row r="33" spans="3:19" x14ac:dyDescent="0.25">
      <c r="C33" s="6">
        <v>30</v>
      </c>
      <c r="D33" s="7" cm="1">
        <f t="array" ref="D33">ROW() - ROW(tbl_interfaces[#Headers])</f>
        <v>30</v>
      </c>
      <c r="E33" s="15"/>
      <c r="F33" s="3"/>
      <c r="G33" s="6" t="str">
        <f t="shared" si="5"/>
        <v>active</v>
      </c>
      <c r="H33" s="18" t="str" cm="1">
        <f t="array" ref="H33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33" s="18" t="str" cm="1">
        <f t="array" ref="I33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33" s="18" t="str" cm="1">
        <f t="array" ref="J33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33" s="4" t="str">
        <f>tbl_interfaces[[#This Row],[derived_state]]</f>
        <v>ok</v>
      </c>
      <c r="L33" s="2" t="s">
        <v>78</v>
      </c>
      <c r="M33" s="17" t="s">
        <v>73</v>
      </c>
      <c r="N33" s="4" t="str">
        <f>_xlfn.LET(_xlpm.raw,               tbl_interfaces[[#This Row],[device_handle_raw]],
     _xlpm.cleaned,           LOWER(SUBSTITUTE(CLEAN(TRIM(_xlpm.raw)), " ", "")),
     _xlpm.return,            _xlpm.cleaned,
     _xlpm.return)</f>
        <v>leaf02</v>
      </c>
      <c r="O33" s="4" t="str">
        <f>_xlfn.LET(_xlpm.raw,               tbl_interfaces[[#This Row],[if_name_raw]],
     _xlpm.cleaned,           LOWER(SUBSTITUTE(CLEAN(TRIM(_xlpm.raw)), " ", "")),
     _xlpm.return,            _xlpm.cleaned,
     _xlpm.return)</f>
        <v>08</v>
      </c>
      <c r="P33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leaf02;08</v>
      </c>
      <c r="Q33" s="9" t="str">
        <f t="shared" si="6"/>
        <v>|</v>
      </c>
      <c r="R33" s="4">
        <f>COUNTIFS(tbl_interfaces[manual_state], "active",
          tbl_interfaces[if_id], tbl_interfaces[[#This Row],[if_id]])</f>
        <v>1</v>
      </c>
      <c r="S33" s="4">
        <f>COUNTIF(tbl_interfaces[if_id], tbl_interfaces[[#This Row],[if_id]])</f>
        <v>1</v>
      </c>
    </row>
    <row r="34" spans="3:19" x14ac:dyDescent="0.25">
      <c r="C34" s="6">
        <v>31</v>
      </c>
      <c r="D34" s="7" cm="1">
        <f t="array" ref="D34">ROW() - ROW(tbl_interfaces[#Headers])</f>
        <v>31</v>
      </c>
      <c r="E34" s="15"/>
      <c r="F34" s="15"/>
      <c r="G34" s="6" t="str">
        <f t="shared" ref="G34:G39" si="7">"active"</f>
        <v>active</v>
      </c>
      <c r="H34" s="8" t="str" cm="1">
        <f t="array" ref="H3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34" s="8" t="str" cm="1">
        <f t="array" ref="I3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34" s="8" t="str" cm="1">
        <f t="array" ref="J3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34" s="7" t="str">
        <f>tbl_interfaces[[#This Row],[derived_state]]</f>
        <v>ok</v>
      </c>
      <c r="L34" s="2" t="s">
        <v>29</v>
      </c>
      <c r="M34" s="6" t="s">
        <v>37</v>
      </c>
      <c r="N34" s="7" t="str">
        <f>_xlfn.LET(_xlpm.raw,               tbl_interfaces[[#This Row],[device_handle_raw]],
     _xlpm.cleaned,           LOWER(SUBSTITUTE(CLEAN(TRIM(_xlpm.raw)), " ", "")),
     _xlpm.return,            _xlpm.cleaned,
     _xlpm.return)</f>
        <v>rtr01</v>
      </c>
      <c r="O34" s="7" t="str">
        <f>_xlfn.LET(_xlpm.raw,               tbl_interfaces[[#This Row],[if_name_raw]],
     _xlpm.cleaned,           LOWER(SUBSTITUTE(CLEAN(TRIM(_xlpm.raw)), " ", "")),
     _xlpm.return,            _xlpm.cleaned,
     _xlpm.return)</f>
        <v>console</v>
      </c>
      <c r="P34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rtr01;console</v>
      </c>
      <c r="Q34" s="16" t="str">
        <f t="shared" ref="Q34:Q39" si="8">"|"</f>
        <v>|</v>
      </c>
      <c r="R34" s="7">
        <f>COUNTIFS(tbl_interfaces[manual_state], "active",
          tbl_interfaces[if_id], tbl_interfaces[[#This Row],[if_id]])</f>
        <v>1</v>
      </c>
      <c r="S34" s="7">
        <f>COUNTIF(tbl_interfaces[if_id], tbl_interfaces[[#This Row],[if_id]])</f>
        <v>1</v>
      </c>
    </row>
    <row r="35" spans="3:19" x14ac:dyDescent="0.25">
      <c r="C35" s="6">
        <v>32</v>
      </c>
      <c r="D35" s="7" cm="1">
        <f t="array" ref="D35">ROW() - ROW(tbl_interfaces[#Headers])</f>
        <v>32</v>
      </c>
      <c r="E35" s="15"/>
      <c r="F35" s="15"/>
      <c r="G35" s="6" t="str">
        <f t="shared" si="7"/>
        <v>active</v>
      </c>
      <c r="H35" s="8" t="str" cm="1">
        <f t="array" ref="H3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35" s="8" t="str" cm="1">
        <f t="array" ref="I3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35" s="8" t="str" cm="1">
        <f t="array" ref="J3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35" s="7" t="str">
        <f>tbl_interfaces[[#This Row],[derived_state]]</f>
        <v>ok</v>
      </c>
      <c r="L35" s="2" t="s">
        <v>29</v>
      </c>
      <c r="M35" s="6" t="s">
        <v>66</v>
      </c>
      <c r="N35" s="7" t="str">
        <f>_xlfn.LET(_xlpm.raw,               tbl_interfaces[[#This Row],[device_handle_raw]],
     _xlpm.cleaned,           LOWER(SUBSTITUTE(CLEAN(TRIM(_xlpm.raw)), " ", "")),
     _xlpm.return,            _xlpm.cleaned,
     _xlpm.return)</f>
        <v>rtr01</v>
      </c>
      <c r="O35" s="7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P3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rtr01;mgmt</v>
      </c>
      <c r="Q35" s="16" t="str">
        <f t="shared" si="8"/>
        <v>|</v>
      </c>
      <c r="R35" s="7">
        <f>COUNTIFS(tbl_interfaces[manual_state], "active",
          tbl_interfaces[if_id], tbl_interfaces[[#This Row],[if_id]])</f>
        <v>1</v>
      </c>
      <c r="S35" s="7">
        <f>COUNTIF(tbl_interfaces[if_id], tbl_interfaces[[#This Row],[if_id]])</f>
        <v>1</v>
      </c>
    </row>
    <row r="36" spans="3:19" x14ac:dyDescent="0.25">
      <c r="C36" s="6">
        <v>33</v>
      </c>
      <c r="D36" s="7" cm="1">
        <f t="array" ref="D36">ROW() - ROW(tbl_interfaces[#Headers])</f>
        <v>33</v>
      </c>
      <c r="E36" s="15"/>
      <c r="F36" s="15"/>
      <c r="G36" s="6" t="str">
        <f t="shared" si="7"/>
        <v>active</v>
      </c>
      <c r="H36" s="8" t="str" cm="1">
        <f t="array" ref="H3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36" s="8" t="str" cm="1">
        <f t="array" ref="I3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36" s="8" t="str" cm="1">
        <f t="array" ref="J3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36" s="7" t="str">
        <f>tbl_interfaces[[#This Row],[derived_state]]</f>
        <v>ok</v>
      </c>
      <c r="L36" s="2" t="s">
        <v>29</v>
      </c>
      <c r="M36" s="6" t="s">
        <v>74</v>
      </c>
      <c r="N36" s="7" t="str">
        <f>_xlfn.LET(_xlpm.raw,               tbl_interfaces[[#This Row],[device_handle_raw]],
     _xlpm.cleaned,           LOWER(SUBSTITUTE(CLEAN(TRIM(_xlpm.raw)), " ", "")),
     _xlpm.return,            _xlpm.cleaned,
     _xlpm.return)</f>
        <v>rtr01</v>
      </c>
      <c r="O36" s="7" t="str">
        <f>_xlfn.LET(_xlpm.raw,               tbl_interfaces[[#This Row],[if_name_raw]],
     _xlpm.cleaned,           LOWER(SUBSTITUTE(CLEAN(TRIM(_xlpm.raw)), " ", "")),
     _xlpm.return,            _xlpm.cleaned,
     _xlpm.return)</f>
        <v>g_0/0/0</v>
      </c>
      <c r="P3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rtr01;g_0/0/0</v>
      </c>
      <c r="Q36" s="16" t="str">
        <f t="shared" si="8"/>
        <v>|</v>
      </c>
      <c r="R36" s="7">
        <f>COUNTIFS(tbl_interfaces[manual_state], "active",
          tbl_interfaces[if_id], tbl_interfaces[[#This Row],[if_id]])</f>
        <v>1</v>
      </c>
      <c r="S36" s="7">
        <f>COUNTIF(tbl_interfaces[if_id], tbl_interfaces[[#This Row],[if_id]])</f>
        <v>1</v>
      </c>
    </row>
    <row r="37" spans="3:19" x14ac:dyDescent="0.25">
      <c r="C37" s="6">
        <v>34</v>
      </c>
      <c r="D37" s="7" cm="1">
        <f t="array" ref="D37">ROW() - ROW(tbl_interfaces[#Headers])</f>
        <v>34</v>
      </c>
      <c r="E37" s="15"/>
      <c r="F37" s="15"/>
      <c r="G37" s="6" t="str">
        <f t="shared" si="7"/>
        <v>active</v>
      </c>
      <c r="H37" s="8" t="str" cm="1">
        <f t="array" ref="H37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37" s="8" t="str" cm="1">
        <f t="array" ref="I37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37" s="8" t="str" cm="1">
        <f t="array" ref="J37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37" s="7" t="str">
        <f>tbl_interfaces[[#This Row],[derived_state]]</f>
        <v>ok</v>
      </c>
      <c r="L37" s="2" t="s">
        <v>29</v>
      </c>
      <c r="M37" s="6" t="s">
        <v>75</v>
      </c>
      <c r="N37" s="7" t="str">
        <f>_xlfn.LET(_xlpm.raw,               tbl_interfaces[[#This Row],[device_handle_raw]],
     _xlpm.cleaned,           LOWER(SUBSTITUTE(CLEAN(TRIM(_xlpm.raw)), " ", "")),
     _xlpm.return,            _xlpm.cleaned,
     _xlpm.return)</f>
        <v>rtr01</v>
      </c>
      <c r="O37" s="7" t="str">
        <f>_xlfn.LET(_xlpm.raw,               tbl_interfaces[[#This Row],[if_name_raw]],
     _xlpm.cleaned,           LOWER(SUBSTITUTE(CLEAN(TRIM(_xlpm.raw)), " ", "")),
     _xlpm.return,            _xlpm.cleaned,
     _xlpm.return)</f>
        <v>g_0/0/1</v>
      </c>
      <c r="P37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rtr01;g_0/0/1</v>
      </c>
      <c r="Q37" s="16" t="str">
        <f t="shared" si="8"/>
        <v>|</v>
      </c>
      <c r="R37" s="7">
        <f>COUNTIFS(tbl_interfaces[manual_state], "active",
          tbl_interfaces[if_id], tbl_interfaces[[#This Row],[if_id]])</f>
        <v>1</v>
      </c>
      <c r="S37" s="7">
        <f>COUNTIF(tbl_interfaces[if_id], tbl_interfaces[[#This Row],[if_id]])</f>
        <v>1</v>
      </c>
    </row>
    <row r="38" spans="3:19" x14ac:dyDescent="0.25">
      <c r="C38" s="6">
        <v>35</v>
      </c>
      <c r="D38" s="7" cm="1">
        <f t="array" ref="D38">ROW() - ROW(tbl_interfaces[#Headers])</f>
        <v>35</v>
      </c>
      <c r="E38" s="15"/>
      <c r="F38" s="15"/>
      <c r="G38" s="6" t="str">
        <f t="shared" si="7"/>
        <v>active</v>
      </c>
      <c r="H38" s="8" t="str" cm="1">
        <f t="array" ref="H38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38" s="8" t="str" cm="1">
        <f t="array" ref="I38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38" s="8" t="str" cm="1">
        <f t="array" ref="J38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38" s="7" t="str">
        <f>tbl_interfaces[[#This Row],[derived_state]]</f>
        <v>ok</v>
      </c>
      <c r="L38" s="2" t="s">
        <v>29</v>
      </c>
      <c r="M38" s="6" t="s">
        <v>76</v>
      </c>
      <c r="N38" s="7" t="str">
        <f>_xlfn.LET(_xlpm.raw,               tbl_interfaces[[#This Row],[device_handle_raw]],
     _xlpm.cleaned,           LOWER(SUBSTITUTE(CLEAN(TRIM(_xlpm.raw)), " ", "")),
     _xlpm.return,            _xlpm.cleaned,
     _xlpm.return)</f>
        <v>rtr01</v>
      </c>
      <c r="O38" s="7" t="str">
        <f>_xlfn.LET(_xlpm.raw,               tbl_interfaces[[#This Row],[if_name_raw]],
     _xlpm.cleaned,           LOWER(SUBSTITUTE(CLEAN(TRIM(_xlpm.raw)), " ", "")),
     _xlpm.return,            _xlpm.cleaned,
     _xlpm.return)</f>
        <v>g_1/0/0</v>
      </c>
      <c r="P38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rtr01;g_1/0/0</v>
      </c>
      <c r="Q38" s="16" t="str">
        <f t="shared" si="8"/>
        <v>|</v>
      </c>
      <c r="R38" s="7">
        <f>COUNTIFS(tbl_interfaces[manual_state], "active",
          tbl_interfaces[if_id], tbl_interfaces[[#This Row],[if_id]])</f>
        <v>1</v>
      </c>
      <c r="S38" s="7">
        <f>COUNTIF(tbl_interfaces[if_id], tbl_interfaces[[#This Row],[if_id]])</f>
        <v>1</v>
      </c>
    </row>
    <row r="39" spans="3:19" x14ac:dyDescent="0.25">
      <c r="C39" s="6">
        <v>36</v>
      </c>
      <c r="D39" s="7" cm="1">
        <f t="array" ref="D39">ROW() - ROW(tbl_interfaces[#Headers])</f>
        <v>36</v>
      </c>
      <c r="E39" s="15"/>
      <c r="F39" s="15"/>
      <c r="G39" s="6" t="str">
        <f t="shared" si="7"/>
        <v>active</v>
      </c>
      <c r="H39" s="8" t="str" cm="1">
        <f t="array" ref="H39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39" s="8" t="str" cm="1">
        <f t="array" ref="I39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39" s="8" t="str" cm="1">
        <f t="array" ref="J39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39" s="7" t="str">
        <f>tbl_interfaces[[#This Row],[derived_state]]</f>
        <v>ok</v>
      </c>
      <c r="L39" s="2" t="s">
        <v>29</v>
      </c>
      <c r="M39" s="6" t="s">
        <v>77</v>
      </c>
      <c r="N39" s="7" t="str">
        <f>_xlfn.LET(_xlpm.raw,               tbl_interfaces[[#This Row],[device_handle_raw]],
     _xlpm.cleaned,           LOWER(SUBSTITUTE(CLEAN(TRIM(_xlpm.raw)), " ", "")),
     _xlpm.return,            _xlpm.cleaned,
     _xlpm.return)</f>
        <v>rtr01</v>
      </c>
      <c r="O39" s="7" t="str">
        <f>_xlfn.LET(_xlpm.raw,               tbl_interfaces[[#This Row],[if_name_raw]],
     _xlpm.cleaned,           LOWER(SUBSTITUTE(CLEAN(TRIM(_xlpm.raw)), " ", "")),
     _xlpm.return,            _xlpm.cleaned,
     _xlpm.return)</f>
        <v>g_1/0/1</v>
      </c>
      <c r="P39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rtr01;g_1/0/1</v>
      </c>
      <c r="Q39" s="16" t="str">
        <f t="shared" si="8"/>
        <v>|</v>
      </c>
      <c r="R39" s="7">
        <f>COUNTIFS(tbl_interfaces[manual_state], "active",
          tbl_interfaces[if_id], tbl_interfaces[[#This Row],[if_id]])</f>
        <v>1</v>
      </c>
      <c r="S39" s="7">
        <f>COUNTIF(tbl_interfaces[if_id], tbl_interfaces[[#This Row],[if_id]])</f>
        <v>1</v>
      </c>
    </row>
    <row r="40" spans="3:19" x14ac:dyDescent="0.25">
      <c r="C40" s="6">
        <v>37</v>
      </c>
      <c r="D40" s="7" cm="1">
        <f t="array" ref="D40">ROW() - ROW(tbl_interfaces[#Headers])</f>
        <v>37</v>
      </c>
      <c r="E40" s="15"/>
      <c r="F40" s="15"/>
      <c r="G40" s="6" t="str">
        <f t="shared" ref="G40:G45" si="9">"active"</f>
        <v>active</v>
      </c>
      <c r="H40" s="8" t="str" cm="1">
        <f t="array" ref="H40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40" s="8" t="str" cm="1">
        <f t="array" ref="I40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40" s="8" t="str" cm="1">
        <f t="array" ref="J40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40" s="7" t="str">
        <f>tbl_interfaces[[#This Row],[derived_state]]</f>
        <v>ok</v>
      </c>
      <c r="L40" s="2" t="s">
        <v>80</v>
      </c>
      <c r="M40" s="6" t="s">
        <v>37</v>
      </c>
      <c r="N40" s="7" t="str">
        <f>_xlfn.LET(_xlpm.raw,               tbl_interfaces[[#This Row],[device_handle_raw]],
     _xlpm.cleaned,           LOWER(SUBSTITUTE(CLEAN(TRIM(_xlpm.raw)), " ", "")),
     _xlpm.return,            _xlpm.cleaned,
     _xlpm.return)</f>
        <v>rtr02</v>
      </c>
      <c r="O40" s="7" t="str">
        <f>_xlfn.LET(_xlpm.raw,               tbl_interfaces[[#This Row],[if_name_raw]],
     _xlpm.cleaned,           LOWER(SUBSTITUTE(CLEAN(TRIM(_xlpm.raw)), " ", "")),
     _xlpm.return,            _xlpm.cleaned,
     _xlpm.return)</f>
        <v>console</v>
      </c>
      <c r="P40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rtr02;console</v>
      </c>
      <c r="Q40" s="16" t="str">
        <f t="shared" ref="Q40:Q45" si="10">"|"</f>
        <v>|</v>
      </c>
      <c r="R40" s="7">
        <f>COUNTIFS(tbl_interfaces[manual_state], "active",
          tbl_interfaces[if_id], tbl_interfaces[[#This Row],[if_id]])</f>
        <v>1</v>
      </c>
      <c r="S40" s="7">
        <f>COUNTIF(tbl_interfaces[if_id], tbl_interfaces[[#This Row],[if_id]])</f>
        <v>1</v>
      </c>
    </row>
    <row r="41" spans="3:19" x14ac:dyDescent="0.25">
      <c r="C41" s="6">
        <v>38</v>
      </c>
      <c r="D41" s="7" cm="1">
        <f t="array" ref="D41">ROW() - ROW(tbl_interfaces[#Headers])</f>
        <v>38</v>
      </c>
      <c r="E41" s="15"/>
      <c r="F41" s="3"/>
      <c r="G41" s="6" t="str">
        <f t="shared" si="9"/>
        <v>active</v>
      </c>
      <c r="H41" s="18" t="str" cm="1">
        <f t="array" ref="H41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41" s="18" t="str" cm="1">
        <f t="array" ref="I4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41" s="18" t="str" cm="1">
        <f t="array" ref="J4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41" s="4" t="str">
        <f>tbl_interfaces[[#This Row],[derived_state]]</f>
        <v>ok</v>
      </c>
      <c r="L41" s="2" t="s">
        <v>80</v>
      </c>
      <c r="M41" s="6" t="s">
        <v>66</v>
      </c>
      <c r="N41" s="4" t="str">
        <f>_xlfn.LET(_xlpm.raw,               tbl_interfaces[[#This Row],[device_handle_raw]],
     _xlpm.cleaned,           LOWER(SUBSTITUTE(CLEAN(TRIM(_xlpm.raw)), " ", "")),
     _xlpm.return,            _xlpm.cleaned,
     _xlpm.return)</f>
        <v>rtr02</v>
      </c>
      <c r="O41" s="4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P41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rtr02;mgmt</v>
      </c>
      <c r="Q41" s="9" t="str">
        <f t="shared" si="10"/>
        <v>|</v>
      </c>
      <c r="R41" s="4">
        <f>COUNTIFS(tbl_interfaces[manual_state], "active",
          tbl_interfaces[if_id], tbl_interfaces[[#This Row],[if_id]])</f>
        <v>1</v>
      </c>
      <c r="S41" s="4">
        <f>COUNTIF(tbl_interfaces[if_id], tbl_interfaces[[#This Row],[if_id]])</f>
        <v>1</v>
      </c>
    </row>
    <row r="42" spans="3:19" x14ac:dyDescent="0.25">
      <c r="C42" s="6">
        <v>39</v>
      </c>
      <c r="D42" s="7" cm="1">
        <f t="array" ref="D42">ROW() - ROW(tbl_interfaces[#Headers])</f>
        <v>39</v>
      </c>
      <c r="E42" s="15"/>
      <c r="F42" s="3"/>
      <c r="G42" s="6" t="str">
        <f t="shared" si="9"/>
        <v>active</v>
      </c>
      <c r="H42" s="18" t="str" cm="1">
        <f t="array" ref="H42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42" s="18" t="str" cm="1">
        <f t="array" ref="I42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42" s="18" t="str" cm="1">
        <f t="array" ref="J42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42" s="4" t="str">
        <f>tbl_interfaces[[#This Row],[derived_state]]</f>
        <v>ok</v>
      </c>
      <c r="L42" s="2" t="s">
        <v>80</v>
      </c>
      <c r="M42" s="6" t="s">
        <v>74</v>
      </c>
      <c r="N42" s="4" t="str">
        <f>_xlfn.LET(_xlpm.raw,               tbl_interfaces[[#This Row],[device_handle_raw]],
     _xlpm.cleaned,           LOWER(SUBSTITUTE(CLEAN(TRIM(_xlpm.raw)), " ", "")),
     _xlpm.return,            _xlpm.cleaned,
     _xlpm.return)</f>
        <v>rtr02</v>
      </c>
      <c r="O42" s="4" t="str">
        <f>_xlfn.LET(_xlpm.raw,               tbl_interfaces[[#This Row],[if_name_raw]],
     _xlpm.cleaned,           LOWER(SUBSTITUTE(CLEAN(TRIM(_xlpm.raw)), " ", "")),
     _xlpm.return,            _xlpm.cleaned,
     _xlpm.return)</f>
        <v>g_0/0/0</v>
      </c>
      <c r="P42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rtr02;g_0/0/0</v>
      </c>
      <c r="Q42" s="9" t="str">
        <f t="shared" si="10"/>
        <v>|</v>
      </c>
      <c r="R42" s="4">
        <f>COUNTIFS(tbl_interfaces[manual_state], "active",
          tbl_interfaces[if_id], tbl_interfaces[[#This Row],[if_id]])</f>
        <v>1</v>
      </c>
      <c r="S42" s="4">
        <f>COUNTIF(tbl_interfaces[if_id], tbl_interfaces[[#This Row],[if_id]])</f>
        <v>1</v>
      </c>
    </row>
    <row r="43" spans="3:19" x14ac:dyDescent="0.25">
      <c r="C43" s="6">
        <v>40</v>
      </c>
      <c r="D43" s="7" cm="1">
        <f t="array" ref="D43">ROW() - ROW(tbl_interfaces[#Headers])</f>
        <v>40</v>
      </c>
      <c r="E43" s="15"/>
      <c r="F43" s="3"/>
      <c r="G43" s="6" t="str">
        <f t="shared" si="9"/>
        <v>active</v>
      </c>
      <c r="H43" s="18" t="str" cm="1">
        <f t="array" ref="H43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43" s="18" t="str" cm="1">
        <f t="array" ref="I43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43" s="18" t="str" cm="1">
        <f t="array" ref="J43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43" s="4" t="str">
        <f>tbl_interfaces[[#This Row],[derived_state]]</f>
        <v>ok</v>
      </c>
      <c r="L43" s="2" t="s">
        <v>80</v>
      </c>
      <c r="M43" s="6" t="s">
        <v>75</v>
      </c>
      <c r="N43" s="4" t="str">
        <f>_xlfn.LET(_xlpm.raw,               tbl_interfaces[[#This Row],[device_handle_raw]],
     _xlpm.cleaned,           LOWER(SUBSTITUTE(CLEAN(TRIM(_xlpm.raw)), " ", "")),
     _xlpm.return,            _xlpm.cleaned,
     _xlpm.return)</f>
        <v>rtr02</v>
      </c>
      <c r="O43" s="4" t="str">
        <f>_xlfn.LET(_xlpm.raw,               tbl_interfaces[[#This Row],[if_name_raw]],
     _xlpm.cleaned,           LOWER(SUBSTITUTE(CLEAN(TRIM(_xlpm.raw)), " ", "")),
     _xlpm.return,            _xlpm.cleaned,
     _xlpm.return)</f>
        <v>g_0/0/1</v>
      </c>
      <c r="P43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rtr02;g_0/0/1</v>
      </c>
      <c r="Q43" s="9" t="str">
        <f t="shared" si="10"/>
        <v>|</v>
      </c>
      <c r="R43" s="4">
        <f>COUNTIFS(tbl_interfaces[manual_state], "active",
          tbl_interfaces[if_id], tbl_interfaces[[#This Row],[if_id]])</f>
        <v>1</v>
      </c>
      <c r="S43" s="4">
        <f>COUNTIF(tbl_interfaces[if_id], tbl_interfaces[[#This Row],[if_id]])</f>
        <v>1</v>
      </c>
    </row>
    <row r="44" spans="3:19" x14ac:dyDescent="0.25">
      <c r="C44" s="6">
        <v>41</v>
      </c>
      <c r="D44" s="7" cm="1">
        <f t="array" ref="D44">ROW() - ROW(tbl_interfaces[#Headers])</f>
        <v>41</v>
      </c>
      <c r="E44" s="15"/>
      <c r="F44" s="3"/>
      <c r="G44" s="6" t="str">
        <f t="shared" si="9"/>
        <v>active</v>
      </c>
      <c r="H44" s="18" t="str" cm="1">
        <f t="array" ref="H4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44" s="18" t="str" cm="1">
        <f t="array" ref="I4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44" s="18" t="str" cm="1">
        <f t="array" ref="J4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44" s="4" t="str">
        <f>tbl_interfaces[[#This Row],[derived_state]]</f>
        <v>ok</v>
      </c>
      <c r="L44" s="2" t="s">
        <v>80</v>
      </c>
      <c r="M44" s="6" t="s">
        <v>76</v>
      </c>
      <c r="N44" s="4" t="str">
        <f>_xlfn.LET(_xlpm.raw,               tbl_interfaces[[#This Row],[device_handle_raw]],
     _xlpm.cleaned,           LOWER(SUBSTITUTE(CLEAN(TRIM(_xlpm.raw)), " ", "")),
     _xlpm.return,            _xlpm.cleaned,
     _xlpm.return)</f>
        <v>rtr02</v>
      </c>
      <c r="O44" s="4" t="str">
        <f>_xlfn.LET(_xlpm.raw,               tbl_interfaces[[#This Row],[if_name_raw]],
     _xlpm.cleaned,           LOWER(SUBSTITUTE(CLEAN(TRIM(_xlpm.raw)), " ", "")),
     _xlpm.return,            _xlpm.cleaned,
     _xlpm.return)</f>
        <v>g_1/0/0</v>
      </c>
      <c r="P44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rtr02;g_1/0/0</v>
      </c>
      <c r="Q44" s="9" t="str">
        <f t="shared" si="10"/>
        <v>|</v>
      </c>
      <c r="R44" s="4">
        <f>COUNTIFS(tbl_interfaces[manual_state], "active",
          tbl_interfaces[if_id], tbl_interfaces[[#This Row],[if_id]])</f>
        <v>1</v>
      </c>
      <c r="S44" s="4">
        <f>COUNTIF(tbl_interfaces[if_id], tbl_interfaces[[#This Row],[if_id]])</f>
        <v>1</v>
      </c>
    </row>
    <row r="45" spans="3:19" x14ac:dyDescent="0.25">
      <c r="C45" s="6">
        <v>42</v>
      </c>
      <c r="D45" s="7" cm="1">
        <f t="array" ref="D45">ROW() - ROW(tbl_interfaces[#Headers])</f>
        <v>42</v>
      </c>
      <c r="E45" s="15"/>
      <c r="F45" s="3"/>
      <c r="G45" s="6" t="str">
        <f t="shared" si="9"/>
        <v>active</v>
      </c>
      <c r="H45" s="18" t="str" cm="1">
        <f t="array" ref="H4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45" s="18" t="str" cm="1">
        <f t="array" ref="I4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45" s="18" t="str" cm="1">
        <f t="array" ref="J4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45" s="4" t="str">
        <f>tbl_interfaces[[#This Row],[derived_state]]</f>
        <v>ok</v>
      </c>
      <c r="L45" s="2" t="s">
        <v>80</v>
      </c>
      <c r="M45" s="6" t="s">
        <v>77</v>
      </c>
      <c r="N45" s="4" t="str">
        <f>_xlfn.LET(_xlpm.raw,               tbl_interfaces[[#This Row],[device_handle_raw]],
     _xlpm.cleaned,           LOWER(SUBSTITUTE(CLEAN(TRIM(_xlpm.raw)), " ", "")),
     _xlpm.return,            _xlpm.cleaned,
     _xlpm.return)</f>
        <v>rtr02</v>
      </c>
      <c r="O45" s="4" t="str">
        <f>_xlfn.LET(_xlpm.raw,               tbl_interfaces[[#This Row],[if_name_raw]],
     _xlpm.cleaned,           LOWER(SUBSTITUTE(CLEAN(TRIM(_xlpm.raw)), " ", "")),
     _xlpm.return,            _xlpm.cleaned,
     _xlpm.return)</f>
        <v>g_1/0/1</v>
      </c>
      <c r="P4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rtr02;g_1/0/1</v>
      </c>
      <c r="Q45" s="9" t="str">
        <f t="shared" si="10"/>
        <v>|</v>
      </c>
      <c r="R45" s="4">
        <f>COUNTIFS(tbl_interfaces[manual_state], "active",
          tbl_interfaces[if_id], tbl_interfaces[[#This Row],[if_id]])</f>
        <v>1</v>
      </c>
      <c r="S45" s="4">
        <f>COUNTIF(tbl_interfaces[if_id], tbl_interfaces[[#This Row],[if_id]])</f>
        <v>1</v>
      </c>
    </row>
    <row r="46" spans="3:19" x14ac:dyDescent="0.25">
      <c r="C46" s="6">
        <v>43</v>
      </c>
      <c r="D46" s="7" cm="1">
        <f t="array" ref="D46">ROW() - ROW(tbl_interfaces[#Headers])</f>
        <v>43</v>
      </c>
      <c r="E46" s="15"/>
      <c r="F46" s="15"/>
      <c r="G46" s="6" t="str">
        <f t="shared" ref="G46:G55" si="11">"active"</f>
        <v>active</v>
      </c>
      <c r="H46" s="8" t="str" cm="1">
        <f t="array" ref="H4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46" s="8" t="str" cm="1">
        <f t="array" ref="I4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46" s="8" t="str" cm="1">
        <f t="array" ref="J4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46" s="7" t="str">
        <f>tbl_interfaces[[#This Row],[derived_state]]</f>
        <v>ok</v>
      </c>
      <c r="L46" s="2" t="s">
        <v>81</v>
      </c>
      <c r="M46" s="6" t="s">
        <v>37</v>
      </c>
      <c r="N46" s="7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O46" s="7" t="str">
        <f>_xlfn.LET(_xlpm.raw,               tbl_interfaces[[#This Row],[if_name_raw]],
     _xlpm.cleaned,           LOWER(SUBSTITUTE(CLEAN(TRIM(_xlpm.raw)), " ", "")),
     _xlpm.return,            _xlpm.cleaned,
     _xlpm.return)</f>
        <v>console</v>
      </c>
      <c r="P4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spine01;console</v>
      </c>
      <c r="Q46" s="16" t="str">
        <f t="shared" ref="Q46:Q55" si="12">"|"</f>
        <v>|</v>
      </c>
      <c r="R46" s="7">
        <f>COUNTIFS(tbl_interfaces[manual_state], "active",
          tbl_interfaces[if_id], tbl_interfaces[[#This Row],[if_id]])</f>
        <v>1</v>
      </c>
      <c r="S46" s="7">
        <f>COUNTIF(tbl_interfaces[if_id], tbl_interfaces[[#This Row],[if_id]])</f>
        <v>1</v>
      </c>
    </row>
    <row r="47" spans="3:19" x14ac:dyDescent="0.25">
      <c r="C47" s="6">
        <v>44</v>
      </c>
      <c r="D47" s="7" cm="1">
        <f t="array" ref="D47">ROW() - ROW(tbl_interfaces[#Headers])</f>
        <v>44</v>
      </c>
      <c r="E47" s="15"/>
      <c r="F47" s="3"/>
      <c r="G47" s="6" t="str">
        <f t="shared" si="11"/>
        <v>active</v>
      </c>
      <c r="H47" s="18" t="str" cm="1">
        <f t="array" ref="H47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47" s="18" t="str" cm="1">
        <f t="array" ref="I47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47" s="18" t="str" cm="1">
        <f t="array" ref="J47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47" s="4" t="str">
        <f>tbl_interfaces[[#This Row],[derived_state]]</f>
        <v>ok</v>
      </c>
      <c r="L47" s="2" t="s">
        <v>81</v>
      </c>
      <c r="M47" s="6" t="s">
        <v>66</v>
      </c>
      <c r="N47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O47" s="4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P47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spine01;mgmt</v>
      </c>
      <c r="Q47" s="9" t="str">
        <f t="shared" si="12"/>
        <v>|</v>
      </c>
      <c r="R47" s="4">
        <f>COUNTIFS(tbl_interfaces[manual_state], "active",
          tbl_interfaces[if_id], tbl_interfaces[[#This Row],[if_id]])</f>
        <v>1</v>
      </c>
      <c r="S47" s="4">
        <f>COUNTIF(tbl_interfaces[if_id], tbl_interfaces[[#This Row],[if_id]])</f>
        <v>1</v>
      </c>
    </row>
    <row r="48" spans="3:19" x14ac:dyDescent="0.25">
      <c r="C48" s="6">
        <v>45</v>
      </c>
      <c r="D48" s="7" cm="1">
        <f t="array" ref="D48">ROW() - ROW(tbl_interfaces[#Headers])</f>
        <v>45</v>
      </c>
      <c r="E48" s="15"/>
      <c r="F48" s="3"/>
      <c r="G48" s="6" t="str">
        <f t="shared" si="11"/>
        <v>active</v>
      </c>
      <c r="H48" s="18" t="str" cm="1">
        <f t="array" ref="H48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48" s="18" t="str" cm="1">
        <f t="array" ref="I48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48" s="18" t="str" cm="1">
        <f t="array" ref="J48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48" s="4" t="str">
        <f>tbl_interfaces[[#This Row],[derived_state]]</f>
        <v>ok</v>
      </c>
      <c r="L48" s="2" t="s">
        <v>81</v>
      </c>
      <c r="M48" s="17" t="s">
        <v>61</v>
      </c>
      <c r="N48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O48" s="4" t="str">
        <f>_xlfn.LET(_xlpm.raw,               tbl_interfaces[[#This Row],[if_name_raw]],
     _xlpm.cleaned,           LOWER(SUBSTITUTE(CLEAN(TRIM(_xlpm.raw)), " ", "")),
     _xlpm.return,            _xlpm.cleaned,
     _xlpm.return)</f>
        <v>01</v>
      </c>
      <c r="P48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spine01;01</v>
      </c>
      <c r="Q48" s="9" t="str">
        <f t="shared" si="12"/>
        <v>|</v>
      </c>
      <c r="R48" s="4">
        <f>COUNTIFS(tbl_interfaces[manual_state], "active",
          tbl_interfaces[if_id], tbl_interfaces[[#This Row],[if_id]])</f>
        <v>1</v>
      </c>
      <c r="S48" s="4">
        <f>COUNTIF(tbl_interfaces[if_id], tbl_interfaces[[#This Row],[if_id]])</f>
        <v>1</v>
      </c>
    </row>
    <row r="49" spans="3:19" x14ac:dyDescent="0.25">
      <c r="C49" s="6">
        <v>46</v>
      </c>
      <c r="D49" s="7" cm="1">
        <f t="array" ref="D49">ROW() - ROW(tbl_interfaces[#Headers])</f>
        <v>46</v>
      </c>
      <c r="E49" s="15"/>
      <c r="F49" s="3"/>
      <c r="G49" s="6" t="str">
        <f t="shared" si="11"/>
        <v>active</v>
      </c>
      <c r="H49" s="18" t="str" cm="1">
        <f t="array" ref="H49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49" s="18" t="str" cm="1">
        <f t="array" ref="I49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49" s="18" t="str" cm="1">
        <f t="array" ref="J49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49" s="4" t="str">
        <f>tbl_interfaces[[#This Row],[derived_state]]</f>
        <v>ok</v>
      </c>
      <c r="L49" s="2" t="s">
        <v>81</v>
      </c>
      <c r="M49" s="17" t="s">
        <v>67</v>
      </c>
      <c r="N49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O49" s="4" t="str">
        <f>_xlfn.LET(_xlpm.raw,               tbl_interfaces[[#This Row],[if_name_raw]],
     _xlpm.cleaned,           LOWER(SUBSTITUTE(CLEAN(TRIM(_xlpm.raw)), " ", "")),
     _xlpm.return,            _xlpm.cleaned,
     _xlpm.return)</f>
        <v>02</v>
      </c>
      <c r="P49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spine01;02</v>
      </c>
      <c r="Q49" s="9" t="str">
        <f t="shared" si="12"/>
        <v>|</v>
      </c>
      <c r="R49" s="4">
        <f>COUNTIFS(tbl_interfaces[manual_state], "active",
          tbl_interfaces[if_id], tbl_interfaces[[#This Row],[if_id]])</f>
        <v>1</v>
      </c>
      <c r="S49" s="4">
        <f>COUNTIF(tbl_interfaces[if_id], tbl_interfaces[[#This Row],[if_id]])</f>
        <v>1</v>
      </c>
    </row>
    <row r="50" spans="3:19" x14ac:dyDescent="0.25">
      <c r="C50" s="6">
        <v>47</v>
      </c>
      <c r="D50" s="7" cm="1">
        <f t="array" ref="D50">ROW() - ROW(tbl_interfaces[#Headers])</f>
        <v>47</v>
      </c>
      <c r="E50" s="15"/>
      <c r="F50" s="3"/>
      <c r="G50" s="6" t="str">
        <f t="shared" si="11"/>
        <v>active</v>
      </c>
      <c r="H50" s="18" t="str" cm="1">
        <f t="array" ref="H50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50" s="18" t="str" cm="1">
        <f t="array" ref="I50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50" s="18" t="str" cm="1">
        <f t="array" ref="J50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50" s="4" t="str">
        <f>tbl_interfaces[[#This Row],[derived_state]]</f>
        <v>ok</v>
      </c>
      <c r="L50" s="2" t="s">
        <v>81</v>
      </c>
      <c r="M50" s="17" t="s">
        <v>68</v>
      </c>
      <c r="N50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O50" s="4" t="str">
        <f>_xlfn.LET(_xlpm.raw,               tbl_interfaces[[#This Row],[if_name_raw]],
     _xlpm.cleaned,           LOWER(SUBSTITUTE(CLEAN(TRIM(_xlpm.raw)), " ", "")),
     _xlpm.return,            _xlpm.cleaned,
     _xlpm.return)</f>
        <v>03</v>
      </c>
      <c r="P50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spine01;03</v>
      </c>
      <c r="Q50" s="9" t="str">
        <f t="shared" si="12"/>
        <v>|</v>
      </c>
      <c r="R50" s="4">
        <f>COUNTIFS(tbl_interfaces[manual_state], "active",
          tbl_interfaces[if_id], tbl_interfaces[[#This Row],[if_id]])</f>
        <v>1</v>
      </c>
      <c r="S50" s="4">
        <f>COUNTIF(tbl_interfaces[if_id], tbl_interfaces[[#This Row],[if_id]])</f>
        <v>1</v>
      </c>
    </row>
    <row r="51" spans="3:19" x14ac:dyDescent="0.25">
      <c r="C51" s="6">
        <v>48</v>
      </c>
      <c r="D51" s="7" cm="1">
        <f t="array" ref="D51">ROW() - ROW(tbl_interfaces[#Headers])</f>
        <v>48</v>
      </c>
      <c r="E51" s="15"/>
      <c r="F51" s="3"/>
      <c r="G51" s="6" t="str">
        <f t="shared" si="11"/>
        <v>active</v>
      </c>
      <c r="H51" s="18" t="str" cm="1">
        <f t="array" ref="H51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51" s="18" t="str" cm="1">
        <f t="array" ref="I5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51" s="18" t="str" cm="1">
        <f t="array" ref="J5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51" s="4" t="str">
        <f>tbl_interfaces[[#This Row],[derived_state]]</f>
        <v>ok</v>
      </c>
      <c r="L51" s="2" t="s">
        <v>81</v>
      </c>
      <c r="M51" s="17" t="s">
        <v>69</v>
      </c>
      <c r="N51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O51" s="4" t="str">
        <f>_xlfn.LET(_xlpm.raw,               tbl_interfaces[[#This Row],[if_name_raw]],
     _xlpm.cleaned,           LOWER(SUBSTITUTE(CLEAN(TRIM(_xlpm.raw)), " ", "")),
     _xlpm.return,            _xlpm.cleaned,
     _xlpm.return)</f>
        <v>04</v>
      </c>
      <c r="P51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spine01;04</v>
      </c>
      <c r="Q51" s="9" t="str">
        <f t="shared" si="12"/>
        <v>|</v>
      </c>
      <c r="R51" s="4">
        <f>COUNTIFS(tbl_interfaces[manual_state], "active",
          tbl_interfaces[if_id], tbl_interfaces[[#This Row],[if_id]])</f>
        <v>1</v>
      </c>
      <c r="S51" s="4">
        <f>COUNTIF(tbl_interfaces[if_id], tbl_interfaces[[#This Row],[if_id]])</f>
        <v>1</v>
      </c>
    </row>
    <row r="52" spans="3:19" x14ac:dyDescent="0.25">
      <c r="C52" s="6">
        <v>49</v>
      </c>
      <c r="D52" s="7" cm="1">
        <f t="array" ref="D52">ROW() - ROW(tbl_interfaces[#Headers])</f>
        <v>49</v>
      </c>
      <c r="E52" s="15"/>
      <c r="F52" s="3"/>
      <c r="G52" s="6" t="str">
        <f t="shared" si="11"/>
        <v>active</v>
      </c>
      <c r="H52" s="18" t="str" cm="1">
        <f t="array" ref="H52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52" s="18" t="str" cm="1">
        <f t="array" ref="I52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52" s="18" t="str" cm="1">
        <f t="array" ref="J52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52" s="4" t="str">
        <f>tbl_interfaces[[#This Row],[derived_state]]</f>
        <v>ok</v>
      </c>
      <c r="L52" s="2" t="s">
        <v>81</v>
      </c>
      <c r="M52" s="17" t="s">
        <v>70</v>
      </c>
      <c r="N52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O52" s="4" t="str">
        <f>_xlfn.LET(_xlpm.raw,               tbl_interfaces[[#This Row],[if_name_raw]],
     _xlpm.cleaned,           LOWER(SUBSTITUTE(CLEAN(TRIM(_xlpm.raw)), " ", "")),
     _xlpm.return,            _xlpm.cleaned,
     _xlpm.return)</f>
        <v>05</v>
      </c>
      <c r="P52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spine01;05</v>
      </c>
      <c r="Q52" s="9" t="str">
        <f t="shared" si="12"/>
        <v>|</v>
      </c>
      <c r="R52" s="4">
        <f>COUNTIFS(tbl_interfaces[manual_state], "active",
          tbl_interfaces[if_id], tbl_interfaces[[#This Row],[if_id]])</f>
        <v>1</v>
      </c>
      <c r="S52" s="4">
        <f>COUNTIF(tbl_interfaces[if_id], tbl_interfaces[[#This Row],[if_id]])</f>
        <v>1</v>
      </c>
    </row>
    <row r="53" spans="3:19" x14ac:dyDescent="0.25">
      <c r="C53" s="6">
        <v>50</v>
      </c>
      <c r="D53" s="7" cm="1">
        <f t="array" ref="D53">ROW() - ROW(tbl_interfaces[#Headers])</f>
        <v>50</v>
      </c>
      <c r="E53" s="15"/>
      <c r="F53" s="3"/>
      <c r="G53" s="6" t="str">
        <f t="shared" si="11"/>
        <v>active</v>
      </c>
      <c r="H53" s="18" t="str" cm="1">
        <f t="array" ref="H53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53" s="18" t="str" cm="1">
        <f t="array" ref="I53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53" s="18" t="str" cm="1">
        <f t="array" ref="J53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53" s="4" t="str">
        <f>tbl_interfaces[[#This Row],[derived_state]]</f>
        <v>ok</v>
      </c>
      <c r="L53" s="2" t="s">
        <v>81</v>
      </c>
      <c r="M53" s="17" t="s">
        <v>71</v>
      </c>
      <c r="N53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O53" s="4" t="str">
        <f>_xlfn.LET(_xlpm.raw,               tbl_interfaces[[#This Row],[if_name_raw]],
     _xlpm.cleaned,           LOWER(SUBSTITUTE(CLEAN(TRIM(_xlpm.raw)), " ", "")),
     _xlpm.return,            _xlpm.cleaned,
     _xlpm.return)</f>
        <v>06</v>
      </c>
      <c r="P53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spine01;06</v>
      </c>
      <c r="Q53" s="9" t="str">
        <f t="shared" si="12"/>
        <v>|</v>
      </c>
      <c r="R53" s="4">
        <f>COUNTIFS(tbl_interfaces[manual_state], "active",
          tbl_interfaces[if_id], tbl_interfaces[[#This Row],[if_id]])</f>
        <v>1</v>
      </c>
      <c r="S53" s="4">
        <f>COUNTIF(tbl_interfaces[if_id], tbl_interfaces[[#This Row],[if_id]])</f>
        <v>1</v>
      </c>
    </row>
    <row r="54" spans="3:19" x14ac:dyDescent="0.25">
      <c r="C54" s="6">
        <v>51</v>
      </c>
      <c r="D54" s="7" cm="1">
        <f t="array" ref="D54">ROW() - ROW(tbl_interfaces[#Headers])</f>
        <v>51</v>
      </c>
      <c r="E54" s="15"/>
      <c r="F54" s="3"/>
      <c r="G54" s="6" t="str">
        <f t="shared" si="11"/>
        <v>active</v>
      </c>
      <c r="H54" s="18" t="str" cm="1">
        <f t="array" ref="H5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54" s="18" t="str" cm="1">
        <f t="array" ref="I5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54" s="18" t="str" cm="1">
        <f t="array" ref="J5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54" s="4" t="str">
        <f>tbl_interfaces[[#This Row],[derived_state]]</f>
        <v>ok</v>
      </c>
      <c r="L54" s="2" t="s">
        <v>81</v>
      </c>
      <c r="M54" s="17" t="s">
        <v>72</v>
      </c>
      <c r="N54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O54" s="4" t="str">
        <f>_xlfn.LET(_xlpm.raw,               tbl_interfaces[[#This Row],[if_name_raw]],
     _xlpm.cleaned,           LOWER(SUBSTITUTE(CLEAN(TRIM(_xlpm.raw)), " ", "")),
     _xlpm.return,            _xlpm.cleaned,
     _xlpm.return)</f>
        <v>07</v>
      </c>
      <c r="P54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spine01;07</v>
      </c>
      <c r="Q54" s="9" t="str">
        <f t="shared" si="12"/>
        <v>|</v>
      </c>
      <c r="R54" s="4">
        <f>COUNTIFS(tbl_interfaces[manual_state], "active",
          tbl_interfaces[if_id], tbl_interfaces[[#This Row],[if_id]])</f>
        <v>1</v>
      </c>
      <c r="S54" s="4">
        <f>COUNTIF(tbl_interfaces[if_id], tbl_interfaces[[#This Row],[if_id]])</f>
        <v>1</v>
      </c>
    </row>
    <row r="55" spans="3:19" x14ac:dyDescent="0.25">
      <c r="C55" s="6">
        <v>52</v>
      </c>
      <c r="D55" s="7" cm="1">
        <f t="array" ref="D55">ROW() - ROW(tbl_interfaces[#Headers])</f>
        <v>52</v>
      </c>
      <c r="E55" s="15"/>
      <c r="F55" s="3"/>
      <c r="G55" s="6" t="str">
        <f t="shared" si="11"/>
        <v>active</v>
      </c>
      <c r="H55" s="18" t="str" cm="1">
        <f t="array" ref="H5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55" s="18" t="str" cm="1">
        <f t="array" ref="I5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55" s="18" t="str" cm="1">
        <f t="array" ref="J5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55" s="4" t="str">
        <f>tbl_interfaces[[#This Row],[derived_state]]</f>
        <v>ok</v>
      </c>
      <c r="L55" s="2" t="s">
        <v>81</v>
      </c>
      <c r="M55" s="17" t="s">
        <v>73</v>
      </c>
      <c r="N55" s="4" t="str">
        <f>_xlfn.LET(_xlpm.raw,               tbl_interfaces[[#This Row],[device_handle_raw]],
     _xlpm.cleaned,           LOWER(SUBSTITUTE(CLEAN(TRIM(_xlpm.raw)), " ", "")),
     _xlpm.return,            _xlpm.cleaned,
     _xlpm.return)</f>
        <v>spine01</v>
      </c>
      <c r="O55" s="4" t="str">
        <f>_xlfn.LET(_xlpm.raw,               tbl_interfaces[[#This Row],[if_name_raw]],
     _xlpm.cleaned,           LOWER(SUBSTITUTE(CLEAN(TRIM(_xlpm.raw)), " ", "")),
     _xlpm.return,            _xlpm.cleaned,
     _xlpm.return)</f>
        <v>08</v>
      </c>
      <c r="P5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spine01;08</v>
      </c>
      <c r="Q55" s="9" t="str">
        <f t="shared" si="12"/>
        <v>|</v>
      </c>
      <c r="R55" s="4">
        <f>COUNTIFS(tbl_interfaces[manual_state], "active",
          tbl_interfaces[if_id], tbl_interfaces[[#This Row],[if_id]])</f>
        <v>1</v>
      </c>
      <c r="S55" s="4">
        <f>COUNTIF(tbl_interfaces[if_id], tbl_interfaces[[#This Row],[if_id]])</f>
        <v>1</v>
      </c>
    </row>
    <row r="56" spans="3:19" x14ac:dyDescent="0.25">
      <c r="C56" s="6">
        <v>53</v>
      </c>
      <c r="D56" s="7" cm="1">
        <f t="array" ref="D56">ROW() - ROW(tbl_interfaces[#Headers])</f>
        <v>53</v>
      </c>
      <c r="E56" s="15"/>
      <c r="F56" s="15"/>
      <c r="G56" s="6" t="str">
        <f t="shared" ref="G56:G65" si="13">"active"</f>
        <v>active</v>
      </c>
      <c r="H56" s="8" t="str" cm="1">
        <f t="array" ref="H5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56" s="8" t="str" cm="1">
        <f t="array" ref="I5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56" s="8" t="str" cm="1">
        <f t="array" ref="J5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56" s="7" t="str">
        <f>tbl_interfaces[[#This Row],[derived_state]]</f>
        <v>ok</v>
      </c>
      <c r="L56" s="2" t="s">
        <v>82</v>
      </c>
      <c r="M56" s="6" t="s">
        <v>37</v>
      </c>
      <c r="N56" s="7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O56" s="7" t="str">
        <f>_xlfn.LET(_xlpm.raw,               tbl_interfaces[[#This Row],[if_name_raw]],
     _xlpm.cleaned,           LOWER(SUBSTITUTE(CLEAN(TRIM(_xlpm.raw)), " ", "")),
     _xlpm.return,            _xlpm.cleaned,
     _xlpm.return)</f>
        <v>console</v>
      </c>
      <c r="P5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spine02;console</v>
      </c>
      <c r="Q56" s="16" t="str">
        <f t="shared" ref="Q56:Q65" si="14">"|"</f>
        <v>|</v>
      </c>
      <c r="R56" s="7">
        <f>COUNTIFS(tbl_interfaces[manual_state], "active",
          tbl_interfaces[if_id], tbl_interfaces[[#This Row],[if_id]])</f>
        <v>1</v>
      </c>
      <c r="S56" s="7">
        <f>COUNTIF(tbl_interfaces[if_id], tbl_interfaces[[#This Row],[if_id]])</f>
        <v>1</v>
      </c>
    </row>
    <row r="57" spans="3:19" x14ac:dyDescent="0.25">
      <c r="C57" s="6">
        <v>54</v>
      </c>
      <c r="D57" s="7" cm="1">
        <f t="array" ref="D57">ROW() - ROW(tbl_interfaces[#Headers])</f>
        <v>54</v>
      </c>
      <c r="E57" s="15"/>
      <c r="F57" s="3"/>
      <c r="G57" s="6" t="str">
        <f t="shared" si="13"/>
        <v>active</v>
      </c>
      <c r="H57" s="18" t="str" cm="1">
        <f t="array" ref="H57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57" s="18" t="str" cm="1">
        <f t="array" ref="I57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57" s="18" t="str" cm="1">
        <f t="array" ref="J57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57" s="4" t="str">
        <f>tbl_interfaces[[#This Row],[derived_state]]</f>
        <v>ok</v>
      </c>
      <c r="L57" s="2" t="s">
        <v>82</v>
      </c>
      <c r="M57" s="6" t="s">
        <v>66</v>
      </c>
      <c r="N57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O57" s="4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P57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spine02;mgmt</v>
      </c>
      <c r="Q57" s="9" t="str">
        <f t="shared" si="14"/>
        <v>|</v>
      </c>
      <c r="R57" s="4">
        <f>COUNTIFS(tbl_interfaces[manual_state], "active",
          tbl_interfaces[if_id], tbl_interfaces[[#This Row],[if_id]])</f>
        <v>1</v>
      </c>
      <c r="S57" s="4">
        <f>COUNTIF(tbl_interfaces[if_id], tbl_interfaces[[#This Row],[if_id]])</f>
        <v>1</v>
      </c>
    </row>
    <row r="58" spans="3:19" x14ac:dyDescent="0.25">
      <c r="C58" s="6">
        <v>55</v>
      </c>
      <c r="D58" s="7" cm="1">
        <f t="array" ref="D58">ROW() - ROW(tbl_interfaces[#Headers])</f>
        <v>55</v>
      </c>
      <c r="E58" s="15"/>
      <c r="F58" s="3"/>
      <c r="G58" s="6" t="str">
        <f t="shared" si="13"/>
        <v>active</v>
      </c>
      <c r="H58" s="18" t="str" cm="1">
        <f t="array" ref="H58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58" s="18" t="str" cm="1">
        <f t="array" ref="I58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58" s="18" t="str" cm="1">
        <f t="array" ref="J58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58" s="4" t="str">
        <f>tbl_interfaces[[#This Row],[derived_state]]</f>
        <v>ok</v>
      </c>
      <c r="L58" s="2" t="s">
        <v>82</v>
      </c>
      <c r="M58" s="17" t="s">
        <v>61</v>
      </c>
      <c r="N58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O58" s="4" t="str">
        <f>_xlfn.LET(_xlpm.raw,               tbl_interfaces[[#This Row],[if_name_raw]],
     _xlpm.cleaned,           LOWER(SUBSTITUTE(CLEAN(TRIM(_xlpm.raw)), " ", "")),
     _xlpm.return,            _xlpm.cleaned,
     _xlpm.return)</f>
        <v>01</v>
      </c>
      <c r="P58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spine02;01</v>
      </c>
      <c r="Q58" s="9" t="str">
        <f t="shared" si="14"/>
        <v>|</v>
      </c>
      <c r="R58" s="4">
        <f>COUNTIFS(tbl_interfaces[manual_state], "active",
          tbl_interfaces[if_id], tbl_interfaces[[#This Row],[if_id]])</f>
        <v>1</v>
      </c>
      <c r="S58" s="4">
        <f>COUNTIF(tbl_interfaces[if_id], tbl_interfaces[[#This Row],[if_id]])</f>
        <v>1</v>
      </c>
    </row>
    <row r="59" spans="3:19" x14ac:dyDescent="0.25">
      <c r="C59" s="6">
        <v>56</v>
      </c>
      <c r="D59" s="7" cm="1">
        <f t="array" ref="D59">ROW() - ROW(tbl_interfaces[#Headers])</f>
        <v>56</v>
      </c>
      <c r="E59" s="15"/>
      <c r="F59" s="3"/>
      <c r="G59" s="6" t="str">
        <f t="shared" si="13"/>
        <v>active</v>
      </c>
      <c r="H59" s="18" t="str" cm="1">
        <f t="array" ref="H59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59" s="18" t="str" cm="1">
        <f t="array" ref="I59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59" s="18" t="str" cm="1">
        <f t="array" ref="J59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59" s="4" t="str">
        <f>tbl_interfaces[[#This Row],[derived_state]]</f>
        <v>ok</v>
      </c>
      <c r="L59" s="2" t="s">
        <v>82</v>
      </c>
      <c r="M59" s="17" t="s">
        <v>67</v>
      </c>
      <c r="N59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O59" s="4" t="str">
        <f>_xlfn.LET(_xlpm.raw,               tbl_interfaces[[#This Row],[if_name_raw]],
     _xlpm.cleaned,           LOWER(SUBSTITUTE(CLEAN(TRIM(_xlpm.raw)), " ", "")),
     _xlpm.return,            _xlpm.cleaned,
     _xlpm.return)</f>
        <v>02</v>
      </c>
      <c r="P59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spine02;02</v>
      </c>
      <c r="Q59" s="9" t="str">
        <f t="shared" si="14"/>
        <v>|</v>
      </c>
      <c r="R59" s="4">
        <f>COUNTIFS(tbl_interfaces[manual_state], "active",
          tbl_interfaces[if_id], tbl_interfaces[[#This Row],[if_id]])</f>
        <v>1</v>
      </c>
      <c r="S59" s="4">
        <f>COUNTIF(tbl_interfaces[if_id], tbl_interfaces[[#This Row],[if_id]])</f>
        <v>1</v>
      </c>
    </row>
    <row r="60" spans="3:19" x14ac:dyDescent="0.25">
      <c r="C60" s="6">
        <v>57</v>
      </c>
      <c r="D60" s="7" cm="1">
        <f t="array" ref="D60">ROW() - ROW(tbl_interfaces[#Headers])</f>
        <v>57</v>
      </c>
      <c r="E60" s="15"/>
      <c r="F60" s="3"/>
      <c r="G60" s="6" t="str">
        <f t="shared" si="13"/>
        <v>active</v>
      </c>
      <c r="H60" s="18" t="str" cm="1">
        <f t="array" ref="H60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60" s="18" t="str" cm="1">
        <f t="array" ref="I60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60" s="18" t="str" cm="1">
        <f t="array" ref="J60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60" s="4" t="str">
        <f>tbl_interfaces[[#This Row],[derived_state]]</f>
        <v>ok</v>
      </c>
      <c r="L60" s="2" t="s">
        <v>82</v>
      </c>
      <c r="M60" s="17" t="s">
        <v>68</v>
      </c>
      <c r="N60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O60" s="4" t="str">
        <f>_xlfn.LET(_xlpm.raw,               tbl_interfaces[[#This Row],[if_name_raw]],
     _xlpm.cleaned,           LOWER(SUBSTITUTE(CLEAN(TRIM(_xlpm.raw)), " ", "")),
     _xlpm.return,            _xlpm.cleaned,
     _xlpm.return)</f>
        <v>03</v>
      </c>
      <c r="P60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spine02;03</v>
      </c>
      <c r="Q60" s="9" t="str">
        <f t="shared" si="14"/>
        <v>|</v>
      </c>
      <c r="R60" s="4">
        <f>COUNTIFS(tbl_interfaces[manual_state], "active",
          tbl_interfaces[if_id], tbl_interfaces[[#This Row],[if_id]])</f>
        <v>1</v>
      </c>
      <c r="S60" s="4">
        <f>COUNTIF(tbl_interfaces[if_id], tbl_interfaces[[#This Row],[if_id]])</f>
        <v>1</v>
      </c>
    </row>
    <row r="61" spans="3:19" x14ac:dyDescent="0.25">
      <c r="C61" s="6">
        <v>58</v>
      </c>
      <c r="D61" s="7" cm="1">
        <f t="array" ref="D61">ROW() - ROW(tbl_interfaces[#Headers])</f>
        <v>58</v>
      </c>
      <c r="E61" s="15"/>
      <c r="F61" s="3"/>
      <c r="G61" s="6" t="str">
        <f t="shared" si="13"/>
        <v>active</v>
      </c>
      <c r="H61" s="18" t="str" cm="1">
        <f t="array" ref="H61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61" s="18" t="str" cm="1">
        <f t="array" ref="I6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61" s="18" t="str" cm="1">
        <f t="array" ref="J6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61" s="4" t="str">
        <f>tbl_interfaces[[#This Row],[derived_state]]</f>
        <v>ok</v>
      </c>
      <c r="L61" s="2" t="s">
        <v>82</v>
      </c>
      <c r="M61" s="17" t="s">
        <v>69</v>
      </c>
      <c r="N61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O61" s="4" t="str">
        <f>_xlfn.LET(_xlpm.raw,               tbl_interfaces[[#This Row],[if_name_raw]],
     _xlpm.cleaned,           LOWER(SUBSTITUTE(CLEAN(TRIM(_xlpm.raw)), " ", "")),
     _xlpm.return,            _xlpm.cleaned,
     _xlpm.return)</f>
        <v>04</v>
      </c>
      <c r="P61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spine02;04</v>
      </c>
      <c r="Q61" s="9" t="str">
        <f t="shared" si="14"/>
        <v>|</v>
      </c>
      <c r="R61" s="4">
        <f>COUNTIFS(tbl_interfaces[manual_state], "active",
          tbl_interfaces[if_id], tbl_interfaces[[#This Row],[if_id]])</f>
        <v>1</v>
      </c>
      <c r="S61" s="4">
        <f>COUNTIF(tbl_interfaces[if_id], tbl_interfaces[[#This Row],[if_id]])</f>
        <v>1</v>
      </c>
    </row>
    <row r="62" spans="3:19" x14ac:dyDescent="0.25">
      <c r="C62" s="6">
        <v>59</v>
      </c>
      <c r="D62" s="7" cm="1">
        <f t="array" ref="D62">ROW() - ROW(tbl_interfaces[#Headers])</f>
        <v>59</v>
      </c>
      <c r="E62" s="15"/>
      <c r="F62" s="3"/>
      <c r="G62" s="6" t="str">
        <f t="shared" si="13"/>
        <v>active</v>
      </c>
      <c r="H62" s="18" t="str" cm="1">
        <f t="array" ref="H62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62" s="18" t="str" cm="1">
        <f t="array" ref="I62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62" s="18" t="str" cm="1">
        <f t="array" ref="J62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62" s="4" t="str">
        <f>tbl_interfaces[[#This Row],[derived_state]]</f>
        <v>ok</v>
      </c>
      <c r="L62" s="2" t="s">
        <v>82</v>
      </c>
      <c r="M62" s="17" t="s">
        <v>70</v>
      </c>
      <c r="N62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O62" s="4" t="str">
        <f>_xlfn.LET(_xlpm.raw,               tbl_interfaces[[#This Row],[if_name_raw]],
     _xlpm.cleaned,           LOWER(SUBSTITUTE(CLEAN(TRIM(_xlpm.raw)), " ", "")),
     _xlpm.return,            _xlpm.cleaned,
     _xlpm.return)</f>
        <v>05</v>
      </c>
      <c r="P62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spine02;05</v>
      </c>
      <c r="Q62" s="9" t="str">
        <f t="shared" si="14"/>
        <v>|</v>
      </c>
      <c r="R62" s="4">
        <f>COUNTIFS(tbl_interfaces[manual_state], "active",
          tbl_interfaces[if_id], tbl_interfaces[[#This Row],[if_id]])</f>
        <v>1</v>
      </c>
      <c r="S62" s="4">
        <f>COUNTIF(tbl_interfaces[if_id], tbl_interfaces[[#This Row],[if_id]])</f>
        <v>1</v>
      </c>
    </row>
    <row r="63" spans="3:19" x14ac:dyDescent="0.25">
      <c r="C63" s="6">
        <v>60</v>
      </c>
      <c r="D63" s="7" cm="1">
        <f t="array" ref="D63">ROW() - ROW(tbl_interfaces[#Headers])</f>
        <v>60</v>
      </c>
      <c r="E63" s="15"/>
      <c r="F63" s="3"/>
      <c r="G63" s="6" t="str">
        <f t="shared" si="13"/>
        <v>active</v>
      </c>
      <c r="H63" s="18" t="str" cm="1">
        <f t="array" ref="H63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63" s="18" t="str" cm="1">
        <f t="array" ref="I63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63" s="18" t="str" cm="1">
        <f t="array" ref="J63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63" s="4" t="str">
        <f>tbl_interfaces[[#This Row],[derived_state]]</f>
        <v>ok</v>
      </c>
      <c r="L63" s="2" t="s">
        <v>82</v>
      </c>
      <c r="M63" s="17" t="s">
        <v>71</v>
      </c>
      <c r="N63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O63" s="4" t="str">
        <f>_xlfn.LET(_xlpm.raw,               tbl_interfaces[[#This Row],[if_name_raw]],
     _xlpm.cleaned,           LOWER(SUBSTITUTE(CLEAN(TRIM(_xlpm.raw)), " ", "")),
     _xlpm.return,            _xlpm.cleaned,
     _xlpm.return)</f>
        <v>06</v>
      </c>
      <c r="P63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spine02;06</v>
      </c>
      <c r="Q63" s="9" t="str">
        <f t="shared" si="14"/>
        <v>|</v>
      </c>
      <c r="R63" s="4">
        <f>COUNTIFS(tbl_interfaces[manual_state], "active",
          tbl_interfaces[if_id], tbl_interfaces[[#This Row],[if_id]])</f>
        <v>1</v>
      </c>
      <c r="S63" s="4">
        <f>COUNTIF(tbl_interfaces[if_id], tbl_interfaces[[#This Row],[if_id]])</f>
        <v>1</v>
      </c>
    </row>
    <row r="64" spans="3:19" x14ac:dyDescent="0.25">
      <c r="C64" s="6">
        <v>61</v>
      </c>
      <c r="D64" s="7" cm="1">
        <f t="array" ref="D64">ROW() - ROW(tbl_interfaces[#Headers])</f>
        <v>61</v>
      </c>
      <c r="E64" s="15"/>
      <c r="F64" s="3"/>
      <c r="G64" s="6" t="str">
        <f t="shared" si="13"/>
        <v>active</v>
      </c>
      <c r="H64" s="18" t="str" cm="1">
        <f t="array" ref="H6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64" s="18" t="str" cm="1">
        <f t="array" ref="I6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64" s="18" t="str" cm="1">
        <f t="array" ref="J6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64" s="4" t="str">
        <f>tbl_interfaces[[#This Row],[derived_state]]</f>
        <v>ok</v>
      </c>
      <c r="L64" s="2" t="s">
        <v>82</v>
      </c>
      <c r="M64" s="17" t="s">
        <v>72</v>
      </c>
      <c r="N64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O64" s="4" t="str">
        <f>_xlfn.LET(_xlpm.raw,               tbl_interfaces[[#This Row],[if_name_raw]],
     _xlpm.cleaned,           LOWER(SUBSTITUTE(CLEAN(TRIM(_xlpm.raw)), " ", "")),
     _xlpm.return,            _xlpm.cleaned,
     _xlpm.return)</f>
        <v>07</v>
      </c>
      <c r="P64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spine02;07</v>
      </c>
      <c r="Q64" s="9" t="str">
        <f t="shared" si="14"/>
        <v>|</v>
      </c>
      <c r="R64" s="4">
        <f>COUNTIFS(tbl_interfaces[manual_state], "active",
          tbl_interfaces[if_id], tbl_interfaces[[#This Row],[if_id]])</f>
        <v>1</v>
      </c>
      <c r="S64" s="4">
        <f>COUNTIF(tbl_interfaces[if_id], tbl_interfaces[[#This Row],[if_id]])</f>
        <v>1</v>
      </c>
    </row>
    <row r="65" spans="3:19" x14ac:dyDescent="0.25">
      <c r="C65" s="6">
        <v>62</v>
      </c>
      <c r="D65" s="7" cm="1">
        <f t="array" ref="D65">ROW() - ROW(tbl_interfaces[#Headers])</f>
        <v>62</v>
      </c>
      <c r="E65" s="15"/>
      <c r="F65" s="3"/>
      <c r="G65" s="6" t="str">
        <f t="shared" si="13"/>
        <v>active</v>
      </c>
      <c r="H65" s="18" t="str" cm="1">
        <f t="array" ref="H6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65" s="18" t="str" cm="1">
        <f t="array" ref="I6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65" s="18" t="str" cm="1">
        <f t="array" ref="J6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65" s="4" t="str">
        <f>tbl_interfaces[[#This Row],[derived_state]]</f>
        <v>ok</v>
      </c>
      <c r="L65" s="2" t="s">
        <v>82</v>
      </c>
      <c r="M65" s="17" t="s">
        <v>73</v>
      </c>
      <c r="N65" s="4" t="str">
        <f>_xlfn.LET(_xlpm.raw,               tbl_interfaces[[#This Row],[device_handle_raw]],
     _xlpm.cleaned,           LOWER(SUBSTITUTE(CLEAN(TRIM(_xlpm.raw)), " ", "")),
     _xlpm.return,            _xlpm.cleaned,
     _xlpm.return)</f>
        <v>spine02</v>
      </c>
      <c r="O65" s="4" t="str">
        <f>_xlfn.LET(_xlpm.raw,               tbl_interfaces[[#This Row],[if_name_raw]],
     _xlpm.cleaned,           LOWER(SUBSTITUTE(CLEAN(TRIM(_xlpm.raw)), " ", "")),
     _xlpm.return,            _xlpm.cleaned,
     _xlpm.return)</f>
        <v>08</v>
      </c>
      <c r="P6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spine02;08</v>
      </c>
      <c r="Q65" s="9" t="str">
        <f t="shared" si="14"/>
        <v>|</v>
      </c>
      <c r="R65" s="4">
        <f>COUNTIFS(tbl_interfaces[manual_state], "active",
          tbl_interfaces[if_id], tbl_interfaces[[#This Row],[if_id]])</f>
        <v>1</v>
      </c>
      <c r="S65" s="4">
        <f>COUNTIF(tbl_interfaces[if_id], tbl_interfaces[[#This Row],[if_id]])</f>
        <v>1</v>
      </c>
    </row>
    <row r="66" spans="3:19" x14ac:dyDescent="0.25">
      <c r="C66" s="6">
        <v>63</v>
      </c>
      <c r="D66" s="7" cm="1">
        <f t="array" ref="D66">ROW() - ROW(tbl_interfaces[#Headers])</f>
        <v>63</v>
      </c>
      <c r="E66" s="15"/>
      <c r="F66" s="15"/>
      <c r="G66" s="6" t="str">
        <f t="shared" ref="G66:G75" si="15">"active"</f>
        <v>active</v>
      </c>
      <c r="H66" s="8" t="str" cm="1">
        <f t="array" ref="H6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66" s="8" t="str" cm="1">
        <f t="array" ref="I6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66" s="8" t="str" cm="1">
        <f t="array" ref="J6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66" s="7" t="str">
        <f>tbl_interfaces[[#This Row],[derived_state]]</f>
        <v>ok</v>
      </c>
      <c r="L66" s="2" t="s">
        <v>83</v>
      </c>
      <c r="M66" s="6" t="s">
        <v>37</v>
      </c>
      <c r="N66" s="7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O66" s="7" t="str">
        <f>_xlfn.LET(_xlpm.raw,               tbl_interfaces[[#This Row],[if_name_raw]],
     _xlpm.cleaned,           LOWER(SUBSTITUTE(CLEAN(TRIM(_xlpm.raw)), " ", "")),
     _xlpm.return,            _xlpm.cleaned,
     _xlpm.return)</f>
        <v>console</v>
      </c>
      <c r="P6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mgmtsw01;console</v>
      </c>
      <c r="Q66" s="16" t="str">
        <f t="shared" ref="Q66:Q75" si="16">"|"</f>
        <v>|</v>
      </c>
      <c r="R66" s="7">
        <f>COUNTIFS(tbl_interfaces[manual_state], "active",
          tbl_interfaces[if_id], tbl_interfaces[[#This Row],[if_id]])</f>
        <v>1</v>
      </c>
      <c r="S66" s="7">
        <f>COUNTIF(tbl_interfaces[if_id], tbl_interfaces[[#This Row],[if_id]])</f>
        <v>1</v>
      </c>
    </row>
    <row r="67" spans="3:19" x14ac:dyDescent="0.25">
      <c r="C67" s="6">
        <v>64</v>
      </c>
      <c r="D67" s="7" cm="1">
        <f t="array" ref="D67">ROW() - ROW(tbl_interfaces[#Headers])</f>
        <v>64</v>
      </c>
      <c r="E67" s="15"/>
      <c r="F67" s="3"/>
      <c r="G67" s="6" t="str">
        <f t="shared" si="15"/>
        <v>active</v>
      </c>
      <c r="H67" s="18" t="str" cm="1">
        <f t="array" ref="H67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67" s="18" t="str" cm="1">
        <f t="array" ref="I67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67" s="18" t="str" cm="1">
        <f t="array" ref="J67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67" s="4" t="str">
        <f>tbl_interfaces[[#This Row],[derived_state]]</f>
        <v>ok</v>
      </c>
      <c r="L67" s="2" t="s">
        <v>83</v>
      </c>
      <c r="M67" s="6" t="s">
        <v>66</v>
      </c>
      <c r="N67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O67" s="4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P67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mgmtsw01;mgmt</v>
      </c>
      <c r="Q67" s="9" t="str">
        <f t="shared" si="16"/>
        <v>|</v>
      </c>
      <c r="R67" s="4">
        <f>COUNTIFS(tbl_interfaces[manual_state], "active",
          tbl_interfaces[if_id], tbl_interfaces[[#This Row],[if_id]])</f>
        <v>1</v>
      </c>
      <c r="S67" s="4">
        <f>COUNTIF(tbl_interfaces[if_id], tbl_interfaces[[#This Row],[if_id]])</f>
        <v>1</v>
      </c>
    </row>
    <row r="68" spans="3:19" x14ac:dyDescent="0.25">
      <c r="C68" s="6">
        <v>65</v>
      </c>
      <c r="D68" s="7" cm="1">
        <f t="array" ref="D68">ROW() - ROW(tbl_interfaces[#Headers])</f>
        <v>65</v>
      </c>
      <c r="E68" s="15"/>
      <c r="F68" s="3"/>
      <c r="G68" s="6" t="str">
        <f t="shared" si="15"/>
        <v>active</v>
      </c>
      <c r="H68" s="18" t="str" cm="1">
        <f t="array" ref="H68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68" s="18" t="str" cm="1">
        <f t="array" ref="I68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68" s="18" t="str" cm="1">
        <f t="array" ref="J68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68" s="4" t="str">
        <f>tbl_interfaces[[#This Row],[derived_state]]</f>
        <v>ok</v>
      </c>
      <c r="L68" s="2" t="s">
        <v>83</v>
      </c>
      <c r="M68" s="17" t="s">
        <v>61</v>
      </c>
      <c r="N68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O68" s="4" t="str">
        <f>_xlfn.LET(_xlpm.raw,               tbl_interfaces[[#This Row],[if_name_raw]],
     _xlpm.cleaned,           LOWER(SUBSTITUTE(CLEAN(TRIM(_xlpm.raw)), " ", "")),
     _xlpm.return,            _xlpm.cleaned,
     _xlpm.return)</f>
        <v>01</v>
      </c>
      <c r="P68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mgmtsw01;01</v>
      </c>
      <c r="Q68" s="9" t="str">
        <f t="shared" si="16"/>
        <v>|</v>
      </c>
      <c r="R68" s="4">
        <f>COUNTIFS(tbl_interfaces[manual_state], "active",
          tbl_interfaces[if_id], tbl_interfaces[[#This Row],[if_id]])</f>
        <v>1</v>
      </c>
      <c r="S68" s="4">
        <f>COUNTIF(tbl_interfaces[if_id], tbl_interfaces[[#This Row],[if_id]])</f>
        <v>1</v>
      </c>
    </row>
    <row r="69" spans="3:19" x14ac:dyDescent="0.25">
      <c r="C69" s="6">
        <v>66</v>
      </c>
      <c r="D69" s="7" cm="1">
        <f t="array" ref="D69">ROW() - ROW(tbl_interfaces[#Headers])</f>
        <v>66</v>
      </c>
      <c r="E69" s="15"/>
      <c r="F69" s="3"/>
      <c r="G69" s="6" t="str">
        <f t="shared" si="15"/>
        <v>active</v>
      </c>
      <c r="H69" s="18" t="str" cm="1">
        <f t="array" ref="H69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69" s="18" t="str" cm="1">
        <f t="array" ref="I69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69" s="18" t="str" cm="1">
        <f t="array" ref="J69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69" s="4" t="str">
        <f>tbl_interfaces[[#This Row],[derived_state]]</f>
        <v>ok</v>
      </c>
      <c r="L69" s="2" t="s">
        <v>83</v>
      </c>
      <c r="M69" s="17" t="s">
        <v>67</v>
      </c>
      <c r="N69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O69" s="4" t="str">
        <f>_xlfn.LET(_xlpm.raw,               tbl_interfaces[[#This Row],[if_name_raw]],
     _xlpm.cleaned,           LOWER(SUBSTITUTE(CLEAN(TRIM(_xlpm.raw)), " ", "")),
     _xlpm.return,            _xlpm.cleaned,
     _xlpm.return)</f>
        <v>02</v>
      </c>
      <c r="P69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mgmtsw01;02</v>
      </c>
      <c r="Q69" s="9" t="str">
        <f t="shared" si="16"/>
        <v>|</v>
      </c>
      <c r="R69" s="4">
        <f>COUNTIFS(tbl_interfaces[manual_state], "active",
          tbl_interfaces[if_id], tbl_interfaces[[#This Row],[if_id]])</f>
        <v>1</v>
      </c>
      <c r="S69" s="4">
        <f>COUNTIF(tbl_interfaces[if_id], tbl_interfaces[[#This Row],[if_id]])</f>
        <v>1</v>
      </c>
    </row>
    <row r="70" spans="3:19" x14ac:dyDescent="0.25">
      <c r="C70" s="6">
        <v>67</v>
      </c>
      <c r="D70" s="7" cm="1">
        <f t="array" ref="D70">ROW() - ROW(tbl_interfaces[#Headers])</f>
        <v>67</v>
      </c>
      <c r="E70" s="15"/>
      <c r="F70" s="3"/>
      <c r="G70" s="6" t="str">
        <f t="shared" si="15"/>
        <v>active</v>
      </c>
      <c r="H70" s="18" t="str" cm="1">
        <f t="array" ref="H70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70" s="18" t="str" cm="1">
        <f t="array" ref="I70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70" s="18" t="str" cm="1">
        <f t="array" ref="J70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70" s="4" t="str">
        <f>tbl_interfaces[[#This Row],[derived_state]]</f>
        <v>ok</v>
      </c>
      <c r="L70" s="2" t="s">
        <v>83</v>
      </c>
      <c r="M70" s="17" t="s">
        <v>68</v>
      </c>
      <c r="N70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O70" s="4" t="str">
        <f>_xlfn.LET(_xlpm.raw,               tbl_interfaces[[#This Row],[if_name_raw]],
     _xlpm.cleaned,           LOWER(SUBSTITUTE(CLEAN(TRIM(_xlpm.raw)), " ", "")),
     _xlpm.return,            _xlpm.cleaned,
     _xlpm.return)</f>
        <v>03</v>
      </c>
      <c r="P70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mgmtsw01;03</v>
      </c>
      <c r="Q70" s="9" t="str">
        <f t="shared" si="16"/>
        <v>|</v>
      </c>
      <c r="R70" s="4">
        <f>COUNTIFS(tbl_interfaces[manual_state], "active",
          tbl_interfaces[if_id], tbl_interfaces[[#This Row],[if_id]])</f>
        <v>1</v>
      </c>
      <c r="S70" s="4">
        <f>COUNTIF(tbl_interfaces[if_id], tbl_interfaces[[#This Row],[if_id]])</f>
        <v>1</v>
      </c>
    </row>
    <row r="71" spans="3:19" x14ac:dyDescent="0.25">
      <c r="C71" s="6">
        <v>68</v>
      </c>
      <c r="D71" s="7" cm="1">
        <f t="array" ref="D71">ROW() - ROW(tbl_interfaces[#Headers])</f>
        <v>68</v>
      </c>
      <c r="E71" s="15"/>
      <c r="F71" s="3"/>
      <c r="G71" s="6" t="str">
        <f t="shared" si="15"/>
        <v>active</v>
      </c>
      <c r="H71" s="18" t="str" cm="1">
        <f t="array" ref="H71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71" s="18" t="str" cm="1">
        <f t="array" ref="I71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71" s="18" t="str" cm="1">
        <f t="array" ref="J71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71" s="4" t="str">
        <f>tbl_interfaces[[#This Row],[derived_state]]</f>
        <v>ok</v>
      </c>
      <c r="L71" s="2" t="s">
        <v>83</v>
      </c>
      <c r="M71" s="17" t="s">
        <v>69</v>
      </c>
      <c r="N71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O71" s="4" t="str">
        <f>_xlfn.LET(_xlpm.raw,               tbl_interfaces[[#This Row],[if_name_raw]],
     _xlpm.cleaned,           LOWER(SUBSTITUTE(CLEAN(TRIM(_xlpm.raw)), " ", "")),
     _xlpm.return,            _xlpm.cleaned,
     _xlpm.return)</f>
        <v>04</v>
      </c>
      <c r="P71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mgmtsw01;04</v>
      </c>
      <c r="Q71" s="9" t="str">
        <f t="shared" si="16"/>
        <v>|</v>
      </c>
      <c r="R71" s="4">
        <f>COUNTIFS(tbl_interfaces[manual_state], "active",
          tbl_interfaces[if_id], tbl_interfaces[[#This Row],[if_id]])</f>
        <v>1</v>
      </c>
      <c r="S71" s="4">
        <f>COUNTIF(tbl_interfaces[if_id], tbl_interfaces[[#This Row],[if_id]])</f>
        <v>1</v>
      </c>
    </row>
    <row r="72" spans="3:19" x14ac:dyDescent="0.25">
      <c r="C72" s="6">
        <v>69</v>
      </c>
      <c r="D72" s="7" cm="1">
        <f t="array" ref="D72">ROW() - ROW(tbl_interfaces[#Headers])</f>
        <v>69</v>
      </c>
      <c r="E72" s="15"/>
      <c r="F72" s="3"/>
      <c r="G72" s="6" t="str">
        <f t="shared" si="15"/>
        <v>active</v>
      </c>
      <c r="H72" s="18" t="str" cm="1">
        <f t="array" ref="H72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72" s="18" t="str" cm="1">
        <f t="array" ref="I72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72" s="18" t="str" cm="1">
        <f t="array" ref="J72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72" s="4" t="str">
        <f>tbl_interfaces[[#This Row],[derived_state]]</f>
        <v>ok</v>
      </c>
      <c r="L72" s="2" t="s">
        <v>83</v>
      </c>
      <c r="M72" s="17" t="s">
        <v>70</v>
      </c>
      <c r="N72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O72" s="4" t="str">
        <f>_xlfn.LET(_xlpm.raw,               tbl_interfaces[[#This Row],[if_name_raw]],
     _xlpm.cleaned,           LOWER(SUBSTITUTE(CLEAN(TRIM(_xlpm.raw)), " ", "")),
     _xlpm.return,            _xlpm.cleaned,
     _xlpm.return)</f>
        <v>05</v>
      </c>
      <c r="P72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mgmtsw01;05</v>
      </c>
      <c r="Q72" s="9" t="str">
        <f t="shared" si="16"/>
        <v>|</v>
      </c>
      <c r="R72" s="4">
        <f>COUNTIFS(tbl_interfaces[manual_state], "active",
          tbl_interfaces[if_id], tbl_interfaces[[#This Row],[if_id]])</f>
        <v>1</v>
      </c>
      <c r="S72" s="4">
        <f>COUNTIF(tbl_interfaces[if_id], tbl_interfaces[[#This Row],[if_id]])</f>
        <v>1</v>
      </c>
    </row>
    <row r="73" spans="3:19" x14ac:dyDescent="0.25">
      <c r="C73" s="6">
        <v>70</v>
      </c>
      <c r="D73" s="7" cm="1">
        <f t="array" ref="D73">ROW() - ROW(tbl_interfaces[#Headers])</f>
        <v>70</v>
      </c>
      <c r="E73" s="15"/>
      <c r="F73" s="3"/>
      <c r="G73" s="6" t="str">
        <f t="shared" si="15"/>
        <v>active</v>
      </c>
      <c r="H73" s="18" t="str" cm="1">
        <f t="array" ref="H73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73" s="18" t="str" cm="1">
        <f t="array" ref="I73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73" s="18" t="str" cm="1">
        <f t="array" ref="J73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73" s="4" t="str">
        <f>tbl_interfaces[[#This Row],[derived_state]]</f>
        <v>ok</v>
      </c>
      <c r="L73" s="2" t="s">
        <v>83</v>
      </c>
      <c r="M73" s="17" t="s">
        <v>71</v>
      </c>
      <c r="N73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O73" s="4" t="str">
        <f>_xlfn.LET(_xlpm.raw,               tbl_interfaces[[#This Row],[if_name_raw]],
     _xlpm.cleaned,           LOWER(SUBSTITUTE(CLEAN(TRIM(_xlpm.raw)), " ", "")),
     _xlpm.return,            _xlpm.cleaned,
     _xlpm.return)</f>
        <v>06</v>
      </c>
      <c r="P73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mgmtsw01;06</v>
      </c>
      <c r="Q73" s="9" t="str">
        <f t="shared" si="16"/>
        <v>|</v>
      </c>
      <c r="R73" s="4">
        <f>COUNTIFS(tbl_interfaces[manual_state], "active",
          tbl_interfaces[if_id], tbl_interfaces[[#This Row],[if_id]])</f>
        <v>1</v>
      </c>
      <c r="S73" s="4">
        <f>COUNTIF(tbl_interfaces[if_id], tbl_interfaces[[#This Row],[if_id]])</f>
        <v>1</v>
      </c>
    </row>
    <row r="74" spans="3:19" x14ac:dyDescent="0.25">
      <c r="C74" s="6">
        <v>71</v>
      </c>
      <c r="D74" s="7" cm="1">
        <f t="array" ref="D74">ROW() - ROW(tbl_interfaces[#Headers])</f>
        <v>71</v>
      </c>
      <c r="E74" s="15"/>
      <c r="F74" s="3"/>
      <c r="G74" s="6" t="str">
        <f t="shared" si="15"/>
        <v>active</v>
      </c>
      <c r="H74" s="18" t="str" cm="1">
        <f t="array" ref="H74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74" s="18" t="str" cm="1">
        <f t="array" ref="I74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74" s="18" t="str" cm="1">
        <f t="array" ref="J74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74" s="4" t="str">
        <f>tbl_interfaces[[#This Row],[derived_state]]</f>
        <v>ok</v>
      </c>
      <c r="L74" s="2" t="s">
        <v>83</v>
      </c>
      <c r="M74" s="17" t="s">
        <v>72</v>
      </c>
      <c r="N74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O74" s="4" t="str">
        <f>_xlfn.LET(_xlpm.raw,               tbl_interfaces[[#This Row],[if_name_raw]],
     _xlpm.cleaned,           LOWER(SUBSTITUTE(CLEAN(TRIM(_xlpm.raw)), " ", "")),
     _xlpm.return,            _xlpm.cleaned,
     _xlpm.return)</f>
        <v>07</v>
      </c>
      <c r="P74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mgmtsw01;07</v>
      </c>
      <c r="Q74" s="9" t="str">
        <f t="shared" si="16"/>
        <v>|</v>
      </c>
      <c r="R74" s="4">
        <f>COUNTIFS(tbl_interfaces[manual_state], "active",
          tbl_interfaces[if_id], tbl_interfaces[[#This Row],[if_id]])</f>
        <v>1</v>
      </c>
      <c r="S74" s="4">
        <f>COUNTIF(tbl_interfaces[if_id], tbl_interfaces[[#This Row],[if_id]])</f>
        <v>1</v>
      </c>
    </row>
    <row r="75" spans="3:19" x14ac:dyDescent="0.25">
      <c r="C75" s="6">
        <v>72</v>
      </c>
      <c r="D75" s="7" cm="1">
        <f t="array" ref="D75">ROW() - ROW(tbl_interfaces[#Headers])</f>
        <v>72</v>
      </c>
      <c r="E75" s="15"/>
      <c r="F75" s="3"/>
      <c r="G75" s="6" t="str">
        <f t="shared" si="15"/>
        <v>active</v>
      </c>
      <c r="H75" s="18" t="str" cm="1">
        <f t="array" ref="H75">_xlfn.XLOOKUP(1,
         (tbl_devices[handle_permanent_cleaned] = tbl_interfaces[[#This Row],[device_handle_cleaned]])  *
         (tbl_devices[final_state] = "ok"),
         tbl_devices[final_state],
         "ERROR::::ok_device_not_found_in_device_table", 0)</f>
        <v>ok</v>
      </c>
      <c r="I75" s="18" t="str" cm="1">
        <f t="array" ref="I75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75" s="18" t="str" cm="1">
        <f t="array" ref="J75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ok</v>
      </c>
      <c r="K75" s="4" t="str">
        <f>tbl_interfaces[[#This Row],[derived_state]]</f>
        <v>ok</v>
      </c>
      <c r="L75" s="2" t="s">
        <v>83</v>
      </c>
      <c r="M75" s="17" t="s">
        <v>73</v>
      </c>
      <c r="N75" s="4" t="str">
        <f>_xlfn.LET(_xlpm.raw,               tbl_interfaces[[#This Row],[device_handle_raw]],
     _xlpm.cleaned,           LOWER(SUBSTITUTE(CLEAN(TRIM(_xlpm.raw)), " ", "")),
     _xlpm.return,            _xlpm.cleaned,
     _xlpm.return)</f>
        <v>mgmtsw01</v>
      </c>
      <c r="O75" s="4" t="str">
        <f>_xlfn.LET(_xlpm.raw,               tbl_interfaces[[#This Row],[if_name_raw]],
     _xlpm.cleaned,           LOWER(SUBSTITUTE(CLEAN(TRIM(_xlpm.raw)), " ", "")),
     _xlpm.return,            _xlpm.cleaned,
     _xlpm.return)</f>
        <v>08</v>
      </c>
      <c r="P75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mgmtsw01;08</v>
      </c>
      <c r="Q75" s="9" t="str">
        <f t="shared" si="16"/>
        <v>|</v>
      </c>
      <c r="R75" s="4">
        <f>COUNTIFS(tbl_interfaces[manual_state], "active",
          tbl_interfaces[if_id], tbl_interfaces[[#This Row],[if_id]])</f>
        <v>1</v>
      </c>
      <c r="S75" s="4">
        <f>COUNTIF(tbl_interfaces[if_id], tbl_interfaces[[#This Row],[if_id]])</f>
        <v>1</v>
      </c>
    </row>
    <row r="76" spans="3:19" x14ac:dyDescent="0.25">
      <c r="C76" s="6">
        <v>73</v>
      </c>
      <c r="D76" s="7" cm="1">
        <f t="array" ref="D76">ROW() - ROW(tbl_interfaces[#Headers])</f>
        <v>73</v>
      </c>
      <c r="E76" s="15"/>
      <c r="F76" s="15"/>
      <c r="G76" s="27" t="str">
        <f>"active"</f>
        <v>active</v>
      </c>
      <c r="H76" s="28" t="str" cm="1">
        <f t="array" ref="H76">_xlfn.XLOOKUP(1,
         (tbl_devices[handle_permanent_cleaned] = tbl_interfaces[[#This Row],[device_handle_cleaned]])  *
         (tbl_devices[final_state] = "ok"),
         tbl_devices[final_state],
         "ERROR::::ok_device_not_found_in_device_table", 0)</f>
        <v>ERROR::::ok_device_not_found_in_device_table</v>
      </c>
      <c r="I76" s="28" t="str" cm="1">
        <f t="array" ref="I76">_xlfn.LET(_xlpm.manual_state,           tbl_interfaces[[#This Row],[manual_state]],
     _xlpm.if_id,                  tbl_interfaces[[#This Row],[if_id]],
     _xlpm.if_ids,                 tbl_interfaces[if_id],
     _xlpm.temp_table,             _xlfn.HSTACK(_xlpm.manual_state, _xlpm.if_id),
     _xlpm.active_handles,         _xlfn.CHOOSECOLS(_xlfn._xlws.FILTER(_xlpm.temp_table,
                                               _xlfn.CHOOSECOLS(_xlpm.temp_table, 1) = "active"),
                                        2),
     _xlpm.active_if_id_count,    tbl_interfaces[[#This Row],[active_if_id_count]],
     _xlpm.return,                _xlfn.IFS(_xlpm.manual_state = "suspended",
                                "suspended",
                                _xlpm.active_if_id_count &gt; 1,
                                "ERROR::::duplicate_active_if_ids",
                                TRUE,
                                "ok"),
     _xlpm.return)</f>
        <v>ok</v>
      </c>
      <c r="J76" s="28" t="str" cm="1">
        <f t="array" ref="J76">_xlfn.LET(_xlpm.manual_state,       tbl_interfaces[[#This Row],[manual_state]],
     _xlpm.device_state,       tbl_interfaces[[#This Row],[device_state]],
     _xlpm.if_id_state,        tbl_interfaces[[#This Row],[if_id_state]],
     _xlpm.if_id,              tbl_interfaces[[#This Row],[if_id]],
     _xlpm.if_ids,             tbl_interfaces[if_id],
     _xlpm.temp_table,         _xlfn.HSTACK(tbl_interfaces[manual_state], tbl_interfaces[if_id]),
     _xlpm.active_if_ids,      _xlfn.CHOOSECOLS(_xlfn._xlws.FILTER(_xlpm.temp_table,
                                           _xlfn.CHOOSECOLS(_xlpm.temp_table, 1) = "active"),
                                    2),
     _xlpm.cases,              _xlfn.IFS(NOT(ISERROR(FIND("ERROR", _xlpm.device_state))),
                             _xlpm.device_state,
                             NOT(ISERROR(FIND("ERROR", _xlpm.if_id_state))),
                             _xlpm.if_id_state,
                             TRUE,
                             _xlpm.if_id_state),
     _xlpm.return,             _xlpm.cases,
     _xlpm.return)</f>
        <v>ERROR::::ok_device_not_found_in_device_table</v>
      </c>
      <c r="K76" s="29" t="str">
        <f>tbl_interfaces[[#This Row],[derived_state]]</f>
        <v>ERROR::::ok_device_not_found_in_device_table</v>
      </c>
      <c r="L76" s="2" t="s">
        <v>106</v>
      </c>
      <c r="M76" s="6" t="s">
        <v>66</v>
      </c>
      <c r="N76" s="7" t="str">
        <f>_xlfn.LET(_xlpm.raw,               tbl_interfaces[[#This Row],[device_handle_raw]],
     _xlpm.cleaned,           LOWER(SUBSTITUTE(CLEAN(TRIM(_xlpm.raw)), " ", "")),
     _xlpm.return,            _xlpm.cleaned,
     _xlpm.return)</f>
        <v>fw02</v>
      </c>
      <c r="O76" s="7" t="str">
        <f>_xlfn.LET(_xlpm.raw,               tbl_interfaces[[#This Row],[if_name_raw]],
     _xlpm.cleaned,           LOWER(SUBSTITUTE(CLEAN(TRIM(_xlpm.raw)), " ", "")),
     _xlpm.return,            _xlpm.cleaned,
     _xlpm.return)</f>
        <v>mgmt</v>
      </c>
      <c r="P76" s="7" t="str">
        <f>_xlfn.LET(_xlpm.device_handle,       tbl_interfaces[[#This Row],[device_handle_cleaned]],
     _xlpm.if_name,             tbl_interfaces[[#This Row],[if_name_cleaned]],
     _xlpm.delimiter,           _xlfn.XLOOKUP("delimiter_device_if_name",
                                  tbl_variable[name],
                                  tbl_variable[value],
                                  "FIXME", 0),
     _xlpm.return,              _xlfn.CONCAT(_xlpm.device_handle, _xlpm.delimiter, _xlpm.if_name),
     _xlpm.return)</f>
        <v>fw02;mgmt</v>
      </c>
      <c r="Q76" s="30" t="str">
        <f>"|"</f>
        <v>|</v>
      </c>
      <c r="R76" s="29">
        <f>COUNTIFS(tbl_interfaces[manual_state], "active",
          tbl_interfaces[if_id], tbl_interfaces[[#This Row],[if_id]])</f>
        <v>1</v>
      </c>
      <c r="S76" s="29">
        <f>COUNTIF(tbl_interfaces[if_id], tbl_interfaces[[#This Row],[if_id]])</f>
        <v>1</v>
      </c>
    </row>
  </sheetData>
  <mergeCells count="1">
    <mergeCell ref="R2:S2"/>
  </mergeCells>
  <phoneticPr fontId="4" type="noConversion"/>
  <dataValidations count="1">
    <dataValidation type="list" allowBlank="1" showInputMessage="1" showErrorMessage="1" sqref="G4:G76" xr:uid="{D54171E1-769B-4A15-B99C-C33B18410C08}">
      <formula1>"active,suspended"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790D95-CEF0-4A48-B370-240FA5D8F7D7}">
          <x14:formula1>
            <xm:f>devices!$K$5:$K$1048576</xm:f>
          </x14:formula1>
          <xm:sqref>L4:L76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A180-6A00-4540-9B91-DA7B3990AFB6}">
  <dimension ref="C1:X11"/>
  <sheetViews>
    <sheetView topLeftCell="J1" workbookViewId="0">
      <selection activeCell="M6" sqref="M6"/>
    </sheetView>
  </sheetViews>
  <sheetFormatPr defaultRowHeight="15" x14ac:dyDescent="0.25"/>
  <cols>
    <col min="1" max="2" width="9.140625" style="10"/>
    <col min="3" max="3" width="16.85546875" style="10" customWidth="1"/>
    <col min="4" max="4" width="14.5703125" style="10" customWidth="1"/>
    <col min="5" max="6" width="13.42578125" style="10" customWidth="1"/>
    <col min="7" max="7" width="16.85546875" style="10" customWidth="1"/>
    <col min="8" max="8" width="27.42578125" style="10" customWidth="1"/>
    <col min="9" max="10" width="30.5703125" style="10" customWidth="1"/>
    <col min="11" max="11" width="27.5703125" style="10" customWidth="1"/>
    <col min="12" max="12" width="29.5703125" style="10" customWidth="1"/>
    <col min="13" max="13" width="30.85546875" customWidth="1"/>
    <col min="14" max="14" width="21.5703125" style="10" customWidth="1"/>
    <col min="15" max="15" width="22.5703125" style="19" customWidth="1"/>
    <col min="16" max="16" width="9.140625" style="19"/>
    <col min="17" max="17" width="25.42578125" style="19" customWidth="1"/>
    <col min="18" max="24" width="9.140625" style="19"/>
    <col min="25" max="16384" width="9.140625" style="10"/>
  </cols>
  <sheetData>
    <row r="1" spans="3:24" x14ac:dyDescent="0.25">
      <c r="M1" s="10"/>
      <c r="N1" s="19"/>
      <c r="X1" s="10"/>
    </row>
    <row r="2" spans="3:24" x14ac:dyDescent="0.25">
      <c r="M2" s="10"/>
      <c r="N2" s="19"/>
      <c r="X2" s="10"/>
    </row>
    <row r="3" spans="3:24" x14ac:dyDescent="0.25">
      <c r="C3" s="10" t="s">
        <v>1</v>
      </c>
      <c r="D3" s="10" t="s">
        <v>2</v>
      </c>
      <c r="E3" s="10" t="s">
        <v>3</v>
      </c>
      <c r="F3" s="10" t="s">
        <v>59</v>
      </c>
      <c r="G3" s="10" t="s">
        <v>4</v>
      </c>
      <c r="H3" s="10" t="s">
        <v>38</v>
      </c>
      <c r="I3" s="10" t="s">
        <v>39</v>
      </c>
      <c r="J3" s="10" t="s">
        <v>100</v>
      </c>
      <c r="K3" s="10" t="s">
        <v>5</v>
      </c>
      <c r="L3" s="10" t="s">
        <v>40</v>
      </c>
      <c r="M3" s="10" t="s">
        <v>6</v>
      </c>
      <c r="N3" s="19" t="s">
        <v>41</v>
      </c>
      <c r="O3" s="19" t="s">
        <v>42</v>
      </c>
      <c r="P3" s="19" t="s">
        <v>43</v>
      </c>
      <c r="Q3" s="19" t="s">
        <v>44</v>
      </c>
      <c r="R3" s="19" t="s">
        <v>45</v>
      </c>
      <c r="S3" s="19" t="s">
        <v>46</v>
      </c>
      <c r="T3" s="19" t="s">
        <v>47</v>
      </c>
      <c r="U3" s="19" t="s">
        <v>48</v>
      </c>
      <c r="V3" s="19" t="s">
        <v>49</v>
      </c>
      <c r="W3" s="19" t="s">
        <v>50</v>
      </c>
      <c r="X3" s="10"/>
    </row>
    <row r="4" spans="3:24" x14ac:dyDescent="0.25">
      <c r="C4" s="11">
        <v>1</v>
      </c>
      <c r="D4" s="12" cm="1">
        <f t="array" ref="D4">ROW()-ROW(tbl_paths[#Headers])</f>
        <v>1</v>
      </c>
      <c r="E4" s="13"/>
      <c r="F4" s="13"/>
      <c r="G4" s="11" t="str">
        <f t="shared" ref="G4:G11" si="0">"active"</f>
        <v>active</v>
      </c>
      <c r="H4" s="12" t="str" cm="1">
        <f t="array" ref="H4">_xlfn.LET(_xlpm.path_index,               tbl_paths[[#This Row],[manual_index]],
     _xlpm.decomposed_index,_xlfn.ANCHORARRAY(         path_decomposed!D$7),
     _xlpm.decomposed_device_state,_xlfn.ANCHORARRAY(  path_decomposed!I$7),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I4" s="12" t="str" cm="1">
        <f t="array" ref="I4">_xlfn.LET(_xlpm.path_index,           tbl_paths[[#This Row],[manual_index]],
     _xlpm.decomposed_index,_xlfn.ANCHORARRAY(     path_decomposed!D$7),
     _xlpm.decomposed_if_state,_xlfn.ANCHORARRAY(  path_decomposed!J$7),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4" s="12" t="str" cm="1">
        <f t="array" ref="J4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K4" s="12" t="str" cm="1">
        <f t="array" ref="K4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L4" s="12" t="str" cm="1">
        <f t="array" ref="L4">_xlfn.LET(_xlpm.path_manual_index,                    tbl_paths[[#This Row],[manual_index]],
     _xlpm.decomposed_path_id,_xlfn.ANCHORARRAY(                   path_decomposed!D$7),
     _xlpm.decomposed_deprecation_state_flag,_xlfn.ANCHORARRAY(    path_decomposed!O$7),
     _xlpm.lookup,      _xlfn.XLOOKUP(_xlpm.path_manual_index,_xlfn.ANCHORARRAY(
                          path_decomposed!D$7),_xlfn.ANCHORARRAY(
                          path_decomposed!O$7),
                          "FIXME", 0),
     _xlpm.return,      IF(_xlpm.lookup,
                     "deprecated",
                     "current"),
     _xlpm.return)</f>
        <v>deprecated</v>
      </c>
      <c r="M4" s="12" t="str" cm="1">
        <f t="array" ref="M4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deprecated</v>
      </c>
      <c r="N4" s="19" t="s">
        <v>84</v>
      </c>
      <c r="O4" s="19" t="s">
        <v>85</v>
      </c>
      <c r="X4" s="10"/>
    </row>
    <row r="5" spans="3:24" x14ac:dyDescent="0.25">
      <c r="C5" s="11">
        <v>2</v>
      </c>
      <c r="D5" s="12" cm="1">
        <f t="array" ref="D5">ROW()-ROW(tbl_paths[#Headers])</f>
        <v>2</v>
      </c>
      <c r="E5" s="13"/>
      <c r="F5" s="13"/>
      <c r="G5" s="11" t="str">
        <f t="shared" si="0"/>
        <v>active</v>
      </c>
      <c r="H5" s="12" t="str" cm="1">
        <f t="array" ref="H5">_xlfn.LET(_xlpm.path_index,               tbl_paths[[#This Row],[manual_index]],
     _xlpm.decomposed_index,_xlfn.ANCHORARRAY(         path_decomposed!D$7),
     _xlpm.decomposed_device_state,_xlfn.ANCHORARRAY(  path_decomposed!I$7),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I5" s="12" t="str" cm="1">
        <f t="array" ref="I5">_xlfn.LET(_xlpm.path_index,           tbl_paths[[#This Row],[manual_index]],
     _xlpm.decomposed_index,_xlfn.ANCHORARRAY(     path_decomposed!D$7),
     _xlpm.decomposed_if_state,_xlfn.ANCHORARRAY(  path_decomposed!J$7),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5" s="12" t="str" cm="1">
        <f t="array" ref="J5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K5" s="12" t="str" cm="1">
        <f t="array" ref="K5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L5" s="12" t="str" cm="1">
        <f t="array" ref="L5">_xlfn.LET(_xlpm.path_manual_index,                    tbl_paths[[#This Row],[manual_index]],
     _xlpm.decomposed_path_id,_xlfn.ANCHORARRAY(                   path_decomposed!D$7),
     _xlpm.decomposed_deprecation_state_flag,_xlfn.ANCHORARRAY(    path_decomposed!O$7),
     _xlpm.lookup,      _xlfn.XLOOKUP(_xlpm.path_manual_index,_xlfn.ANCHORARRAY(
                          path_decomposed!D$7),_xlfn.ANCHORARRAY(
                          path_decomposed!O$7),
                          "FIXME", 0),
     _xlpm.return,      IF(_xlpm.lookup,
                     "deprecated",
                     "current"),
     _xlpm.return)</f>
        <v>current</v>
      </c>
      <c r="M5" s="12" t="str" cm="1">
        <f t="array" ref="M5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ok</v>
      </c>
      <c r="N5" s="19" t="s">
        <v>86</v>
      </c>
      <c r="O5" s="19" t="s">
        <v>85</v>
      </c>
      <c r="Q5" s="19" t="s">
        <v>87</v>
      </c>
      <c r="X5" s="10"/>
    </row>
    <row r="6" spans="3:24" x14ac:dyDescent="0.25">
      <c r="C6" s="11">
        <v>3</v>
      </c>
      <c r="D6" s="12" cm="1">
        <f t="array" ref="D6">ROW()-ROW(tbl_paths[#Headers])</f>
        <v>3</v>
      </c>
      <c r="E6" s="13"/>
      <c r="F6" s="13"/>
      <c r="G6" s="11" t="str">
        <f t="shared" si="0"/>
        <v>active</v>
      </c>
      <c r="H6" s="12" t="str" cm="1">
        <f t="array" ref="H6">_xlfn.LET(_xlpm.path_index,               tbl_paths[[#This Row],[manual_index]],
     _xlpm.decomposed_index,_xlfn.ANCHORARRAY(         path_decomposed!D$7),
     _xlpm.decomposed_device_state,_xlfn.ANCHORARRAY(  path_decomposed!I$7),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I6" s="12" t="str" cm="1">
        <f t="array" ref="I6">_xlfn.LET(_xlpm.path_index,           tbl_paths[[#This Row],[manual_index]],
     _xlpm.decomposed_index,_xlfn.ANCHORARRAY(     path_decomposed!D$7),
     _xlpm.decomposed_if_state,_xlfn.ANCHORARRAY(  path_decomposed!J$7),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6" s="12" t="str" cm="1">
        <f t="array" ref="J6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K6" s="12" t="str" cm="1">
        <f t="array" ref="K6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L6" s="12" t="str" cm="1">
        <f t="array" ref="L6">_xlfn.LET(_xlpm.path_manual_index,                    tbl_paths[[#This Row],[manual_index]],
     _xlpm.decomposed_path_id,_xlfn.ANCHORARRAY(                   path_decomposed!D$7),
     _xlpm.decomposed_deprecation_state_flag,_xlfn.ANCHORARRAY(    path_decomposed!O$7),
     _xlpm.lookup,      _xlfn.XLOOKUP(_xlpm.path_manual_index,_xlfn.ANCHORARRAY(
                          path_decomposed!D$7),_xlfn.ANCHORARRAY(
                          path_decomposed!O$7),
                          "FIXME", 0),
     _xlpm.return,      IF(_xlpm.lookup,
                     "deprecated",
                     "current"),
     _xlpm.return)</f>
        <v>current</v>
      </c>
      <c r="M6" s="12" t="str" cm="1">
        <f t="array" ref="M6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ok</v>
      </c>
      <c r="N6" s="19" t="s">
        <v>88</v>
      </c>
      <c r="T6" s="19" t="s">
        <v>89</v>
      </c>
      <c r="X6" s="10"/>
    </row>
    <row r="7" spans="3:24" x14ac:dyDescent="0.25">
      <c r="C7" s="11">
        <v>4</v>
      </c>
      <c r="D7" s="12" cm="1">
        <f t="array" ref="D7">ROW()-ROW(tbl_paths[#Headers])</f>
        <v>4</v>
      </c>
      <c r="E7" s="13"/>
      <c r="F7" s="13"/>
      <c r="G7" s="11" t="str">
        <f t="shared" si="0"/>
        <v>active</v>
      </c>
      <c r="H7" s="12" t="str" cm="1">
        <f t="array" ref="H7">_xlfn.LET(_xlpm.path_index,               tbl_paths[[#This Row],[manual_index]],
     _xlpm.decomposed_index,_xlfn.ANCHORARRAY(         path_decomposed!D$7),
     _xlpm.decomposed_device_state,_xlfn.ANCHORARRAY(  path_decomposed!I$7),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I7" s="12" t="str" cm="1">
        <f t="array" ref="I7">_xlfn.LET(_xlpm.path_index,           tbl_paths[[#This Row],[manual_index]],
     _xlpm.decomposed_index,_xlfn.ANCHORARRAY(     path_decomposed!D$7),
     _xlpm.decomposed_if_state,_xlfn.ANCHORARRAY(  path_decomposed!J$7),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7" s="12" t="str" cm="1">
        <f t="array" ref="J7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K7" s="12" t="str" cm="1">
        <f t="array" ref="K7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L7" s="12" t="str" cm="1">
        <f t="array" ref="L7">_xlfn.LET(_xlpm.path_manual_index,                    tbl_paths[[#This Row],[manual_index]],
     _xlpm.decomposed_path_id,_xlfn.ANCHORARRAY(                   path_decomposed!D$7),
     _xlpm.decomposed_deprecation_state_flag,_xlfn.ANCHORARRAY(    path_decomposed!O$7),
     _xlpm.lookup,      _xlfn.XLOOKUP(_xlpm.path_manual_index,_xlfn.ANCHORARRAY(
                          path_decomposed!D$7),_xlfn.ANCHORARRAY(
                          path_decomposed!O$7),
                          "FIXME", 0),
     _xlpm.return,      IF(_xlpm.lookup,
                     "deprecated",
                     "current"),
     _xlpm.return)</f>
        <v>current</v>
      </c>
      <c r="M7" s="12" t="str" cm="1">
        <f t="array" ref="M7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ok</v>
      </c>
      <c r="N7" s="19" t="s">
        <v>90</v>
      </c>
      <c r="S7" s="19" t="s">
        <v>91</v>
      </c>
      <c r="X7" s="10"/>
    </row>
    <row r="8" spans="3:24" x14ac:dyDescent="0.25">
      <c r="C8" s="11">
        <v>5</v>
      </c>
      <c r="D8" s="12" cm="1">
        <f t="array" ref="D8">ROW()-ROW(tbl_paths[#Headers])</f>
        <v>5</v>
      </c>
      <c r="E8" s="13"/>
      <c r="F8" s="13"/>
      <c r="G8" s="11" t="str">
        <f t="shared" si="0"/>
        <v>active</v>
      </c>
      <c r="H8" s="12" t="str" cm="1">
        <f t="array" ref="H8">_xlfn.LET(_xlpm.path_index,               tbl_paths[[#This Row],[manual_index]],
     _xlpm.decomposed_index,_xlfn.ANCHORARRAY(         path_decomposed!D$7),
     _xlpm.decomposed_device_state,_xlfn.ANCHORARRAY(  path_decomposed!I$7),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I8" s="12" t="str" cm="1">
        <f t="array" ref="I8">_xlfn.LET(_xlpm.path_index,           tbl_paths[[#This Row],[manual_index]],
     _xlpm.decomposed_index,_xlfn.ANCHORARRAY(     path_decomposed!D$7),
     _xlpm.decomposed_if_state,_xlfn.ANCHORARRAY(  path_decomposed!J$7),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8" s="12" t="str" cm="1">
        <f t="array" ref="J8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K8" s="12" t="str" cm="1">
        <f t="array" ref="K8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L8" s="12" t="str" cm="1">
        <f t="array" ref="L8">_xlfn.LET(_xlpm.path_manual_index,                    tbl_paths[[#This Row],[manual_index]],
     _xlpm.decomposed_path_id,_xlfn.ANCHORARRAY(                   path_decomposed!D$7),
     _xlpm.decomposed_deprecation_state_flag,_xlfn.ANCHORARRAY(    path_decomposed!O$7),
     _xlpm.lookup,      _xlfn.XLOOKUP(_xlpm.path_manual_index,_xlfn.ANCHORARRAY(
                          path_decomposed!D$7),_xlfn.ANCHORARRAY(
                          path_decomposed!O$7),
                          "FIXME", 0),
     _xlpm.return,      IF(_xlpm.lookup,
                     "deprecated",
                     "current"),
     _xlpm.return)</f>
        <v>current</v>
      </c>
      <c r="M8" s="12" t="str" cm="1">
        <f t="array" ref="M8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ok</v>
      </c>
      <c r="N8" s="19" t="s">
        <v>92</v>
      </c>
      <c r="U8" s="19" t="s">
        <v>93</v>
      </c>
      <c r="X8" s="10"/>
    </row>
    <row r="9" spans="3:24" x14ac:dyDescent="0.25">
      <c r="C9" s="11">
        <v>6</v>
      </c>
      <c r="D9" s="12" cm="1">
        <f t="array" ref="D9">ROW()-ROW(tbl_paths[#Headers])</f>
        <v>6</v>
      </c>
      <c r="E9" s="13"/>
      <c r="F9" s="13"/>
      <c r="G9" s="11" t="s">
        <v>14</v>
      </c>
      <c r="H9" s="12" t="str" cm="1">
        <f t="array" ref="H9">_xlfn.LET(_xlpm.path_index,               tbl_paths[[#This Row],[manual_index]],
     _xlpm.decomposed_index,_xlfn.ANCHORARRAY(         path_decomposed!D$7),
     _xlpm.decomposed_device_state,_xlfn.ANCHORARRAY(  path_decomposed!I$7),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I9" s="12" t="str" cm="1">
        <f t="array" ref="I9">_xlfn.LET(_xlpm.path_index,           tbl_paths[[#This Row],[manual_index]],
     _xlpm.decomposed_index,_xlfn.ANCHORARRAY(     path_decomposed!D$7),
     _xlpm.decomposed_if_state,_xlfn.ANCHORARRAY(  path_decomposed!J$7),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9" s="12" t="str" cm="1">
        <f t="array" ref="J9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K9" s="12" t="str" cm="1">
        <f t="array" ref="K9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L9" s="12" t="str" cm="1">
        <f t="array" ref="L9">_xlfn.LET(_xlpm.path_manual_index,                    tbl_paths[[#This Row],[manual_index]],
     _xlpm.decomposed_path_id,_xlfn.ANCHORARRAY(                   path_decomposed!D$7),
     _xlpm.decomposed_deprecation_state_flag,_xlfn.ANCHORARRAY(    path_decomposed!O$7),
     _xlpm.lookup,      _xlfn.XLOOKUP(_xlpm.path_manual_index,_xlfn.ANCHORARRAY(
                          path_decomposed!D$7),_xlfn.ANCHORARRAY(
                          path_decomposed!O$7),
                          "FIXME", 0),
     _xlpm.return,      IF(_xlpm.lookup,
                     "deprecated",
                     "current"),
     _xlpm.return)</f>
        <v>current</v>
      </c>
      <c r="M9" s="12" t="str" cm="1">
        <f t="array" ref="M9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ok</v>
      </c>
      <c r="N9" s="19" t="s">
        <v>94</v>
      </c>
      <c r="U9" s="19" t="s">
        <v>95</v>
      </c>
      <c r="X9" s="10"/>
    </row>
    <row r="10" spans="3:24" x14ac:dyDescent="0.25">
      <c r="C10" s="11">
        <v>7</v>
      </c>
      <c r="D10" s="12" cm="1">
        <f t="array" ref="D10">ROW()-ROW(tbl_paths[#Headers])</f>
        <v>7</v>
      </c>
      <c r="E10" s="13"/>
      <c r="F10" s="13"/>
      <c r="G10" s="11" t="str">
        <f t="shared" si="0"/>
        <v>active</v>
      </c>
      <c r="H10" s="12" t="str" cm="1">
        <f t="array" ref="H10">_xlfn.LET(_xlpm.path_index,               tbl_paths[[#This Row],[manual_index]],
     _xlpm.decomposed_index,_xlfn.ANCHORARRAY(         path_decomposed!D$7),
     _xlpm.decomposed_device_state,_xlfn.ANCHORARRAY(  path_decomposed!I$7),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I10" s="12" t="str" cm="1">
        <f t="array" ref="I10">_xlfn.LET(_xlpm.path_index,           tbl_paths[[#This Row],[manual_index]],
     _xlpm.decomposed_index,_xlfn.ANCHORARRAY(     path_decomposed!D$7),
     _xlpm.decomposed_if_state,_xlfn.ANCHORARRAY(  path_decomposed!J$7),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10" s="12" t="str" cm="1">
        <f t="array" ref="J10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K10" s="12" t="str" cm="1">
        <f t="array" ref="K10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L10" s="12" t="str" cm="1">
        <f t="array" ref="L10">_xlfn.LET(_xlpm.path_manual_index,                    tbl_paths[[#This Row],[manual_index]],
     _xlpm.decomposed_path_id,_xlfn.ANCHORARRAY(                   path_decomposed!D$7),
     _xlpm.decomposed_deprecation_state_flag,_xlfn.ANCHORARRAY(    path_decomposed!O$7),
     _xlpm.lookup,      _xlfn.XLOOKUP(_xlpm.path_manual_index,_xlfn.ANCHORARRAY(
                          path_decomposed!D$7),_xlfn.ANCHORARRAY(
                          path_decomposed!O$7),
                          "FIXME", 0),
     _xlpm.return,      IF(_xlpm.lookup,
                     "deprecated",
                     "current"),
     _xlpm.return)</f>
        <v>current</v>
      </c>
      <c r="M10" s="12" t="str" cm="1">
        <f t="array" ref="M10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ok</v>
      </c>
      <c r="N10" s="19" t="s">
        <v>96</v>
      </c>
      <c r="R10" s="19" t="s">
        <v>97</v>
      </c>
      <c r="X10" s="10"/>
    </row>
    <row r="11" spans="3:24" x14ac:dyDescent="0.25">
      <c r="C11" s="11">
        <v>8</v>
      </c>
      <c r="D11" s="12" cm="1">
        <f t="array" ref="D11">ROW()-ROW(tbl_paths[#Headers])</f>
        <v>8</v>
      </c>
      <c r="E11" s="13"/>
      <c r="F11" s="13"/>
      <c r="G11" s="11" t="str">
        <f t="shared" si="0"/>
        <v>active</v>
      </c>
      <c r="H11" s="12" t="str" cm="1">
        <f t="array" ref="H11">_xlfn.LET(_xlpm.path_index,               tbl_paths[[#This Row],[manual_index]],
     _xlpm.decomposed_index,_xlfn.ANCHORARRAY(         path_decomposed!D$7),
     _xlpm.decomposed_device_state,_xlfn.ANCHORARRAY(  path_decomposed!I$7),
     _xlpm.temp_table,               _xlfn.HSTACK(_xlpm.decomposed_index, _xlpm.decomposed_device_state),
     _xlpm.state_array,              _xlfn.CHOOSECOLS(_xlfn._xlws.FILTER(_xlpm.temp_table,
                                                 _xlfn.CHOOSECOLS(_xlpm.temp_table, 1) = _xlpm.path_index),
    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I11" s="12" t="str" cm="1">
        <f t="array" ref="I11">_xlfn.LET(_xlpm.path_index,           tbl_paths[[#This Row],[manual_index]],
     _xlpm.decomposed_index,_xlfn.ANCHORARRAY(     path_decomposed!D$7),
     _xlpm.decomposed_if_state,_xlfn.ANCHORARRAY(  path_decomposed!J$7),
     _xlpm.temp_table,           _xlfn.HSTACK(_xlpm.decomposed_index, _xlpm.decomposed_if_state),
     _xlpm.state_array,          _xlfn.CHOOSECOLS(_xlfn._xlws.FILTER(_xlpm.temp_table,
                                             _xlfn.CHOOSECOLS(_xlpm.temp_table, 1) = _xlpm.path_index),
                                      2),
     _xlpm.reduce_lambda,        _xlfn.LAMBDA(_xlpm.current_state,_xlpm.accrued_state,
                                  _xlfn.IFS(LEN(_xlpm.current_state) = 1,
                                      _xlpm.accrued_state,
                                      NOT(ISERROR(FIND("ERROR", _xlpm.accrued_state))),
                                      _xlpm.accrued_state,
                                      NOT(ISERROR(FIND("ERROR", _xlpm.current_state))),
                                      _xlpm.current_state,
                                      NOT(ISERROR(FIND("suspended", _xlpm.accrued_state))),
                                      _xlpm.accrued_state,
                                      NOT(ISERROR(FIND("suspended", _xlpm.current_state))),
                                      _xlpm.current_state,
                                      NOT(ISERROR(FIND("ok", _xlpm.accrued_state))),
                                      _xlpm.accrued_state,
                                      NOT(ISERROR(FIND("ok", _xlpm.current_state))),
                                      _xlpm.current_state,
                                      TRUE,
                                      "fixme")),
     _xlpm.per_path_reduced_state,    _xlfn.REDUCE("ok", _xlpm.state_array, _xlpm.reduce_lambda),
     _xlpm.per_path_reduced_state)</f>
        <v>ok</v>
      </c>
      <c r="J11" s="12" t="str" cm="1">
        <f t="array" ref="J11">_xlfn.LET(_xlpm.c_d_state,          tbl_paths[[#This Row],[collective_device_state]],
     _xlpm.c_i_state,           tbl_paths[[#This Row],[collective_if_id_state]],
     _xlpm.cases,              _xlfn.IFS(NOT(ISERROR(FIND("ERROR", _xlpm.c_d_state))),
                             _xlpm.c_d_state,
                             NOT(ISERROR(FIND("ERROR", _xlpm.c_i_state))),
                             _xlpm.c_i_state,
                             OR(_xlpm.c_d_state = "suspended",
                                _xlpm.c_i_state = "suspended"),
                             "suspended",
                             OR(_xlpm.c_d_state = "ok",
                                _xlpm.c_i_state = "ok"),
                             "ok"),
     _xlpm.return,             _xlpm.cases,
     _xlpm.return)</f>
        <v>ok</v>
      </c>
      <c r="K11" s="12" t="str" cm="1">
        <f t="array" ref="K11">_xlfn.LET(_xlpm.manual_state,  tbl_paths[[#This Row],[manual_state]],
     _xlpm.c_d_state,     tbl_paths[[#This Row],[collective_device_state]],
     _xlpm.c_i_state,     tbl_paths[[#This Row],[collective_if_id_state]],
     _xlpm.c_p_state,     tbl_paths[[#This Row],[collective_path_state]],
     _xlpm.cases,       _xlfn.IFS(NOT(ISERROR(FIND("ERROR", _xlpm.c_p_state))),
                      _xlpm.c_p_state,
                      OR(_xlpm.manual_state = "suspended",
                         _xlpm.c_p_state    = "suspended"),
                      "suspended",
                      AND(_xlpm.manual_state = "active",
                          _xlpm.c_p_state    = "ok"),
                      "ok",
                      TRUE,
                      "IFS CATCH ALL"),
     _xlpm.return,      _xlpm.cases,
     _xlpm.return)</f>
        <v>ok</v>
      </c>
      <c r="L11" s="12" t="str" cm="1">
        <f t="array" ref="L11">_xlfn.LET(_xlpm.path_manual_index,                    tbl_paths[[#This Row],[manual_index]],
     _xlpm.decomposed_path_id,_xlfn.ANCHORARRAY(                   path_decomposed!D$7),
     _xlpm.decomposed_deprecation_state_flag,_xlfn.ANCHORARRAY(    path_decomposed!O$7),
     _xlpm.lookup,      _xlfn.XLOOKUP(_xlpm.path_manual_index,_xlfn.ANCHORARRAY(
                          path_decomposed!D$7),_xlfn.ANCHORARRAY(
                          path_decomposed!O$7),
                          "FIXME", 0),
     _xlpm.return,      IF(_xlpm.lookup,
                     "deprecated",
                     "current"),
     _xlpm.return)</f>
        <v>current</v>
      </c>
      <c r="M11" s="12" t="str" cm="1">
        <f t="array" ref="M11">_xlfn.LET(_xlpm.derived_state,          tbl_paths[[#This Row],[derived_state]],
     _xlpm.deprecation_state,      tbl_paths[[#This Row],[deprecation_state]],
     _xlpm.cases,                  _xlfn.IFS(_xlpm.derived_state &lt;&gt; "ok",
                                 _xlpm.derived_state,
                                 _xlpm.deprecation_state = "deprecated",
                                 "deprecated",
                                 AND(_xlpm.derived_state = "ok",
                                     _xlpm.deprecation_state = "current"),
                                 "ok",
                                 TRUE,
                                 "IFS catch all"),
      _xlpm.return,                 _xlpm.cases,
      _xlpm.return)</f>
        <v>ok</v>
      </c>
      <c r="N11" s="19" t="s">
        <v>98</v>
      </c>
      <c r="T11" s="19" t="s">
        <v>99</v>
      </c>
      <c r="X11" s="10"/>
    </row>
  </sheetData>
  <dataValidations count="1">
    <dataValidation type="list" allowBlank="1" showInputMessage="1" showErrorMessage="1" sqref="G4:G11" xr:uid="{132A9181-0EC2-4E19-B201-AFD2D9B7B8CD}">
      <formula1>"active,suspended"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048115-F399-4E39-BD8D-B843BACB2AB0}">
          <x14:formula1>
            <xm:f>interfaces!$P$4:$P$1048576</xm:f>
          </x14:formula1>
          <xm:sqref>N4:W11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27F1-FB46-4656-A200-F8F65E91E2B4}">
  <dimension ref="C6:T86"/>
  <sheetViews>
    <sheetView workbookViewId="0">
      <selection activeCell="I75" sqref="I75"/>
    </sheetView>
  </sheetViews>
  <sheetFormatPr defaultRowHeight="15" x14ac:dyDescent="0.25"/>
  <cols>
    <col min="1" max="2" width="9.140625" style="1"/>
    <col min="3" max="3" width="14" style="1" customWidth="1"/>
    <col min="4" max="4" width="17.42578125" style="1" customWidth="1"/>
    <col min="5" max="5" width="17.7109375" style="1" customWidth="1"/>
    <col min="6" max="6" width="21.5703125" style="1" customWidth="1"/>
    <col min="7" max="7" width="30.28515625" style="1" customWidth="1"/>
    <col min="8" max="8" width="22.7109375" style="1" customWidth="1"/>
    <col min="9" max="9" width="23.7109375" style="1" customWidth="1"/>
    <col min="10" max="10" width="30" style="1" customWidth="1"/>
    <col min="11" max="11" width="50" style="1" customWidth="1"/>
    <col min="12" max="13" width="35.5703125" style="1" customWidth="1"/>
    <col min="14" max="14" width="30.85546875" style="1" customWidth="1"/>
    <col min="15" max="15" width="36.42578125" style="1" customWidth="1"/>
    <col min="16" max="16" width="32.28515625" style="1" customWidth="1"/>
    <col min="17" max="16384" width="9.140625" style="1"/>
  </cols>
  <sheetData>
    <row r="6" spans="3:20" ht="45" x14ac:dyDescent="0.25">
      <c r="C6" s="3" t="s">
        <v>0</v>
      </c>
      <c r="D6" s="3" t="s">
        <v>51</v>
      </c>
      <c r="E6" s="3" t="s">
        <v>52</v>
      </c>
      <c r="F6" s="3" t="s">
        <v>26</v>
      </c>
      <c r="G6" s="3" t="s">
        <v>53</v>
      </c>
      <c r="H6" s="3" t="s">
        <v>57</v>
      </c>
      <c r="I6" s="3" t="s">
        <v>13</v>
      </c>
      <c r="J6" s="3" t="s">
        <v>58</v>
      </c>
      <c r="K6" s="3" t="s">
        <v>107</v>
      </c>
      <c r="L6" s="20" t="s">
        <v>101</v>
      </c>
      <c r="M6" s="20" t="s">
        <v>105</v>
      </c>
      <c r="N6" s="20" t="s">
        <v>102</v>
      </c>
      <c r="O6" s="20" t="s">
        <v>104</v>
      </c>
      <c r="P6" s="20" t="s">
        <v>103</v>
      </c>
      <c r="T6" s="1" t="s">
        <v>108</v>
      </c>
    </row>
    <row r="7" spans="3:20" x14ac:dyDescent="0.25">
      <c r="C7" s="1" cm="1">
        <f t="array" ref="C7:C86">_xlfn.LET(_xlpm.path_entry_count,    _xlfn.XLOOKUP("path_entry_count", tbl_variable[name], tbl_variable[value], "FIXME", 0),
     _xlpm.return,              _xlfn.SEQUENCE(_xlpm.path_entry_count, 1, 1, 1),
     _xlpm.return)</f>
        <v>1</v>
      </c>
      <c r="D7" s="1" cm="1">
        <f t="array" ref="D7:D86">_xlfn.LET(_xlpm.path_entry_count,    _xlfn.XLOOKUP("path_entry_count", tbl_variable[name], tbl_variable[value], "FIXME", 0),
     _xlpm.hop_count,           _xlfn.XLOOKUP("hop_count", tbl_variable[name], tbl_variable[value], "FIXME", 0),
     _xlpm.seed_sequence,       _xlfn.SEQUENCE(_xlpm.path_entry_count, 1, 0, 1),
     _xlpm.return,              QUOTIENT(_xlpm.seed_sequence, _xlpm.hop_count) + 1,
     _xlpm.return)</f>
        <v>1</v>
      </c>
      <c r="E7" s="1" cm="1">
        <f t="array" ref="E7:E86">_xlfn.LET(_xlpm.path_entry_count,    _xlfn.XLOOKUP("path_entry_count", tbl_variable[name], tbl_variable[value], "FIXME", 0),
     _xlpm.hop_count,           _xlfn.XLOOKUP("hop_count", tbl_variable[name], tbl_variable[value], "FIXME", 0),
     _xlpm.seed_sequence,       _xlfn.SEQUENCE(_xlpm.path_entry_count, 1, 0, 1),
     _xlpm.return,              MOD(_xlpm.seed_sequence, _xlpm.hop_count) + 1,
     _xlpm.return)</f>
        <v>1</v>
      </c>
      <c r="F7" s="1" t="str" cm="1">
        <f t="array" ref="F7:F86">_xlfn.LET(_xlpm.row_indicies,_xlfn.ANCHORARRAY(    D7),
     _xlpm.hop_indicies,_xlfn.ANCHORARRAY(    E7),
     _xlpm.path_tbl,        tbl_paths[],
     _xlpm.map_lambda,      _xlfn.LAMBDA(_xlpm.row_index,_xlpm.hop_index,
                             _xlfn.LET(_xlpm.column_index,      MATCH(_xlfn.VALUETOTEXT(_xlpm.hop_index), tbl_paths[#Headers],  0),
                                 _xlpm.entry,             INDEX(tbl_paths[], _xlpm.row_index, _xlpm.column_index),
                                 _xlpm.cleaning_01,       SUBSTITUTE(CLEAN(TRIM(_xlpm.entry)), " ", ""),
                                 _xlpm.zero_to_blank,     IF(LEN(_xlpm.cleaning_01) &lt; 1,
                                                       "",
                                                       _xlpm.cleaning_01),
                                 _xlpm.return,            _xlpm.zero_to_blank,
                                 _xlpm.return)),
     _xlpm.return,          _xlfn.MAP(_xlpm.row_indicies, _xlpm.hop_indicies,
                          _xlpm.map_lambda),
     _xlpm.return)</f>
        <v>srv01;idrac</v>
      </c>
      <c r="G7" s="1" cm="1">
        <f t="array" ref="G7:G86">_xlfn.LET(_xlpm.path_indicies,_xlfn.ANCHORARRAY(        D7),
     _xlpm.entries,_xlfn.ANCHORARRAY(              F7),
     _xlpm.temp_table,           _xlfn.HSTACK(_xlpm.path_indicies, _xlpm.entries),
     _xlpm.map_lambda,           _xlfn.LAMBDA(_xlpm.path_index,_xlpm.entry,
                                  _xlfn.LET(_xlpm.temp_table_filtered_by_path,    _xlfn._xlws.FILTER(_xlpm.temp_table,
                                                                             _xlfn.CHOOSECOLS(_xlpm.temp_table, 1) = _xlpm.path_index),
                                      _xlpm.per_path_entries,               _xlfn.CHOOSECOLS(_xlpm.temp_table_filtered_by_path, 2),
                                      _xlpm.path_entries_deblanked,         _xlfn._xlws.FILTER(_xlpm.per_path_entries,
                                                                             LEN(_xlpm.per_path_entries) &gt; 0),
                                      _xlpm.new_index_of_entry,             IF(LEN(_xlpm.entry) = 0,
                                                                         "",
                                                                         MATCH(_xlpm.entry, _xlpm.path_entries_deblanked, 0)),
                                      _xlpm.return,                         _xlpm.new_index_of_entry,
                                      _xlpm.return)),
     _xlpm.mapping,              _xlfn.MAP(_xlpm.path_indicies, _xlpm.entries,
                               _xlpm.map_lambda),
     _xlpm.return,               _xlpm.mapping,
     _xlpm.return)</f>
        <v>1</v>
      </c>
      <c r="H7" s="1" t="str" cm="1">
        <f t="array" ref="H7:H86">_xlfn.LET(_xlpm.delimiter_device_if_name,      _xlfn.XLOOKUP("delimiter_device_if_name", tbl_variable[name],tbl_variable[value], "FIXME", 0),
     _xlpm.return,                         IF(LEN(_xlfn.ANCHORARRAY(F7)) &gt; 0,
                                        _xlfn.TEXTBEFORE(_xlfn.ANCHORARRAY(F7), _xlpm.delimiter_device_if_name),
                                         ""),
     _xlpm.return)</f>
        <v>srv01</v>
      </c>
      <c r="I7" s="1" t="str" cm="1">
        <f t="array" ref="I7:I86">IF(LEN(_xlfn.ANCHORARRAY(H7)) &gt; 0,
    _xlfn.XLOOKUP(_xlfn.ANCHORARRAY(H7), tbl_devices[handle_permanent_cleaned], tbl_devices[final_state], "FIXME", 0),
    "")</f>
        <v>ok</v>
      </c>
      <c r="J7" s="1" t="str" cm="1">
        <f t="array" ref="J7:J86">IF(LEN(_xlfn.ANCHORARRAY(F7)) &gt; 0,
    _xlfn.XLOOKUP(_xlfn.ANCHORARRAY(F7), tbl_interfaces[if_id], tbl_interfaces[final_state], "ERROR::::if_id_not_found_in_if_id_table", 0),
    "")</f>
        <v>ok</v>
      </c>
      <c r="K7" s="1" t="str" cm="1">
        <f t="array" ref="K7:K86">_xlfn.XLOOKUP(_xlfn.ANCHORARRAY(D7), tbl_paths[manual_index], tbl_paths[derived_state], "FIXME")</f>
        <v>ok</v>
      </c>
      <c r="L7" s="1" cm="1">
        <f t="array" ref="L7:L86">_xlfn.LET(_xlpm.if_ids,_xlfn.ANCHORARRAY(               F7),
     _xlpm.c_p_states,_xlfn.ANCHORARRAY(           K7),
     _xlpm.entry_indicies,_xlfn.ANCHORARRAY(       C7),
     _xlpm.map_lambda,           _xlfn.LAMBDA(_xlpm.if_id,_xlpm.c_p_state,
                                  IF(LEN(_xlpm.if_id) &gt; 0,
                                     _xlfn.XLOOKUP(1,
                                             (_xlpm.if_ids     = _xlpm.if_id) *
                                             (_xlpm.c_p_states = "ok"),
                                             _xlpm.entry_indicies,
                                             "MY_NA::::deprecation_relavent_only_if_collective_path_state_is_ok", 0, -1),
                                     "")),
     _xlpm.mapping,              _xlfn.MAP(_xlpm.if_ids, _xlpm.c_p_states,
                               _xlpm.map_lambda),
     _xlpm.mapping)</f>
        <v>1</v>
      </c>
      <c r="M7" s="1" cm="1">
        <f t="array" ref="M7:M86">_xlfn.LET(_xlpm.path_indicies,_xlfn.ANCHORARRAY(            D7),
     _xlpm.entry_index_most_recents,_xlfn.ANCHORARRAY( L7),
     _xlpm.collective_path_states,_xlfn.ANCHORARRAY(   K7),
     _xlpm.if_ids,_xlfn.ANCHORARRAY(                   F7),
     _xlpm.temp_table,               _xlfn.HSTACK(_xlpm.path_indicies, _xlpm.entry_index_most_recents),
     _xlpm.map_lambda,         _xlfn.LAMBDA(_xlpm.path_index,_xlpm.if_id,_xlpm.collective_path_state,
                                IF(_xlpm.collective_path_state = "ok",
                                   _xlfn.LET(_xlpm.per_path_table,          _xlfn._xlws.FILTER(_xlpm.temp_table,
                                                                       _xlfn.CHOOSECOLS(_xlpm.temp_table, 1) = _xlpm.path_index),
                                       _xlpm.per_path_most_recents,   _xlfn.CHOOSECOLS(_xlpm.per_path_table, 2),
                                       _xlpm.max_per_path,            MAX(_xlpm.per_path_most_recents),
                                       _xlpm.return,                  IF(LEN(_xlpm.if_id) &gt; 0,
                                                                    _xlpm.max_per_path,
                                                                   ""),
                                       _xlpm.return),
                                   "")),
     _xlpm.mapping,            _xlfn.MAP(_xlpm.path_indicies, _xlpm.if_ids, _xlpm.collective_path_states,
                             _xlpm.map_lambda),
     _xlpm.return,             _xlpm.mapping,
     _xlpm.return)</f>
        <v>12</v>
      </c>
      <c r="N7" s="1" cm="1">
        <f t="array" ref="N7:N86">_xlfn.LET(_xlpm.if_ids,_xlfn.ANCHORARRAY(               F7),
     _xlpm.c_p_states,_xlfn.ANCHORARRAY(           K7),
     _xlpm.path_indicies,_xlfn.ANCHORARRAY(        D7),
     _xlpm.map_lambda,           _xlfn.LAMBDA(_xlpm.if_id,_xlpm.c_p_state,
                                  IF(LEN(_xlpm.if_id) &gt; 0,
                                     _xlfn.XLOOKUP(1,
                                             (_xlpm.if_ids     = _xlpm.if_id) *
                                             (_xlpm.c_p_states = "ok"),
                                             _xlpm.path_indicies,
                                             "MY_NA::::deprecation_relavent_only_if_collective_path_state_is_ok", 0, -1),
                                     "")),
     _xlpm.mapping,              _xlfn.MAP(_xlpm.if_ids, _xlpm.c_p_states,
                               _xlpm.map_lambda),
     _xlpm.mapping)</f>
        <v>1</v>
      </c>
      <c r="O7" s="21" t="b" cm="1">
        <f t="array" ref="O7:O86">_xlfn.LET(_xlpm.path_index_of_most_recent_occurence_of_if_id_over_all_ok_paths,_xlfn.ANCHORARRAY( N7),
     _xlpm.path_states,_xlfn.ANCHORARRAY(             K7),
     _xlpm.path_indicies,_xlfn.ANCHORARRAY(           D7),
     _xlpm.temp_table,              _xlfn.HSTACK(_xlpm.path_indicies, _xlpm.path_index_of_most_recent_occurence_of_if_id_over_all_ok_paths),
     _xlpm.true_acc_f,           _xlfn.LAMBDA(_xlpm.current,_xlpm.acc,
                                  _xlpm.current = _xlpm.acc),
     _xlpm.true_reducer_f,       _xlfn.LAMBDA(_xlpm.bool_array,
                                  _xlfn.REDUCE(TRUE, _xlpm.bool_array,
                                         _xlpm.true_acc_f)),
     _xlpm.map_lambda,              _xlfn.LAMBDA(_xlpm.path_index,
                                     _xlfn.LET(_xlpm.per_path_temp_table,          _xlfn._xlws.FILTER(_xlpm.temp_table,
                                                                             _xlfn.CHOOSECOLS(_xlpm.temp_table, 1) = _xlpm.path_index),
                                         _xlpm.most_recent_path_of_entry,    _xlfn.CHOOSECOLS(_xlpm.per_path_temp_table, 2),
                                         _xlpm.most_recents_deblanked,       _xlfn._xlws.FILTER(_xlpm.most_recent_path_of_entry,
                                                                              LEN(_xlpm.most_recent_path_of_entry) &gt; 0),
                                         _xlpm.most_recents_array_count,     ROWS(_xlpm.most_recents_deblanked),
                                         _xlpm.temp_array,                   _xlfn.SEQUENCE(_xlpm.most_recents_array_count, 1, _xlpm.path_index, 0),
                                         _xlpm.boolean_array,                _xlpm.most_recents_deblanked = _xlpm.temp_array,
                                         _xlpm.return,                       NOT(_xlpm.true_reducer_f(_xlpm.boolean_array)),
                                         _xlpm.return)),
      _xlpm.mapping,                 _xlfn.MAP(_xlpm.path_indicies, _xlpm.map_lambda),
      _xlpm.return,                  _xlpm.mapping,
      _xlpm.return)</f>
        <v>1</v>
      </c>
      <c r="P7" s="1" cm="1">
        <f t="array" ref="P7:P86">_xlfn.LET(_xlpm.path_indicies,_xlfn.ANCHORARRAY(      D7),
     _xlpm.if_ids,_xlfn.ANCHORARRAY(             F7),
     _xlpm.temp_table,         _xlfn.HSTACK(_xlpm.path_indicies, _xlpm.if_ids),
     _xlpm.map_lambda,         _xlfn.LAMBDA(_xlpm.path_index,_xlpm.if_id,
                                IF(LEN(_xlpm.if_id) &gt; 0,
                                   _xlfn.LET(_xlpm.per_path_table,          _xlfn._xlws.FILTER(_xlpm.temp_table,
                                                                       _xlfn.CHOOSECOLS(_xlpm.temp_table, 1) = _xlpm.path_index),
                                       _xlpm.per_path_if_ids,         _xlfn.CHOOSECOLS(_xlpm.per_path_table, 2),
                                       _xlpm.per_path_if_id_count,    SUMPRODUCT(--(_xlpm.per_path_if_ids = _xlpm.if_id)),
                                       _xlpm.return,                  _xlpm.per_path_if_id_count,
                                       _xlpm.return),
                                   "")),
     _xlpm.mapping,            _xlfn.MAP(_xlpm.path_indicies, _xlpm.if_ids,
                             _xlpm.map_lambda),
     _xlpm.return,             _xlpm.mapping,
     _xlpm.return)</f>
        <v>1</v>
      </c>
    </row>
    <row r="8" spans="3:20" x14ac:dyDescent="0.25">
      <c r="C8" s="1">
        <v>2</v>
      </c>
      <c r="D8" s="1">
        <v>1</v>
      </c>
      <c r="E8" s="1">
        <v>2</v>
      </c>
      <c r="F8" s="1" t="str">
        <v>mgmtsw01;01</v>
      </c>
      <c r="G8" s="1">
        <v>2</v>
      </c>
      <c r="H8" s="1" t="str">
        <v>mgmtsw01</v>
      </c>
      <c r="I8" s="1" t="str">
        <v>ok</v>
      </c>
      <c r="J8" s="1" t="str">
        <v>ok</v>
      </c>
      <c r="K8" s="1" t="str">
        <v>ok</v>
      </c>
      <c r="L8" s="1">
        <v>12</v>
      </c>
      <c r="M8" s="1">
        <v>12</v>
      </c>
      <c r="N8" s="1">
        <v>2</v>
      </c>
      <c r="O8" s="1" t="b">
        <v>1</v>
      </c>
      <c r="P8" s="1">
        <v>1</v>
      </c>
    </row>
    <row r="9" spans="3:20" x14ac:dyDescent="0.25">
      <c r="C9" s="1">
        <v>3</v>
      </c>
      <c r="D9" s="1">
        <v>1</v>
      </c>
      <c r="E9" s="1">
        <v>3</v>
      </c>
      <c r="F9" s="1" t="str">
        <v/>
      </c>
      <c r="G9" s="1" t="str">
        <v/>
      </c>
      <c r="H9" s="1" t="str">
        <v/>
      </c>
      <c r="I9" s="1" t="str">
        <v/>
      </c>
      <c r="J9" s="1" t="str">
        <v/>
      </c>
      <c r="K9" s="1" t="str">
        <v>ok</v>
      </c>
      <c r="L9" s="1" t="str">
        <v/>
      </c>
      <c r="M9" s="1" t="str">
        <v/>
      </c>
      <c r="N9" s="1" t="str">
        <v/>
      </c>
      <c r="O9" s="1" t="b">
        <v>1</v>
      </c>
      <c r="P9" s="1" t="str">
        <v/>
      </c>
    </row>
    <row r="10" spans="3:20" x14ac:dyDescent="0.25">
      <c r="C10" s="1">
        <v>4</v>
      </c>
      <c r="D10" s="1">
        <v>1</v>
      </c>
      <c r="E10" s="1">
        <v>4</v>
      </c>
      <c r="F10" s="1" t="str">
        <v/>
      </c>
      <c r="G10" s="1" t="str">
        <v/>
      </c>
      <c r="H10" s="1" t="str">
        <v/>
      </c>
      <c r="I10" s="1" t="str">
        <v/>
      </c>
      <c r="J10" s="1" t="str">
        <v/>
      </c>
      <c r="K10" s="1" t="str">
        <v>ok</v>
      </c>
      <c r="L10" s="1" t="str">
        <v/>
      </c>
      <c r="M10" s="1" t="str">
        <v/>
      </c>
      <c r="N10" s="1" t="str">
        <v/>
      </c>
      <c r="O10" s="1" t="b">
        <v>1</v>
      </c>
      <c r="P10" s="1" t="str">
        <v/>
      </c>
    </row>
    <row r="11" spans="3:20" x14ac:dyDescent="0.25">
      <c r="C11" s="1">
        <v>5</v>
      </c>
      <c r="D11" s="1">
        <v>1</v>
      </c>
      <c r="E11" s="1">
        <v>5</v>
      </c>
      <c r="F11" s="1" t="str">
        <v/>
      </c>
      <c r="G11" s="1" t="str">
        <v/>
      </c>
      <c r="H11" s="1" t="str">
        <v/>
      </c>
      <c r="I11" s="1" t="str">
        <v/>
      </c>
      <c r="J11" s="1" t="str">
        <v/>
      </c>
      <c r="K11" s="1" t="str">
        <v>ok</v>
      </c>
      <c r="L11" s="1" t="str">
        <v/>
      </c>
      <c r="M11" s="1" t="str">
        <v/>
      </c>
      <c r="N11" s="1" t="str">
        <v/>
      </c>
      <c r="O11" s="1" t="b">
        <v>1</v>
      </c>
      <c r="P11" s="1" t="str">
        <v/>
      </c>
    </row>
    <row r="12" spans="3:20" x14ac:dyDescent="0.25">
      <c r="C12" s="1">
        <v>6</v>
      </c>
      <c r="D12" s="1">
        <v>1</v>
      </c>
      <c r="E12" s="1">
        <v>6</v>
      </c>
      <c r="F12" s="1" t="str">
        <v/>
      </c>
      <c r="G12" s="1" t="str">
        <v/>
      </c>
      <c r="H12" s="1" t="str">
        <v/>
      </c>
      <c r="I12" s="1" t="str">
        <v/>
      </c>
      <c r="J12" s="1" t="str">
        <v/>
      </c>
      <c r="K12" s="1" t="str">
        <v>ok</v>
      </c>
      <c r="L12" s="1" t="str">
        <v/>
      </c>
      <c r="M12" s="1" t="str">
        <v/>
      </c>
      <c r="N12" s="1" t="str">
        <v/>
      </c>
      <c r="O12" s="1" t="b">
        <v>1</v>
      </c>
      <c r="P12" s="1" t="str">
        <v/>
      </c>
    </row>
    <row r="13" spans="3:20" x14ac:dyDescent="0.25">
      <c r="C13" s="1">
        <v>7</v>
      </c>
      <c r="D13" s="1">
        <v>1</v>
      </c>
      <c r="E13" s="1">
        <v>7</v>
      </c>
      <c r="F13" s="1" t="str">
        <v/>
      </c>
      <c r="G13" s="1" t="str">
        <v/>
      </c>
      <c r="H13" s="1" t="str">
        <v/>
      </c>
      <c r="I13" s="1" t="str">
        <v/>
      </c>
      <c r="J13" s="1" t="str">
        <v/>
      </c>
      <c r="K13" s="1" t="str">
        <v>ok</v>
      </c>
      <c r="L13" s="1" t="str">
        <v/>
      </c>
      <c r="M13" s="1" t="str">
        <v/>
      </c>
      <c r="N13" s="1" t="str">
        <v/>
      </c>
      <c r="O13" s="1" t="b">
        <v>1</v>
      </c>
      <c r="P13" s="1" t="str">
        <v/>
      </c>
    </row>
    <row r="14" spans="3:20" x14ac:dyDescent="0.25">
      <c r="C14" s="1">
        <v>8</v>
      </c>
      <c r="D14" s="1">
        <v>1</v>
      </c>
      <c r="E14" s="1">
        <v>8</v>
      </c>
      <c r="F14" s="1" t="str">
        <v/>
      </c>
      <c r="G14" s="1" t="str">
        <v/>
      </c>
      <c r="H14" s="1" t="str">
        <v/>
      </c>
      <c r="I14" s="1" t="str">
        <v/>
      </c>
      <c r="J14" s="1" t="str">
        <v/>
      </c>
      <c r="K14" s="1" t="str">
        <v>ok</v>
      </c>
      <c r="L14" s="1" t="str">
        <v/>
      </c>
      <c r="M14" s="1" t="str">
        <v/>
      </c>
      <c r="N14" s="1" t="str">
        <v/>
      </c>
      <c r="O14" s="1" t="b">
        <v>1</v>
      </c>
      <c r="P14" s="1" t="str">
        <v/>
      </c>
    </row>
    <row r="15" spans="3:20" x14ac:dyDescent="0.25">
      <c r="C15" s="1">
        <v>9</v>
      </c>
      <c r="D15" s="1">
        <v>1</v>
      </c>
      <c r="E15" s="1">
        <v>9</v>
      </c>
      <c r="F15" s="1" t="str">
        <v/>
      </c>
      <c r="G15" s="1" t="str">
        <v/>
      </c>
      <c r="H15" s="1" t="str">
        <v/>
      </c>
      <c r="I15" s="1" t="str">
        <v/>
      </c>
      <c r="J15" s="1" t="str">
        <v/>
      </c>
      <c r="K15" s="1" t="str">
        <v>ok</v>
      </c>
      <c r="L15" s="1" t="str">
        <v/>
      </c>
      <c r="M15" s="1" t="str">
        <v/>
      </c>
      <c r="N15" s="1" t="str">
        <v/>
      </c>
      <c r="O15" s="1" t="b">
        <v>1</v>
      </c>
      <c r="P15" s="1" t="str">
        <v/>
      </c>
    </row>
    <row r="16" spans="3:20" x14ac:dyDescent="0.25">
      <c r="C16" s="1">
        <v>10</v>
      </c>
      <c r="D16" s="1">
        <v>1</v>
      </c>
      <c r="E16" s="1">
        <v>10</v>
      </c>
      <c r="F16" s="1" t="str">
        <v/>
      </c>
      <c r="G16" s="1" t="str">
        <v/>
      </c>
      <c r="H16" s="1" t="str">
        <v/>
      </c>
      <c r="I16" s="1" t="str">
        <v/>
      </c>
      <c r="J16" s="1" t="str">
        <v/>
      </c>
      <c r="K16" s="1" t="str">
        <v>ok</v>
      </c>
      <c r="L16" s="1" t="str">
        <v/>
      </c>
      <c r="M16" s="1" t="str">
        <v/>
      </c>
      <c r="N16" s="1" t="str">
        <v/>
      </c>
      <c r="O16" s="1" t="b">
        <v>1</v>
      </c>
      <c r="P16" s="1" t="str">
        <v/>
      </c>
    </row>
    <row r="17" spans="3:16" x14ac:dyDescent="0.25">
      <c r="C17" s="1">
        <v>11</v>
      </c>
      <c r="D17" s="1">
        <v>2</v>
      </c>
      <c r="E17" s="1">
        <v>1</v>
      </c>
      <c r="F17" s="1" t="str">
        <v>srv01;ob/1</v>
      </c>
      <c r="G17" s="1">
        <v>1</v>
      </c>
      <c r="H17" s="1" t="str">
        <v>srv01</v>
      </c>
      <c r="I17" s="1" t="str">
        <v>ok</v>
      </c>
      <c r="J17" s="1" t="str">
        <v>ok</v>
      </c>
      <c r="K17" s="1" t="str">
        <v>ok</v>
      </c>
      <c r="L17" s="1">
        <v>11</v>
      </c>
      <c r="M17" s="1">
        <v>14</v>
      </c>
      <c r="N17" s="1">
        <v>2</v>
      </c>
      <c r="O17" s="1" t="b">
        <v>0</v>
      </c>
      <c r="P17" s="1">
        <v>1</v>
      </c>
    </row>
    <row r="18" spans="3:16" x14ac:dyDescent="0.25">
      <c r="C18" s="1">
        <v>12</v>
      </c>
      <c r="D18" s="1">
        <v>2</v>
      </c>
      <c r="E18" s="1">
        <v>2</v>
      </c>
      <c r="F18" s="1" t="str">
        <v>mgmtsw01;01</v>
      </c>
      <c r="G18" s="1">
        <v>2</v>
      </c>
      <c r="H18" s="1" t="str">
        <v>mgmtsw01</v>
      </c>
      <c r="I18" s="1" t="str">
        <v>ok</v>
      </c>
      <c r="J18" s="1" t="str">
        <v>ok</v>
      </c>
      <c r="K18" s="1" t="str">
        <v>ok</v>
      </c>
      <c r="L18" s="1">
        <v>12</v>
      </c>
      <c r="M18" s="1">
        <v>14</v>
      </c>
      <c r="N18" s="1">
        <v>2</v>
      </c>
      <c r="O18" s="1" t="b">
        <v>0</v>
      </c>
      <c r="P18" s="1">
        <v>1</v>
      </c>
    </row>
    <row r="19" spans="3:16" x14ac:dyDescent="0.25">
      <c r="C19" s="1">
        <v>13</v>
      </c>
      <c r="D19" s="1">
        <v>2</v>
      </c>
      <c r="E19" s="1">
        <v>3</v>
      </c>
      <c r="F19" s="1" t="str">
        <v/>
      </c>
      <c r="G19" s="1" t="str">
        <v/>
      </c>
      <c r="H19" s="1" t="str">
        <v/>
      </c>
      <c r="I19" s="1" t="str">
        <v/>
      </c>
      <c r="J19" s="1" t="str">
        <v/>
      </c>
      <c r="K19" s="1" t="str">
        <v>ok</v>
      </c>
      <c r="L19" s="1" t="str">
        <v/>
      </c>
      <c r="M19" s="1" t="str">
        <v/>
      </c>
      <c r="N19" s="1" t="str">
        <v/>
      </c>
      <c r="O19" s="1" t="b">
        <v>0</v>
      </c>
      <c r="P19" s="1" t="str">
        <v/>
      </c>
    </row>
    <row r="20" spans="3:16" x14ac:dyDescent="0.25">
      <c r="C20" s="1">
        <v>14</v>
      </c>
      <c r="D20" s="1">
        <v>2</v>
      </c>
      <c r="E20" s="1">
        <v>4</v>
      </c>
      <c r="F20" s="1" t="str">
        <v>leaf01;01</v>
      </c>
      <c r="G20" s="1">
        <v>3</v>
      </c>
      <c r="H20" s="1" t="str">
        <v>leaf01</v>
      </c>
      <c r="I20" s="1" t="str">
        <v>ok</v>
      </c>
      <c r="J20" s="1" t="str">
        <v>ok</v>
      </c>
      <c r="K20" s="1" t="str">
        <v>ok</v>
      </c>
      <c r="L20" s="1">
        <v>14</v>
      </c>
      <c r="M20" s="1">
        <v>14</v>
      </c>
      <c r="N20" s="1">
        <v>2</v>
      </c>
      <c r="O20" s="1" t="b">
        <v>0</v>
      </c>
      <c r="P20" s="1">
        <v>1</v>
      </c>
    </row>
    <row r="21" spans="3:16" x14ac:dyDescent="0.25">
      <c r="C21" s="1">
        <v>15</v>
      </c>
      <c r="D21" s="1">
        <v>2</v>
      </c>
      <c r="E21" s="1">
        <v>5</v>
      </c>
      <c r="F21" s="1" t="str">
        <v/>
      </c>
      <c r="G21" s="1" t="str">
        <v/>
      </c>
      <c r="H21" s="1" t="str">
        <v/>
      </c>
      <c r="I21" s="1" t="str">
        <v/>
      </c>
      <c r="J21" s="1" t="str">
        <v/>
      </c>
      <c r="K21" s="1" t="str">
        <v>ok</v>
      </c>
      <c r="L21" s="1" t="str">
        <v/>
      </c>
      <c r="M21" s="1" t="str">
        <v/>
      </c>
      <c r="N21" s="1" t="str">
        <v/>
      </c>
      <c r="O21" s="1" t="b">
        <v>0</v>
      </c>
      <c r="P21" s="1" t="str">
        <v/>
      </c>
    </row>
    <row r="22" spans="3:16" x14ac:dyDescent="0.25">
      <c r="C22" s="1">
        <v>16</v>
      </c>
      <c r="D22" s="1">
        <v>2</v>
      </c>
      <c r="E22" s="1">
        <v>6</v>
      </c>
      <c r="F22" s="1" t="str">
        <v/>
      </c>
      <c r="G22" s="1" t="str">
        <v/>
      </c>
      <c r="H22" s="1" t="str">
        <v/>
      </c>
      <c r="I22" s="1" t="str">
        <v/>
      </c>
      <c r="J22" s="1" t="str">
        <v/>
      </c>
      <c r="K22" s="1" t="str">
        <v>ok</v>
      </c>
      <c r="L22" s="1" t="str">
        <v/>
      </c>
      <c r="M22" s="1" t="str">
        <v/>
      </c>
      <c r="N22" s="1" t="str">
        <v/>
      </c>
      <c r="O22" s="1" t="b">
        <v>0</v>
      </c>
      <c r="P22" s="1" t="str">
        <v/>
      </c>
    </row>
    <row r="23" spans="3:16" x14ac:dyDescent="0.25">
      <c r="C23" s="1">
        <v>17</v>
      </c>
      <c r="D23" s="1">
        <v>2</v>
      </c>
      <c r="E23" s="1">
        <v>7</v>
      </c>
      <c r="F23" s="1" t="str">
        <v/>
      </c>
      <c r="G23" s="1" t="str">
        <v/>
      </c>
      <c r="H23" s="1" t="str">
        <v/>
      </c>
      <c r="I23" s="1" t="str">
        <v/>
      </c>
      <c r="J23" s="1" t="str">
        <v/>
      </c>
      <c r="K23" s="1" t="str">
        <v>ok</v>
      </c>
      <c r="L23" s="1" t="str">
        <v/>
      </c>
      <c r="M23" s="1" t="str">
        <v/>
      </c>
      <c r="N23" s="1" t="str">
        <v/>
      </c>
      <c r="O23" s="1" t="b">
        <v>0</v>
      </c>
      <c r="P23" s="1" t="str">
        <v/>
      </c>
    </row>
    <row r="24" spans="3:16" x14ac:dyDescent="0.25">
      <c r="C24" s="1">
        <v>18</v>
      </c>
      <c r="D24" s="1">
        <v>2</v>
      </c>
      <c r="E24" s="1">
        <v>8</v>
      </c>
      <c r="F24" s="1" t="str">
        <v/>
      </c>
      <c r="G24" s="1" t="str">
        <v/>
      </c>
      <c r="H24" s="1" t="str">
        <v/>
      </c>
      <c r="I24" s="1" t="str">
        <v/>
      </c>
      <c r="J24" s="1" t="str">
        <v/>
      </c>
      <c r="K24" s="1" t="str">
        <v>ok</v>
      </c>
      <c r="L24" s="1" t="str">
        <v/>
      </c>
      <c r="M24" s="1" t="str">
        <v/>
      </c>
      <c r="N24" s="1" t="str">
        <v/>
      </c>
      <c r="O24" s="1" t="b">
        <v>0</v>
      </c>
      <c r="P24" s="1" t="str">
        <v/>
      </c>
    </row>
    <row r="25" spans="3:16" x14ac:dyDescent="0.25">
      <c r="C25" s="1">
        <v>19</v>
      </c>
      <c r="D25" s="1">
        <v>2</v>
      </c>
      <c r="E25" s="1">
        <v>9</v>
      </c>
      <c r="F25" s="1" t="str">
        <v/>
      </c>
      <c r="G25" s="1" t="str">
        <v/>
      </c>
      <c r="H25" s="1" t="str">
        <v/>
      </c>
      <c r="I25" s="1" t="str">
        <v/>
      </c>
      <c r="J25" s="1" t="str">
        <v/>
      </c>
      <c r="K25" s="1" t="str">
        <v>ok</v>
      </c>
      <c r="L25" s="1" t="str">
        <v/>
      </c>
      <c r="M25" s="1" t="str">
        <v/>
      </c>
      <c r="N25" s="1" t="str">
        <v/>
      </c>
      <c r="O25" s="1" t="b">
        <v>0</v>
      </c>
      <c r="P25" s="1" t="str">
        <v/>
      </c>
    </row>
    <row r="26" spans="3:16" x14ac:dyDescent="0.25">
      <c r="C26" s="1">
        <v>20</v>
      </c>
      <c r="D26" s="1">
        <v>2</v>
      </c>
      <c r="E26" s="1">
        <v>10</v>
      </c>
      <c r="F26" s="1" t="str">
        <v/>
      </c>
      <c r="G26" s="1" t="str">
        <v/>
      </c>
      <c r="H26" s="1" t="str">
        <v/>
      </c>
      <c r="I26" s="1" t="str">
        <v/>
      </c>
      <c r="J26" s="1" t="str">
        <v/>
      </c>
      <c r="K26" s="1" t="str">
        <v>ok</v>
      </c>
      <c r="L26" s="1" t="str">
        <v/>
      </c>
      <c r="M26" s="1" t="str">
        <v/>
      </c>
      <c r="N26" s="1" t="str">
        <v/>
      </c>
      <c r="O26" s="1" t="b">
        <v>0</v>
      </c>
      <c r="P26" s="1" t="str">
        <v/>
      </c>
    </row>
    <row r="27" spans="3:16" x14ac:dyDescent="0.25">
      <c r="C27" s="1">
        <v>21</v>
      </c>
      <c r="D27" s="1">
        <v>3</v>
      </c>
      <c r="E27" s="1">
        <v>1</v>
      </c>
      <c r="F27" s="1" t="str">
        <v>srv01;ob/2</v>
      </c>
      <c r="G27" s="1">
        <v>1</v>
      </c>
      <c r="H27" s="1" t="str">
        <v>srv01</v>
      </c>
      <c r="I27" s="1" t="str">
        <v>ok</v>
      </c>
      <c r="J27" s="1" t="str">
        <v>ok</v>
      </c>
      <c r="K27" s="1" t="str">
        <v>ok</v>
      </c>
      <c r="L27" s="1">
        <v>21</v>
      </c>
      <c r="M27" s="1">
        <v>27</v>
      </c>
      <c r="N27" s="1">
        <v>3</v>
      </c>
      <c r="O27" s="1" t="b">
        <v>0</v>
      </c>
      <c r="P27" s="1">
        <v>1</v>
      </c>
    </row>
    <row r="28" spans="3:16" x14ac:dyDescent="0.25">
      <c r="C28" s="1">
        <v>22</v>
      </c>
      <c r="D28" s="1">
        <v>3</v>
      </c>
      <c r="E28" s="1">
        <v>2</v>
      </c>
      <c r="F28" s="1" t="str">
        <v/>
      </c>
      <c r="G28" s="1" t="str">
        <v/>
      </c>
      <c r="H28" s="1" t="str">
        <v/>
      </c>
      <c r="I28" s="1" t="str">
        <v/>
      </c>
      <c r="J28" s="1" t="str">
        <v/>
      </c>
      <c r="K28" s="1" t="str">
        <v>ok</v>
      </c>
      <c r="L28" s="1" t="str">
        <v/>
      </c>
      <c r="M28" s="1" t="str">
        <v/>
      </c>
      <c r="N28" s="1" t="str">
        <v/>
      </c>
      <c r="O28" s="1" t="b">
        <v>0</v>
      </c>
      <c r="P28" s="1" t="str">
        <v/>
      </c>
    </row>
    <row r="29" spans="3:16" x14ac:dyDescent="0.25">
      <c r="C29" s="1">
        <v>23</v>
      </c>
      <c r="D29" s="1">
        <v>3</v>
      </c>
      <c r="E29" s="1">
        <v>3</v>
      </c>
      <c r="F29" s="1" t="str">
        <v/>
      </c>
      <c r="G29" s="1" t="str">
        <v/>
      </c>
      <c r="H29" s="1" t="str">
        <v/>
      </c>
      <c r="I29" s="1" t="str">
        <v/>
      </c>
      <c r="J29" s="1" t="str">
        <v/>
      </c>
      <c r="K29" s="1" t="str">
        <v>ok</v>
      </c>
      <c r="L29" s="1" t="str">
        <v/>
      </c>
      <c r="M29" s="1" t="str">
        <v/>
      </c>
      <c r="N29" s="1" t="str">
        <v/>
      </c>
      <c r="O29" s="1" t="b">
        <v>0</v>
      </c>
      <c r="P29" s="1" t="str">
        <v/>
      </c>
    </row>
    <row r="30" spans="3:16" x14ac:dyDescent="0.25">
      <c r="C30" s="1">
        <v>24</v>
      </c>
      <c r="D30" s="1">
        <v>3</v>
      </c>
      <c r="E30" s="1">
        <v>4</v>
      </c>
      <c r="F30" s="1" t="str">
        <v/>
      </c>
      <c r="G30" s="1" t="str">
        <v/>
      </c>
      <c r="H30" s="1" t="str">
        <v/>
      </c>
      <c r="I30" s="1" t="str">
        <v/>
      </c>
      <c r="J30" s="1" t="str">
        <v/>
      </c>
      <c r="K30" s="1" t="str">
        <v>ok</v>
      </c>
      <c r="L30" s="1" t="str">
        <v/>
      </c>
      <c r="M30" s="1" t="str">
        <v/>
      </c>
      <c r="N30" s="1" t="str">
        <v/>
      </c>
      <c r="O30" s="1" t="b">
        <v>0</v>
      </c>
      <c r="P30" s="1" t="str">
        <v/>
      </c>
    </row>
    <row r="31" spans="3:16" x14ac:dyDescent="0.25">
      <c r="C31" s="1">
        <v>25</v>
      </c>
      <c r="D31" s="1">
        <v>3</v>
      </c>
      <c r="E31" s="1">
        <v>5</v>
      </c>
      <c r="F31" s="1" t="str">
        <v/>
      </c>
      <c r="G31" s="1" t="str">
        <v/>
      </c>
      <c r="H31" s="1" t="str">
        <v/>
      </c>
      <c r="I31" s="1" t="str">
        <v/>
      </c>
      <c r="J31" s="1" t="str">
        <v/>
      </c>
      <c r="K31" s="1" t="str">
        <v>ok</v>
      </c>
      <c r="L31" s="1" t="str">
        <v/>
      </c>
      <c r="M31" s="1" t="str">
        <v/>
      </c>
      <c r="N31" s="1" t="str">
        <v/>
      </c>
      <c r="O31" s="1" t="b">
        <v>0</v>
      </c>
      <c r="P31" s="1" t="str">
        <v/>
      </c>
    </row>
    <row r="32" spans="3:16" x14ac:dyDescent="0.25">
      <c r="C32" s="1">
        <v>26</v>
      </c>
      <c r="D32" s="1">
        <v>3</v>
      </c>
      <c r="E32" s="1">
        <v>6</v>
      </c>
      <c r="F32" s="1" t="str">
        <v/>
      </c>
      <c r="G32" s="1" t="str">
        <v/>
      </c>
      <c r="H32" s="1" t="str">
        <v/>
      </c>
      <c r="I32" s="1" t="str">
        <v/>
      </c>
      <c r="J32" s="1" t="str">
        <v/>
      </c>
      <c r="K32" s="1" t="str">
        <v>ok</v>
      </c>
      <c r="L32" s="1" t="str">
        <v/>
      </c>
      <c r="M32" s="1" t="str">
        <v/>
      </c>
      <c r="N32" s="1" t="str">
        <v/>
      </c>
      <c r="O32" s="1" t="b">
        <v>0</v>
      </c>
      <c r="P32" s="1" t="str">
        <v/>
      </c>
    </row>
    <row r="33" spans="3:16" x14ac:dyDescent="0.25">
      <c r="C33" s="1">
        <v>27</v>
      </c>
      <c r="D33" s="1">
        <v>3</v>
      </c>
      <c r="E33" s="1">
        <v>7</v>
      </c>
      <c r="F33" s="1" t="str">
        <v>leaf01;02</v>
      </c>
      <c r="G33" s="1">
        <v>2</v>
      </c>
      <c r="H33" s="1" t="str">
        <v>leaf01</v>
      </c>
      <c r="I33" s="1" t="str">
        <v>ok</v>
      </c>
      <c r="J33" s="1" t="str">
        <v>ok</v>
      </c>
      <c r="K33" s="1" t="str">
        <v>ok</v>
      </c>
      <c r="L33" s="1">
        <v>27</v>
      </c>
      <c r="M33" s="1">
        <v>27</v>
      </c>
      <c r="N33" s="1">
        <v>3</v>
      </c>
      <c r="O33" s="1" t="b">
        <v>0</v>
      </c>
      <c r="P33" s="1">
        <v>1</v>
      </c>
    </row>
    <row r="34" spans="3:16" x14ac:dyDescent="0.25">
      <c r="C34" s="1">
        <v>28</v>
      </c>
      <c r="D34" s="1">
        <v>3</v>
      </c>
      <c r="E34" s="1">
        <v>8</v>
      </c>
      <c r="F34" s="1" t="str">
        <v/>
      </c>
      <c r="G34" s="1" t="str">
        <v/>
      </c>
      <c r="H34" s="1" t="str">
        <v/>
      </c>
      <c r="I34" s="1" t="str">
        <v/>
      </c>
      <c r="J34" s="1" t="str">
        <v/>
      </c>
      <c r="K34" s="1" t="str">
        <v>ok</v>
      </c>
      <c r="L34" s="1" t="str">
        <v/>
      </c>
      <c r="M34" s="1" t="str">
        <v/>
      </c>
      <c r="N34" s="1" t="str">
        <v/>
      </c>
      <c r="O34" s="1" t="b">
        <v>0</v>
      </c>
      <c r="P34" s="1" t="str">
        <v/>
      </c>
    </row>
    <row r="35" spans="3:16" x14ac:dyDescent="0.25">
      <c r="C35" s="1">
        <v>29</v>
      </c>
      <c r="D35" s="1">
        <v>3</v>
      </c>
      <c r="E35" s="1">
        <v>9</v>
      </c>
      <c r="F35" s="1" t="str">
        <v/>
      </c>
      <c r="G35" s="1" t="str">
        <v/>
      </c>
      <c r="H35" s="1" t="str">
        <v/>
      </c>
      <c r="I35" s="1" t="str">
        <v/>
      </c>
      <c r="J35" s="1" t="str">
        <v/>
      </c>
      <c r="K35" s="1" t="str">
        <v>ok</v>
      </c>
      <c r="L35" s="1" t="str">
        <v/>
      </c>
      <c r="M35" s="1" t="str">
        <v/>
      </c>
      <c r="N35" s="1" t="str">
        <v/>
      </c>
      <c r="O35" s="1" t="b">
        <v>0</v>
      </c>
      <c r="P35" s="1" t="str">
        <v/>
      </c>
    </row>
    <row r="36" spans="3:16" x14ac:dyDescent="0.25">
      <c r="C36" s="1">
        <v>30</v>
      </c>
      <c r="D36" s="1">
        <v>3</v>
      </c>
      <c r="E36" s="1">
        <v>10</v>
      </c>
      <c r="F36" s="1" t="str">
        <v/>
      </c>
      <c r="G36" s="1" t="str">
        <v/>
      </c>
      <c r="H36" s="1" t="str">
        <v/>
      </c>
      <c r="I36" s="1" t="str">
        <v/>
      </c>
      <c r="J36" s="1" t="str">
        <v/>
      </c>
      <c r="K36" s="1" t="str">
        <v>ok</v>
      </c>
      <c r="L36" s="1" t="str">
        <v/>
      </c>
      <c r="M36" s="1" t="str">
        <v/>
      </c>
      <c r="N36" s="1" t="str">
        <v/>
      </c>
      <c r="O36" s="1" t="b">
        <v>0</v>
      </c>
      <c r="P36" s="1" t="str">
        <v/>
      </c>
    </row>
    <row r="37" spans="3:16" x14ac:dyDescent="0.25">
      <c r="C37" s="1">
        <v>31</v>
      </c>
      <c r="D37" s="1">
        <v>4</v>
      </c>
      <c r="E37" s="1">
        <v>1</v>
      </c>
      <c r="F37" s="1" t="str">
        <v>srv02;idrac</v>
      </c>
      <c r="G37" s="1">
        <v>1</v>
      </c>
      <c r="H37" s="1" t="str">
        <v>srv02</v>
      </c>
      <c r="I37" s="1" t="str">
        <v>ok</v>
      </c>
      <c r="J37" s="1" t="str">
        <v>ok</v>
      </c>
      <c r="K37" s="1" t="str">
        <v>ok</v>
      </c>
      <c r="L37" s="1">
        <v>31</v>
      </c>
      <c r="M37" s="1">
        <v>36</v>
      </c>
      <c r="N37" s="1">
        <v>4</v>
      </c>
      <c r="O37" s="1" t="b">
        <v>0</v>
      </c>
      <c r="P37" s="1">
        <v>1</v>
      </c>
    </row>
    <row r="38" spans="3:16" x14ac:dyDescent="0.25">
      <c r="C38" s="1">
        <v>32</v>
      </c>
      <c r="D38" s="1">
        <v>4</v>
      </c>
      <c r="E38" s="1">
        <v>2</v>
      </c>
      <c r="F38" s="1" t="str">
        <v/>
      </c>
      <c r="G38" s="1" t="str">
        <v/>
      </c>
      <c r="H38" s="1" t="str">
        <v/>
      </c>
      <c r="I38" s="1" t="str">
        <v/>
      </c>
      <c r="J38" s="1" t="str">
        <v/>
      </c>
      <c r="K38" s="1" t="str">
        <v>ok</v>
      </c>
      <c r="L38" s="1" t="str">
        <v/>
      </c>
      <c r="M38" s="1" t="str">
        <v/>
      </c>
      <c r="N38" s="1" t="str">
        <v/>
      </c>
      <c r="O38" s="1" t="b">
        <v>0</v>
      </c>
      <c r="P38" s="1" t="str">
        <v/>
      </c>
    </row>
    <row r="39" spans="3:16" x14ac:dyDescent="0.25">
      <c r="C39" s="1">
        <v>33</v>
      </c>
      <c r="D39" s="1">
        <v>4</v>
      </c>
      <c r="E39" s="1">
        <v>3</v>
      </c>
      <c r="F39" s="1" t="str">
        <v/>
      </c>
      <c r="G39" s="1" t="str">
        <v/>
      </c>
      <c r="H39" s="1" t="str">
        <v/>
      </c>
      <c r="I39" s="1" t="str">
        <v/>
      </c>
      <c r="J39" s="1" t="str">
        <v/>
      </c>
      <c r="K39" s="1" t="str">
        <v>ok</v>
      </c>
      <c r="L39" s="1" t="str">
        <v/>
      </c>
      <c r="M39" s="1" t="str">
        <v/>
      </c>
      <c r="N39" s="1" t="str">
        <v/>
      </c>
      <c r="O39" s="1" t="b">
        <v>0</v>
      </c>
      <c r="P39" s="1" t="str">
        <v/>
      </c>
    </row>
    <row r="40" spans="3:16" x14ac:dyDescent="0.25">
      <c r="C40" s="1">
        <v>34</v>
      </c>
      <c r="D40" s="1">
        <v>4</v>
      </c>
      <c r="E40" s="1">
        <v>4</v>
      </c>
      <c r="F40" s="1" t="str">
        <v/>
      </c>
      <c r="G40" s="1" t="str">
        <v/>
      </c>
      <c r="H40" s="1" t="str">
        <v/>
      </c>
      <c r="I40" s="1" t="str">
        <v/>
      </c>
      <c r="J40" s="1" t="str">
        <v/>
      </c>
      <c r="K40" s="1" t="str">
        <v>ok</v>
      </c>
      <c r="L40" s="1" t="str">
        <v/>
      </c>
      <c r="M40" s="1" t="str">
        <v/>
      </c>
      <c r="N40" s="1" t="str">
        <v/>
      </c>
      <c r="O40" s="1" t="b">
        <v>0</v>
      </c>
      <c r="P40" s="1" t="str">
        <v/>
      </c>
    </row>
    <row r="41" spans="3:16" x14ac:dyDescent="0.25">
      <c r="C41" s="1">
        <v>35</v>
      </c>
      <c r="D41" s="1">
        <v>4</v>
      </c>
      <c r="E41" s="1">
        <v>5</v>
      </c>
      <c r="F41" s="1" t="str">
        <v/>
      </c>
      <c r="G41" s="1" t="str">
        <v/>
      </c>
      <c r="H41" s="1" t="str">
        <v/>
      </c>
      <c r="I41" s="1" t="str">
        <v/>
      </c>
      <c r="J41" s="1" t="str">
        <v/>
      </c>
      <c r="K41" s="1" t="str">
        <v>ok</v>
      </c>
      <c r="L41" s="1" t="str">
        <v/>
      </c>
      <c r="M41" s="1" t="str">
        <v/>
      </c>
      <c r="N41" s="1" t="str">
        <v/>
      </c>
      <c r="O41" s="1" t="b">
        <v>0</v>
      </c>
      <c r="P41" s="1" t="str">
        <v/>
      </c>
    </row>
    <row r="42" spans="3:16" x14ac:dyDescent="0.25">
      <c r="C42" s="1">
        <v>36</v>
      </c>
      <c r="D42" s="1">
        <v>4</v>
      </c>
      <c r="E42" s="1">
        <v>6</v>
      </c>
      <c r="F42" s="1" t="str">
        <v>mgmtsw01;02</v>
      </c>
      <c r="G42" s="1">
        <v>2</v>
      </c>
      <c r="H42" s="1" t="str">
        <v>mgmtsw01</v>
      </c>
      <c r="I42" s="1" t="str">
        <v>ok</v>
      </c>
      <c r="J42" s="1" t="str">
        <v>ok</v>
      </c>
      <c r="K42" s="1" t="str">
        <v>ok</v>
      </c>
      <c r="L42" s="1">
        <v>36</v>
      </c>
      <c r="M42" s="1">
        <v>36</v>
      </c>
      <c r="N42" s="1">
        <v>4</v>
      </c>
      <c r="O42" s="1" t="b">
        <v>0</v>
      </c>
      <c r="P42" s="1">
        <v>1</v>
      </c>
    </row>
    <row r="43" spans="3:16" x14ac:dyDescent="0.25">
      <c r="C43" s="1">
        <v>37</v>
      </c>
      <c r="D43" s="1">
        <v>4</v>
      </c>
      <c r="E43" s="1">
        <v>7</v>
      </c>
      <c r="F43" s="1" t="str">
        <v/>
      </c>
      <c r="G43" s="1" t="str">
        <v/>
      </c>
      <c r="H43" s="1" t="str">
        <v/>
      </c>
      <c r="I43" s="1" t="str">
        <v/>
      </c>
      <c r="J43" s="1" t="str">
        <v/>
      </c>
      <c r="K43" s="1" t="str">
        <v>ok</v>
      </c>
      <c r="L43" s="1" t="str">
        <v/>
      </c>
      <c r="M43" s="1" t="str">
        <v/>
      </c>
      <c r="N43" s="1" t="str">
        <v/>
      </c>
      <c r="O43" s="1" t="b">
        <v>0</v>
      </c>
      <c r="P43" s="1" t="str">
        <v/>
      </c>
    </row>
    <row r="44" spans="3:16" x14ac:dyDescent="0.25">
      <c r="C44" s="1">
        <v>38</v>
      </c>
      <c r="D44" s="1">
        <v>4</v>
      </c>
      <c r="E44" s="1">
        <v>8</v>
      </c>
      <c r="F44" s="1" t="str">
        <v/>
      </c>
      <c r="G44" s="1" t="str">
        <v/>
      </c>
      <c r="H44" s="1" t="str">
        <v/>
      </c>
      <c r="I44" s="1" t="str">
        <v/>
      </c>
      <c r="J44" s="1" t="str">
        <v/>
      </c>
      <c r="K44" s="1" t="str">
        <v>ok</v>
      </c>
      <c r="L44" s="1" t="str">
        <v/>
      </c>
      <c r="M44" s="1" t="str">
        <v/>
      </c>
      <c r="N44" s="1" t="str">
        <v/>
      </c>
      <c r="O44" s="1" t="b">
        <v>0</v>
      </c>
      <c r="P44" s="1" t="str">
        <v/>
      </c>
    </row>
    <row r="45" spans="3:16" x14ac:dyDescent="0.25">
      <c r="C45" s="1">
        <v>39</v>
      </c>
      <c r="D45" s="1">
        <v>4</v>
      </c>
      <c r="E45" s="1">
        <v>9</v>
      </c>
      <c r="F45" s="1" t="str">
        <v/>
      </c>
      <c r="G45" s="1" t="str">
        <v/>
      </c>
      <c r="H45" s="1" t="str">
        <v/>
      </c>
      <c r="I45" s="1" t="str">
        <v/>
      </c>
      <c r="J45" s="1" t="str">
        <v/>
      </c>
      <c r="K45" s="1" t="str">
        <v>ok</v>
      </c>
      <c r="L45" s="1" t="str">
        <v/>
      </c>
      <c r="M45" s="1" t="str">
        <v/>
      </c>
      <c r="N45" s="1" t="str">
        <v/>
      </c>
      <c r="O45" s="1" t="b">
        <v>0</v>
      </c>
      <c r="P45" s="1" t="str">
        <v/>
      </c>
    </row>
    <row r="46" spans="3:16" x14ac:dyDescent="0.25">
      <c r="C46" s="1">
        <v>40</v>
      </c>
      <c r="D46" s="1">
        <v>4</v>
      </c>
      <c r="E46" s="1">
        <v>10</v>
      </c>
      <c r="F46" s="1" t="str">
        <v/>
      </c>
      <c r="G46" s="1" t="str">
        <v/>
      </c>
      <c r="H46" s="1" t="str">
        <v/>
      </c>
      <c r="I46" s="1" t="str">
        <v/>
      </c>
      <c r="J46" s="1" t="str">
        <v/>
      </c>
      <c r="K46" s="1" t="str">
        <v>ok</v>
      </c>
      <c r="L46" s="1" t="str">
        <v/>
      </c>
      <c r="M46" s="1" t="str">
        <v/>
      </c>
      <c r="N46" s="1" t="str">
        <v/>
      </c>
      <c r="O46" s="1" t="b">
        <v>0</v>
      </c>
      <c r="P46" s="1" t="str">
        <v/>
      </c>
    </row>
    <row r="47" spans="3:16" x14ac:dyDescent="0.25">
      <c r="C47" s="1">
        <v>41</v>
      </c>
      <c r="D47" s="1">
        <v>5</v>
      </c>
      <c r="E47" s="1">
        <v>1</v>
      </c>
      <c r="F47" s="1" t="str">
        <v>leaf01;07</v>
      </c>
      <c r="G47" s="1">
        <v>1</v>
      </c>
      <c r="H47" s="1" t="str">
        <v>leaf01</v>
      </c>
      <c r="I47" s="1" t="str">
        <v>ok</v>
      </c>
      <c r="J47" s="1" t="str">
        <v>ok</v>
      </c>
      <c r="K47" s="1" t="str">
        <v>ok</v>
      </c>
      <c r="L47" s="1">
        <v>41</v>
      </c>
      <c r="M47" s="1">
        <v>48</v>
      </c>
      <c r="N47" s="1">
        <v>5</v>
      </c>
      <c r="O47" s="1" t="b">
        <v>0</v>
      </c>
      <c r="P47" s="1">
        <v>1</v>
      </c>
    </row>
    <row r="48" spans="3:16" x14ac:dyDescent="0.25">
      <c r="C48" s="1">
        <v>42</v>
      </c>
      <c r="D48" s="1">
        <v>5</v>
      </c>
      <c r="E48" s="1">
        <v>2</v>
      </c>
      <c r="F48" s="1" t="str">
        <v/>
      </c>
      <c r="G48" s="1" t="str">
        <v/>
      </c>
      <c r="H48" s="1" t="str">
        <v/>
      </c>
      <c r="I48" s="1" t="str">
        <v/>
      </c>
      <c r="J48" s="1" t="str">
        <v/>
      </c>
      <c r="K48" s="1" t="str">
        <v>ok</v>
      </c>
      <c r="L48" s="1" t="str">
        <v/>
      </c>
      <c r="M48" s="1" t="str">
        <v/>
      </c>
      <c r="N48" s="1" t="str">
        <v/>
      </c>
      <c r="O48" s="1" t="b">
        <v>0</v>
      </c>
      <c r="P48" s="1" t="str">
        <v/>
      </c>
    </row>
    <row r="49" spans="3:16" x14ac:dyDescent="0.25">
      <c r="C49" s="1">
        <v>43</v>
      </c>
      <c r="D49" s="1">
        <v>5</v>
      </c>
      <c r="E49" s="1">
        <v>3</v>
      </c>
      <c r="F49" s="1" t="str">
        <v/>
      </c>
      <c r="G49" s="1" t="str">
        <v/>
      </c>
      <c r="H49" s="1" t="str">
        <v/>
      </c>
      <c r="I49" s="1" t="str">
        <v/>
      </c>
      <c r="J49" s="1" t="str">
        <v/>
      </c>
      <c r="K49" s="1" t="str">
        <v>ok</v>
      </c>
      <c r="L49" s="1" t="str">
        <v/>
      </c>
      <c r="M49" s="1" t="str">
        <v/>
      </c>
      <c r="N49" s="1" t="str">
        <v/>
      </c>
      <c r="O49" s="1" t="b">
        <v>0</v>
      </c>
      <c r="P49" s="1" t="str">
        <v/>
      </c>
    </row>
    <row r="50" spans="3:16" x14ac:dyDescent="0.25">
      <c r="C50" s="1">
        <v>44</v>
      </c>
      <c r="D50" s="1">
        <v>5</v>
      </c>
      <c r="E50" s="1">
        <v>4</v>
      </c>
      <c r="F50" s="1" t="str">
        <v/>
      </c>
      <c r="G50" s="1" t="str">
        <v/>
      </c>
      <c r="H50" s="1" t="str">
        <v/>
      </c>
      <c r="I50" s="1" t="str">
        <v/>
      </c>
      <c r="J50" s="1" t="str">
        <v/>
      </c>
      <c r="K50" s="1" t="str">
        <v>ok</v>
      </c>
      <c r="L50" s="1" t="str">
        <v/>
      </c>
      <c r="M50" s="1" t="str">
        <v/>
      </c>
      <c r="N50" s="1" t="str">
        <v/>
      </c>
      <c r="O50" s="1" t="b">
        <v>0</v>
      </c>
      <c r="P50" s="1" t="str">
        <v/>
      </c>
    </row>
    <row r="51" spans="3:16" x14ac:dyDescent="0.25">
      <c r="C51" s="1">
        <v>45</v>
      </c>
      <c r="D51" s="1">
        <v>5</v>
      </c>
      <c r="E51" s="1">
        <v>5</v>
      </c>
      <c r="F51" s="1" t="str">
        <v/>
      </c>
      <c r="G51" s="1" t="str">
        <v/>
      </c>
      <c r="H51" s="1" t="str">
        <v/>
      </c>
      <c r="I51" s="1" t="str">
        <v/>
      </c>
      <c r="J51" s="1" t="str">
        <v/>
      </c>
      <c r="K51" s="1" t="str">
        <v>ok</v>
      </c>
      <c r="L51" s="1" t="str">
        <v/>
      </c>
      <c r="M51" s="1" t="str">
        <v/>
      </c>
      <c r="N51" s="1" t="str">
        <v/>
      </c>
      <c r="O51" s="1" t="b">
        <v>0</v>
      </c>
      <c r="P51" s="1" t="str">
        <v/>
      </c>
    </row>
    <row r="52" spans="3:16" x14ac:dyDescent="0.25">
      <c r="C52" s="1">
        <v>46</v>
      </c>
      <c r="D52" s="1">
        <v>5</v>
      </c>
      <c r="E52" s="1">
        <v>6</v>
      </c>
      <c r="F52" s="1" t="str">
        <v/>
      </c>
      <c r="G52" s="1" t="str">
        <v/>
      </c>
      <c r="H52" s="1" t="str">
        <v/>
      </c>
      <c r="I52" s="1" t="str">
        <v/>
      </c>
      <c r="J52" s="1" t="str">
        <v/>
      </c>
      <c r="K52" s="1" t="str">
        <v>ok</v>
      </c>
      <c r="L52" s="1" t="str">
        <v/>
      </c>
      <c r="M52" s="1" t="str">
        <v/>
      </c>
      <c r="N52" s="1" t="str">
        <v/>
      </c>
      <c r="O52" s="1" t="b">
        <v>0</v>
      </c>
      <c r="P52" s="1" t="str">
        <v/>
      </c>
    </row>
    <row r="53" spans="3:16" x14ac:dyDescent="0.25">
      <c r="C53" s="1">
        <v>47</v>
      </c>
      <c r="D53" s="1">
        <v>5</v>
      </c>
      <c r="E53" s="1">
        <v>7</v>
      </c>
      <c r="F53" s="1" t="str">
        <v/>
      </c>
      <c r="G53" s="1" t="str">
        <v/>
      </c>
      <c r="H53" s="1" t="str">
        <v/>
      </c>
      <c r="I53" s="1" t="str">
        <v/>
      </c>
      <c r="J53" s="1" t="str">
        <v/>
      </c>
      <c r="K53" s="1" t="str">
        <v>ok</v>
      </c>
      <c r="L53" s="1" t="str">
        <v/>
      </c>
      <c r="M53" s="1" t="str">
        <v/>
      </c>
      <c r="N53" s="1" t="str">
        <v/>
      </c>
      <c r="O53" s="1" t="b">
        <v>0</v>
      </c>
      <c r="P53" s="1" t="str">
        <v/>
      </c>
    </row>
    <row r="54" spans="3:16" x14ac:dyDescent="0.25">
      <c r="C54" s="1">
        <v>48</v>
      </c>
      <c r="D54" s="1">
        <v>5</v>
      </c>
      <c r="E54" s="1">
        <v>8</v>
      </c>
      <c r="F54" s="1" t="str">
        <v>spine01;01</v>
      </c>
      <c r="G54" s="1">
        <v>2</v>
      </c>
      <c r="H54" s="1" t="str">
        <v>spine01</v>
      </c>
      <c r="I54" s="1" t="str">
        <v>ok</v>
      </c>
      <c r="J54" s="1" t="str">
        <v>ok</v>
      </c>
      <c r="K54" s="1" t="str">
        <v>ok</v>
      </c>
      <c r="L54" s="1">
        <v>48</v>
      </c>
      <c r="M54" s="1">
        <v>48</v>
      </c>
      <c r="N54" s="1">
        <v>5</v>
      </c>
      <c r="O54" s="1" t="b">
        <v>0</v>
      </c>
      <c r="P54" s="1">
        <v>1</v>
      </c>
    </row>
    <row r="55" spans="3:16" x14ac:dyDescent="0.25">
      <c r="C55" s="1">
        <v>49</v>
      </c>
      <c r="D55" s="1">
        <v>5</v>
      </c>
      <c r="E55" s="1">
        <v>9</v>
      </c>
      <c r="F55" s="1" t="str">
        <v/>
      </c>
      <c r="G55" s="1" t="str">
        <v/>
      </c>
      <c r="H55" s="1" t="str">
        <v/>
      </c>
      <c r="I55" s="1" t="str">
        <v/>
      </c>
      <c r="J55" s="1" t="str">
        <v/>
      </c>
      <c r="K55" s="1" t="str">
        <v>ok</v>
      </c>
      <c r="L55" s="1" t="str">
        <v/>
      </c>
      <c r="M55" s="1" t="str">
        <v/>
      </c>
      <c r="N55" s="1" t="str">
        <v/>
      </c>
      <c r="O55" s="1" t="b">
        <v>0</v>
      </c>
      <c r="P55" s="1" t="str">
        <v/>
      </c>
    </row>
    <row r="56" spans="3:16" x14ac:dyDescent="0.25">
      <c r="C56" s="1">
        <v>50</v>
      </c>
      <c r="D56" s="1">
        <v>5</v>
      </c>
      <c r="E56" s="1">
        <v>10</v>
      </c>
      <c r="F56" s="1" t="str">
        <v/>
      </c>
      <c r="G56" s="1" t="str">
        <v/>
      </c>
      <c r="H56" s="1" t="str">
        <v/>
      </c>
      <c r="I56" s="1" t="str">
        <v/>
      </c>
      <c r="J56" s="1" t="str">
        <v/>
      </c>
      <c r="K56" s="1" t="str">
        <v>ok</v>
      </c>
      <c r="L56" s="1" t="str">
        <v/>
      </c>
      <c r="M56" s="1" t="str">
        <v/>
      </c>
      <c r="N56" s="1" t="str">
        <v/>
      </c>
      <c r="O56" s="1" t="b">
        <v>0</v>
      </c>
      <c r="P56" s="1" t="str">
        <v/>
      </c>
    </row>
    <row r="57" spans="3:16" x14ac:dyDescent="0.25">
      <c r="C57" s="1">
        <v>51</v>
      </c>
      <c r="D57" s="1">
        <v>6</v>
      </c>
      <c r="E57" s="1">
        <v>1</v>
      </c>
      <c r="F57" s="1" t="str">
        <v>leaf01;08</v>
      </c>
      <c r="G57" s="1">
        <v>1</v>
      </c>
      <c r="H57" s="1" t="str">
        <v>leaf01</v>
      </c>
      <c r="I57" s="1" t="str">
        <v>ok</v>
      </c>
      <c r="J57" s="1" t="str">
        <v>ok</v>
      </c>
      <c r="K57" s="1" t="str">
        <v>ok</v>
      </c>
      <c r="L57" s="1">
        <v>51</v>
      </c>
      <c r="M57" s="1">
        <v>58</v>
      </c>
      <c r="N57" s="1">
        <v>6</v>
      </c>
      <c r="O57" s="1" t="b">
        <v>0</v>
      </c>
      <c r="P57" s="1">
        <v>1</v>
      </c>
    </row>
    <row r="58" spans="3:16" x14ac:dyDescent="0.25">
      <c r="C58" s="1">
        <v>52</v>
      </c>
      <c r="D58" s="1">
        <v>6</v>
      </c>
      <c r="E58" s="1">
        <v>2</v>
      </c>
      <c r="F58" s="1" t="str">
        <v/>
      </c>
      <c r="G58" s="1" t="str">
        <v/>
      </c>
      <c r="H58" s="1" t="str">
        <v/>
      </c>
      <c r="I58" s="1" t="str">
        <v/>
      </c>
      <c r="J58" s="1" t="str">
        <v/>
      </c>
      <c r="K58" s="1" t="str">
        <v>ok</v>
      </c>
      <c r="L58" s="1" t="str">
        <v/>
      </c>
      <c r="M58" s="1" t="str">
        <v/>
      </c>
      <c r="N58" s="1" t="str">
        <v/>
      </c>
      <c r="O58" s="1" t="b">
        <v>0</v>
      </c>
      <c r="P58" s="1" t="str">
        <v/>
      </c>
    </row>
    <row r="59" spans="3:16" x14ac:dyDescent="0.25">
      <c r="C59" s="1">
        <v>53</v>
      </c>
      <c r="D59" s="1">
        <v>6</v>
      </c>
      <c r="E59" s="1">
        <v>3</v>
      </c>
      <c r="F59" s="1" t="str">
        <v/>
      </c>
      <c r="G59" s="1" t="str">
        <v/>
      </c>
      <c r="H59" s="1" t="str">
        <v/>
      </c>
      <c r="I59" s="1" t="str">
        <v/>
      </c>
      <c r="J59" s="1" t="str">
        <v/>
      </c>
      <c r="K59" s="1" t="str">
        <v>ok</v>
      </c>
      <c r="L59" s="1" t="str">
        <v/>
      </c>
      <c r="M59" s="1" t="str">
        <v/>
      </c>
      <c r="N59" s="1" t="str">
        <v/>
      </c>
      <c r="O59" s="1" t="b">
        <v>0</v>
      </c>
      <c r="P59" s="1" t="str">
        <v/>
      </c>
    </row>
    <row r="60" spans="3:16" x14ac:dyDescent="0.25">
      <c r="C60" s="1">
        <v>54</v>
      </c>
      <c r="D60" s="1">
        <v>6</v>
      </c>
      <c r="E60" s="1">
        <v>4</v>
      </c>
      <c r="F60" s="1" t="str">
        <v/>
      </c>
      <c r="G60" s="1" t="str">
        <v/>
      </c>
      <c r="H60" s="1" t="str">
        <v/>
      </c>
      <c r="I60" s="1" t="str">
        <v/>
      </c>
      <c r="J60" s="1" t="str">
        <v/>
      </c>
      <c r="K60" s="1" t="str">
        <v>ok</v>
      </c>
      <c r="L60" s="1" t="str">
        <v/>
      </c>
      <c r="M60" s="1" t="str">
        <v/>
      </c>
      <c r="N60" s="1" t="str">
        <v/>
      </c>
      <c r="O60" s="1" t="b">
        <v>0</v>
      </c>
      <c r="P60" s="1" t="str">
        <v/>
      </c>
    </row>
    <row r="61" spans="3:16" x14ac:dyDescent="0.25">
      <c r="C61" s="1">
        <v>55</v>
      </c>
      <c r="D61" s="1">
        <v>6</v>
      </c>
      <c r="E61" s="1">
        <v>5</v>
      </c>
      <c r="F61" s="1" t="str">
        <v/>
      </c>
      <c r="G61" s="1" t="str">
        <v/>
      </c>
      <c r="H61" s="1" t="str">
        <v/>
      </c>
      <c r="I61" s="1" t="str">
        <v/>
      </c>
      <c r="J61" s="1" t="str">
        <v/>
      </c>
      <c r="K61" s="1" t="str">
        <v>ok</v>
      </c>
      <c r="L61" s="1" t="str">
        <v/>
      </c>
      <c r="M61" s="1" t="str">
        <v/>
      </c>
      <c r="N61" s="1" t="str">
        <v/>
      </c>
      <c r="O61" s="1" t="b">
        <v>0</v>
      </c>
      <c r="P61" s="1" t="str">
        <v/>
      </c>
    </row>
    <row r="62" spans="3:16" x14ac:dyDescent="0.25">
      <c r="C62" s="1">
        <v>56</v>
      </c>
      <c r="D62" s="1">
        <v>6</v>
      </c>
      <c r="E62" s="1">
        <v>6</v>
      </c>
      <c r="F62" s="1" t="str">
        <v/>
      </c>
      <c r="G62" s="1" t="str">
        <v/>
      </c>
      <c r="H62" s="1" t="str">
        <v/>
      </c>
      <c r="I62" s="1" t="str">
        <v/>
      </c>
      <c r="J62" s="1" t="str">
        <v/>
      </c>
      <c r="K62" s="1" t="str">
        <v>ok</v>
      </c>
      <c r="L62" s="1" t="str">
        <v/>
      </c>
      <c r="M62" s="1" t="str">
        <v/>
      </c>
      <c r="N62" s="1" t="str">
        <v/>
      </c>
      <c r="O62" s="1" t="b">
        <v>0</v>
      </c>
      <c r="P62" s="1" t="str">
        <v/>
      </c>
    </row>
    <row r="63" spans="3:16" x14ac:dyDescent="0.25">
      <c r="C63" s="1">
        <v>57</v>
      </c>
      <c r="D63" s="1">
        <v>6</v>
      </c>
      <c r="E63" s="1">
        <v>7</v>
      </c>
      <c r="F63" s="1" t="str">
        <v/>
      </c>
      <c r="G63" s="1" t="str">
        <v/>
      </c>
      <c r="H63" s="1" t="str">
        <v/>
      </c>
      <c r="I63" s="1" t="str">
        <v/>
      </c>
      <c r="J63" s="1" t="str">
        <v/>
      </c>
      <c r="K63" s="1" t="str">
        <v>ok</v>
      </c>
      <c r="L63" s="1" t="str">
        <v/>
      </c>
      <c r="M63" s="1" t="str">
        <v/>
      </c>
      <c r="N63" s="1" t="str">
        <v/>
      </c>
      <c r="O63" s="1" t="b">
        <v>0</v>
      </c>
      <c r="P63" s="1" t="str">
        <v/>
      </c>
    </row>
    <row r="64" spans="3:16" x14ac:dyDescent="0.25">
      <c r="C64" s="1">
        <v>58</v>
      </c>
      <c r="D64" s="1">
        <v>6</v>
      </c>
      <c r="E64" s="1">
        <v>8</v>
      </c>
      <c r="F64" s="1" t="str">
        <v>spine02;01</v>
      </c>
      <c r="G64" s="1">
        <v>2</v>
      </c>
      <c r="H64" s="1" t="str">
        <v>spine02</v>
      </c>
      <c r="I64" s="1" t="str">
        <v>ok</v>
      </c>
      <c r="J64" s="1" t="str">
        <v>ok</v>
      </c>
      <c r="K64" s="1" t="str">
        <v>ok</v>
      </c>
      <c r="L64" s="1">
        <v>58</v>
      </c>
      <c r="M64" s="1">
        <v>58</v>
      </c>
      <c r="N64" s="1">
        <v>6</v>
      </c>
      <c r="O64" s="1" t="b">
        <v>0</v>
      </c>
      <c r="P64" s="1">
        <v>1</v>
      </c>
    </row>
    <row r="65" spans="3:16" x14ac:dyDescent="0.25">
      <c r="C65" s="1">
        <v>59</v>
      </c>
      <c r="D65" s="1">
        <v>6</v>
      </c>
      <c r="E65" s="1">
        <v>9</v>
      </c>
      <c r="F65" s="1" t="str">
        <v/>
      </c>
      <c r="G65" s="1" t="str">
        <v/>
      </c>
      <c r="H65" s="1" t="str">
        <v/>
      </c>
      <c r="I65" s="1" t="str">
        <v/>
      </c>
      <c r="J65" s="1" t="str">
        <v/>
      </c>
      <c r="K65" s="1" t="str">
        <v>ok</v>
      </c>
      <c r="L65" s="1" t="str">
        <v/>
      </c>
      <c r="M65" s="1" t="str">
        <v/>
      </c>
      <c r="N65" s="1" t="str">
        <v/>
      </c>
      <c r="O65" s="1" t="b">
        <v>0</v>
      </c>
      <c r="P65" s="1" t="str">
        <v/>
      </c>
    </row>
    <row r="66" spans="3:16" x14ac:dyDescent="0.25">
      <c r="C66" s="1">
        <v>60</v>
      </c>
      <c r="D66" s="1">
        <v>6</v>
      </c>
      <c r="E66" s="1">
        <v>10</v>
      </c>
      <c r="F66" s="1" t="str">
        <v/>
      </c>
      <c r="G66" s="1" t="str">
        <v/>
      </c>
      <c r="H66" s="1" t="str">
        <v/>
      </c>
      <c r="I66" s="1" t="str">
        <v/>
      </c>
      <c r="J66" s="1" t="str">
        <v/>
      </c>
      <c r="K66" s="1" t="str">
        <v>ok</v>
      </c>
      <c r="L66" s="1" t="str">
        <v/>
      </c>
      <c r="M66" s="1" t="str">
        <v/>
      </c>
      <c r="N66" s="1" t="str">
        <v/>
      </c>
      <c r="O66" s="1" t="b">
        <v>0</v>
      </c>
      <c r="P66" s="1" t="str">
        <v/>
      </c>
    </row>
    <row r="67" spans="3:16" x14ac:dyDescent="0.25">
      <c r="C67" s="1">
        <v>61</v>
      </c>
      <c r="D67" s="1">
        <v>7</v>
      </c>
      <c r="E67" s="1">
        <v>1</v>
      </c>
      <c r="F67" s="1" t="str">
        <v>leaf01;mgmt</v>
      </c>
      <c r="G67" s="1">
        <v>1</v>
      </c>
      <c r="H67" s="1" t="str">
        <v>leaf01</v>
      </c>
      <c r="I67" s="1" t="str">
        <v>ok</v>
      </c>
      <c r="J67" s="1" t="str">
        <v>ok</v>
      </c>
      <c r="K67" s="1" t="str">
        <v>ok</v>
      </c>
      <c r="L67" s="1">
        <v>61</v>
      </c>
      <c r="M67" s="1">
        <v>65</v>
      </c>
      <c r="N67" s="1">
        <v>7</v>
      </c>
      <c r="O67" s="1" t="b">
        <v>0</v>
      </c>
      <c r="P67" s="1">
        <v>1</v>
      </c>
    </row>
    <row r="68" spans="3:16" x14ac:dyDescent="0.25">
      <c r="C68" s="1">
        <v>62</v>
      </c>
      <c r="D68" s="1">
        <v>7</v>
      </c>
      <c r="E68" s="1">
        <v>2</v>
      </c>
      <c r="F68" s="1" t="str">
        <v/>
      </c>
      <c r="G68" s="1" t="str">
        <v/>
      </c>
      <c r="H68" s="1" t="str">
        <v/>
      </c>
      <c r="I68" s="1" t="str">
        <v/>
      </c>
      <c r="J68" s="1" t="str">
        <v/>
      </c>
      <c r="K68" s="1" t="str">
        <v>ok</v>
      </c>
      <c r="L68" s="1" t="str">
        <v/>
      </c>
      <c r="M68" s="1" t="str">
        <v/>
      </c>
      <c r="N68" s="1" t="str">
        <v/>
      </c>
      <c r="O68" s="1" t="b">
        <v>0</v>
      </c>
      <c r="P68" s="1" t="str">
        <v/>
      </c>
    </row>
    <row r="69" spans="3:16" x14ac:dyDescent="0.25">
      <c r="C69" s="1">
        <v>63</v>
      </c>
      <c r="D69" s="1">
        <v>7</v>
      </c>
      <c r="E69" s="1">
        <v>3</v>
      </c>
      <c r="F69" s="1" t="str">
        <v/>
      </c>
      <c r="G69" s="1" t="str">
        <v/>
      </c>
      <c r="H69" s="1" t="str">
        <v/>
      </c>
      <c r="I69" s="1" t="str">
        <v/>
      </c>
      <c r="J69" s="1" t="str">
        <v/>
      </c>
      <c r="K69" s="1" t="str">
        <v>ok</v>
      </c>
      <c r="L69" s="1" t="str">
        <v/>
      </c>
      <c r="M69" s="1" t="str">
        <v/>
      </c>
      <c r="N69" s="1" t="str">
        <v/>
      </c>
      <c r="O69" s="1" t="b">
        <v>0</v>
      </c>
      <c r="P69" s="1" t="str">
        <v/>
      </c>
    </row>
    <row r="70" spans="3:16" x14ac:dyDescent="0.25">
      <c r="C70" s="1">
        <v>64</v>
      </c>
      <c r="D70" s="1">
        <v>7</v>
      </c>
      <c r="E70" s="1">
        <v>4</v>
      </c>
      <c r="F70" s="1" t="str">
        <v/>
      </c>
      <c r="G70" s="1" t="str">
        <v/>
      </c>
      <c r="H70" s="1" t="str">
        <v/>
      </c>
      <c r="I70" s="1" t="str">
        <v/>
      </c>
      <c r="J70" s="1" t="str">
        <v/>
      </c>
      <c r="K70" s="1" t="str">
        <v>ok</v>
      </c>
      <c r="L70" s="1" t="str">
        <v/>
      </c>
      <c r="M70" s="1" t="str">
        <v/>
      </c>
      <c r="N70" s="1" t="str">
        <v/>
      </c>
      <c r="O70" s="1" t="b">
        <v>0</v>
      </c>
      <c r="P70" s="1" t="str">
        <v/>
      </c>
    </row>
    <row r="71" spans="3:16" x14ac:dyDescent="0.25">
      <c r="C71" s="1">
        <v>65</v>
      </c>
      <c r="D71" s="1">
        <v>7</v>
      </c>
      <c r="E71" s="1">
        <v>5</v>
      </c>
      <c r="F71" s="1" t="str">
        <v>mgmtsw01;07</v>
      </c>
      <c r="G71" s="1">
        <v>2</v>
      </c>
      <c r="H71" s="1" t="str">
        <v>mgmtsw01</v>
      </c>
      <c r="I71" s="1" t="str">
        <v>ok</v>
      </c>
      <c r="J71" s="1" t="str">
        <v>ok</v>
      </c>
      <c r="K71" s="1" t="str">
        <v>ok</v>
      </c>
      <c r="L71" s="1">
        <v>65</v>
      </c>
      <c r="M71" s="1">
        <v>65</v>
      </c>
      <c r="N71" s="1">
        <v>7</v>
      </c>
      <c r="O71" s="1" t="b">
        <v>0</v>
      </c>
      <c r="P71" s="1">
        <v>1</v>
      </c>
    </row>
    <row r="72" spans="3:16" x14ac:dyDescent="0.25">
      <c r="C72" s="1">
        <v>66</v>
      </c>
      <c r="D72" s="1">
        <v>7</v>
      </c>
      <c r="E72" s="1">
        <v>6</v>
      </c>
      <c r="F72" s="1" t="str">
        <v/>
      </c>
      <c r="G72" s="1" t="str">
        <v/>
      </c>
      <c r="H72" s="1" t="str">
        <v/>
      </c>
      <c r="I72" s="1" t="str">
        <v/>
      </c>
      <c r="J72" s="1" t="str">
        <v/>
      </c>
      <c r="K72" s="1" t="str">
        <v>ok</v>
      </c>
      <c r="L72" s="1" t="str">
        <v/>
      </c>
      <c r="M72" s="1" t="str">
        <v/>
      </c>
      <c r="N72" s="1" t="str">
        <v/>
      </c>
      <c r="O72" s="1" t="b">
        <v>0</v>
      </c>
      <c r="P72" s="1" t="str">
        <v/>
      </c>
    </row>
    <row r="73" spans="3:16" x14ac:dyDescent="0.25">
      <c r="C73" s="1">
        <v>67</v>
      </c>
      <c r="D73" s="1">
        <v>7</v>
      </c>
      <c r="E73" s="1">
        <v>7</v>
      </c>
      <c r="F73" s="1" t="str">
        <v/>
      </c>
      <c r="G73" s="1" t="str">
        <v/>
      </c>
      <c r="H73" s="1" t="str">
        <v/>
      </c>
      <c r="I73" s="1" t="str">
        <v/>
      </c>
      <c r="J73" s="1" t="str">
        <v/>
      </c>
      <c r="K73" s="1" t="str">
        <v>ok</v>
      </c>
      <c r="L73" s="1" t="str">
        <v/>
      </c>
      <c r="M73" s="1" t="str">
        <v/>
      </c>
      <c r="N73" s="1" t="str">
        <v/>
      </c>
      <c r="O73" s="1" t="b">
        <v>0</v>
      </c>
      <c r="P73" s="1" t="str">
        <v/>
      </c>
    </row>
    <row r="74" spans="3:16" x14ac:dyDescent="0.25">
      <c r="C74" s="1">
        <v>68</v>
      </c>
      <c r="D74" s="1">
        <v>7</v>
      </c>
      <c r="E74" s="1">
        <v>8</v>
      </c>
      <c r="F74" s="1" t="str">
        <v/>
      </c>
      <c r="G74" s="1" t="str">
        <v/>
      </c>
      <c r="H74" s="1" t="str">
        <v/>
      </c>
      <c r="I74" s="1" t="str">
        <v/>
      </c>
      <c r="J74" s="1" t="str">
        <v/>
      </c>
      <c r="K74" s="1" t="str">
        <v>ok</v>
      </c>
      <c r="L74" s="1" t="str">
        <v/>
      </c>
      <c r="M74" s="1" t="str">
        <v/>
      </c>
      <c r="N74" s="1" t="str">
        <v/>
      </c>
      <c r="O74" s="1" t="b">
        <v>0</v>
      </c>
      <c r="P74" s="1" t="str">
        <v/>
      </c>
    </row>
    <row r="75" spans="3:16" x14ac:dyDescent="0.25">
      <c r="C75" s="1">
        <v>69</v>
      </c>
      <c r="D75" s="1">
        <v>7</v>
      </c>
      <c r="E75" s="1">
        <v>9</v>
      </c>
      <c r="F75" s="1" t="str">
        <v/>
      </c>
      <c r="G75" s="1" t="str">
        <v/>
      </c>
      <c r="H75" s="1" t="str">
        <v/>
      </c>
      <c r="I75" s="1" t="str">
        <v/>
      </c>
      <c r="J75" s="1" t="str">
        <v/>
      </c>
      <c r="K75" s="1" t="str">
        <v>ok</v>
      </c>
      <c r="L75" s="1" t="str">
        <v/>
      </c>
      <c r="M75" s="1" t="str">
        <v/>
      </c>
      <c r="N75" s="1" t="str">
        <v/>
      </c>
      <c r="O75" s="1" t="b">
        <v>0</v>
      </c>
      <c r="P75" s="1" t="str">
        <v/>
      </c>
    </row>
    <row r="76" spans="3:16" x14ac:dyDescent="0.25">
      <c r="C76" s="1">
        <v>70</v>
      </c>
      <c r="D76" s="1">
        <v>7</v>
      </c>
      <c r="E76" s="1">
        <v>10</v>
      </c>
      <c r="F76" s="1" t="str">
        <v/>
      </c>
      <c r="G76" s="1" t="str">
        <v/>
      </c>
      <c r="H76" s="1" t="str">
        <v/>
      </c>
      <c r="I76" s="1" t="str">
        <v/>
      </c>
      <c r="J76" s="1" t="str">
        <v/>
      </c>
      <c r="K76" s="1" t="str">
        <v>ok</v>
      </c>
      <c r="L76" s="1" t="str">
        <v/>
      </c>
      <c r="M76" s="1" t="str">
        <v/>
      </c>
      <c r="N76" s="1" t="str">
        <v/>
      </c>
      <c r="O76" s="1" t="b">
        <v>0</v>
      </c>
      <c r="P76" s="1" t="str">
        <v/>
      </c>
    </row>
    <row r="77" spans="3:16" x14ac:dyDescent="0.25">
      <c r="C77" s="1">
        <v>71</v>
      </c>
      <c r="D77" s="1">
        <v>8</v>
      </c>
      <c r="E77" s="1">
        <v>1</v>
      </c>
      <c r="F77" s="1" t="str">
        <v>srv02;pcie_1/1</v>
      </c>
      <c r="G77" s="1">
        <v>1</v>
      </c>
      <c r="H77" s="1" t="str">
        <v>srv02</v>
      </c>
      <c r="I77" s="1" t="str">
        <v>ok</v>
      </c>
      <c r="J77" s="1" t="str">
        <v>ok</v>
      </c>
      <c r="K77" s="1" t="str">
        <v>ok</v>
      </c>
      <c r="L77" s="1">
        <v>71</v>
      </c>
      <c r="M77" s="1">
        <v>77</v>
      </c>
      <c r="N77" s="1">
        <v>8</v>
      </c>
      <c r="O77" s="1" t="b">
        <v>0</v>
      </c>
      <c r="P77" s="1">
        <v>1</v>
      </c>
    </row>
    <row r="78" spans="3:16" x14ac:dyDescent="0.25">
      <c r="C78" s="1">
        <v>72</v>
      </c>
      <c r="D78" s="1">
        <v>8</v>
      </c>
      <c r="E78" s="1">
        <v>2</v>
      </c>
      <c r="F78" s="1" t="str">
        <v/>
      </c>
      <c r="G78" s="1" t="str">
        <v/>
      </c>
      <c r="H78" s="1" t="str">
        <v/>
      </c>
      <c r="I78" s="1" t="str">
        <v/>
      </c>
      <c r="J78" s="1" t="str">
        <v/>
      </c>
      <c r="K78" s="1" t="str">
        <v>ok</v>
      </c>
      <c r="L78" s="1" t="str">
        <v/>
      </c>
      <c r="M78" s="1" t="str">
        <v/>
      </c>
      <c r="N78" s="1" t="str">
        <v/>
      </c>
      <c r="O78" s="1" t="b">
        <v>0</v>
      </c>
      <c r="P78" s="1" t="str">
        <v/>
      </c>
    </row>
    <row r="79" spans="3:16" x14ac:dyDescent="0.25">
      <c r="C79" s="1">
        <v>73</v>
      </c>
      <c r="D79" s="1">
        <v>8</v>
      </c>
      <c r="E79" s="1">
        <v>3</v>
      </c>
      <c r="F79" s="1" t="str">
        <v/>
      </c>
      <c r="G79" s="1" t="str">
        <v/>
      </c>
      <c r="H79" s="1" t="str">
        <v/>
      </c>
      <c r="I79" s="1" t="str">
        <v/>
      </c>
      <c r="J79" s="1" t="str">
        <v/>
      </c>
      <c r="K79" s="1" t="str">
        <v>ok</v>
      </c>
      <c r="L79" s="1" t="str">
        <v/>
      </c>
      <c r="M79" s="1" t="str">
        <v/>
      </c>
      <c r="N79" s="1" t="str">
        <v/>
      </c>
      <c r="O79" s="1" t="b">
        <v>0</v>
      </c>
      <c r="P79" s="1" t="str">
        <v/>
      </c>
    </row>
    <row r="80" spans="3:16" x14ac:dyDescent="0.25">
      <c r="C80" s="1">
        <v>74</v>
      </c>
      <c r="D80" s="1">
        <v>8</v>
      </c>
      <c r="E80" s="1">
        <v>4</v>
      </c>
      <c r="F80" s="1" t="str">
        <v/>
      </c>
      <c r="G80" s="1" t="str">
        <v/>
      </c>
      <c r="H80" s="1" t="str">
        <v/>
      </c>
      <c r="I80" s="1" t="str">
        <v/>
      </c>
      <c r="J80" s="1" t="str">
        <v/>
      </c>
      <c r="K80" s="1" t="str">
        <v>ok</v>
      </c>
      <c r="L80" s="1" t="str">
        <v/>
      </c>
      <c r="M80" s="1" t="str">
        <v/>
      </c>
      <c r="N80" s="1" t="str">
        <v/>
      </c>
      <c r="O80" s="1" t="b">
        <v>0</v>
      </c>
      <c r="P80" s="1" t="str">
        <v/>
      </c>
    </row>
    <row r="81" spans="3:16" x14ac:dyDescent="0.25">
      <c r="C81" s="1">
        <v>75</v>
      </c>
      <c r="D81" s="1">
        <v>8</v>
      </c>
      <c r="E81" s="1">
        <v>5</v>
      </c>
      <c r="F81" s="1" t="str">
        <v/>
      </c>
      <c r="G81" s="1" t="str">
        <v/>
      </c>
      <c r="H81" s="1" t="str">
        <v/>
      </c>
      <c r="I81" s="1" t="str">
        <v/>
      </c>
      <c r="J81" s="1" t="str">
        <v/>
      </c>
      <c r="K81" s="1" t="str">
        <v>ok</v>
      </c>
      <c r="L81" s="1" t="str">
        <v/>
      </c>
      <c r="M81" s="1" t="str">
        <v/>
      </c>
      <c r="N81" s="1" t="str">
        <v/>
      </c>
      <c r="O81" s="1" t="b">
        <v>0</v>
      </c>
      <c r="P81" s="1" t="str">
        <v/>
      </c>
    </row>
    <row r="82" spans="3:16" x14ac:dyDescent="0.25">
      <c r="C82" s="1">
        <v>76</v>
      </c>
      <c r="D82" s="1">
        <v>8</v>
      </c>
      <c r="E82" s="1">
        <v>6</v>
      </c>
      <c r="F82" s="1" t="str">
        <v/>
      </c>
      <c r="G82" s="1" t="str">
        <v/>
      </c>
      <c r="H82" s="1" t="str">
        <v/>
      </c>
      <c r="I82" s="1" t="str">
        <v/>
      </c>
      <c r="J82" s="1" t="str">
        <v/>
      </c>
      <c r="K82" s="1" t="str">
        <v>ok</v>
      </c>
      <c r="L82" s="1" t="str">
        <v/>
      </c>
      <c r="M82" s="1" t="str">
        <v/>
      </c>
      <c r="N82" s="1" t="str">
        <v/>
      </c>
      <c r="O82" s="1" t="b">
        <v>0</v>
      </c>
      <c r="P82" s="1" t="str">
        <v/>
      </c>
    </row>
    <row r="83" spans="3:16" x14ac:dyDescent="0.25">
      <c r="C83" s="1">
        <v>77</v>
      </c>
      <c r="D83" s="1">
        <v>8</v>
      </c>
      <c r="E83" s="1">
        <v>7</v>
      </c>
      <c r="F83" s="1" t="str">
        <v>leaf01;04</v>
      </c>
      <c r="G83" s="1">
        <v>2</v>
      </c>
      <c r="H83" s="1" t="str">
        <v>leaf01</v>
      </c>
      <c r="I83" s="1" t="str">
        <v>ok</v>
      </c>
      <c r="J83" s="1" t="str">
        <v>ok</v>
      </c>
      <c r="K83" s="1" t="str">
        <v>ok</v>
      </c>
      <c r="L83" s="1">
        <v>77</v>
      </c>
      <c r="M83" s="1">
        <v>77</v>
      </c>
      <c r="N83" s="1">
        <v>8</v>
      </c>
      <c r="O83" s="1" t="b">
        <v>0</v>
      </c>
      <c r="P83" s="1">
        <v>1</v>
      </c>
    </row>
    <row r="84" spans="3:16" x14ac:dyDescent="0.25">
      <c r="C84" s="1">
        <v>78</v>
      </c>
      <c r="D84" s="1">
        <v>8</v>
      </c>
      <c r="E84" s="1">
        <v>8</v>
      </c>
      <c r="F84" s="1" t="str">
        <v/>
      </c>
      <c r="G84" s="1" t="str">
        <v/>
      </c>
      <c r="H84" s="1" t="str">
        <v/>
      </c>
      <c r="I84" s="1" t="str">
        <v/>
      </c>
      <c r="J84" s="1" t="str">
        <v/>
      </c>
      <c r="K84" s="1" t="str">
        <v>ok</v>
      </c>
      <c r="L84" s="1" t="str">
        <v/>
      </c>
      <c r="M84" s="1" t="str">
        <v/>
      </c>
      <c r="N84" s="1" t="str">
        <v/>
      </c>
      <c r="O84" s="1" t="b">
        <v>0</v>
      </c>
      <c r="P84" s="1" t="str">
        <v/>
      </c>
    </row>
    <row r="85" spans="3:16" x14ac:dyDescent="0.25">
      <c r="C85" s="1">
        <v>79</v>
      </c>
      <c r="D85" s="1">
        <v>8</v>
      </c>
      <c r="E85" s="1">
        <v>9</v>
      </c>
      <c r="F85" s="1" t="str">
        <v/>
      </c>
      <c r="G85" s="1" t="str">
        <v/>
      </c>
      <c r="H85" s="1" t="str">
        <v/>
      </c>
      <c r="I85" s="1" t="str">
        <v/>
      </c>
      <c r="J85" s="1" t="str">
        <v/>
      </c>
      <c r="K85" s="1" t="str">
        <v>ok</v>
      </c>
      <c r="L85" s="1" t="str">
        <v/>
      </c>
      <c r="M85" s="1" t="str">
        <v/>
      </c>
      <c r="N85" s="1" t="str">
        <v/>
      </c>
      <c r="O85" s="1" t="b">
        <v>0</v>
      </c>
      <c r="P85" s="1" t="str">
        <v/>
      </c>
    </row>
    <row r="86" spans="3:16" x14ac:dyDescent="0.25">
      <c r="C86" s="1">
        <v>80</v>
      </c>
      <c r="D86" s="1">
        <v>8</v>
      </c>
      <c r="E86" s="1">
        <v>10</v>
      </c>
      <c r="F86" s="1" t="str">
        <v/>
      </c>
      <c r="G86" s="1" t="str">
        <v/>
      </c>
      <c r="H86" s="1" t="str">
        <v/>
      </c>
      <c r="I86" s="1" t="str">
        <v/>
      </c>
      <c r="J86" s="1" t="str">
        <v/>
      </c>
      <c r="K86" s="1" t="str">
        <v>ok</v>
      </c>
      <c r="L86" s="1" t="str">
        <v/>
      </c>
      <c r="M86" s="1" t="str">
        <v/>
      </c>
      <c r="N86" s="1" t="str">
        <v/>
      </c>
      <c r="O86" s="1" t="b">
        <v>0</v>
      </c>
      <c r="P86" s="1" t="str"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47C0-377D-4D1B-A48E-B201BAC2638E}">
  <dimension ref="C3:AF10"/>
  <sheetViews>
    <sheetView topLeftCell="M1" workbookViewId="0">
      <selection activeCell="M10" sqref="M10"/>
    </sheetView>
  </sheetViews>
  <sheetFormatPr defaultRowHeight="15" x14ac:dyDescent="0.25"/>
  <cols>
    <col min="1" max="3" width="9.140625" style="1"/>
    <col min="4" max="4" width="14.28515625" style="1" customWidth="1"/>
    <col min="5" max="7" width="9.140625" style="1"/>
    <col min="8" max="8" width="14.5703125" style="1" customWidth="1"/>
    <col min="9" max="9" width="16" style="1" customWidth="1"/>
    <col min="10" max="10" width="14.7109375" style="1" customWidth="1"/>
    <col min="11" max="11" width="18.28515625" style="1" customWidth="1"/>
    <col min="12" max="12" width="15.140625" style="1" customWidth="1"/>
    <col min="13" max="13" width="16.85546875" style="1" customWidth="1"/>
    <col min="14" max="15" width="7.140625" style="1" customWidth="1"/>
    <col min="16" max="16" width="16.140625" style="1" customWidth="1"/>
    <col min="17" max="18" width="23.5703125" style="1" customWidth="1"/>
    <col min="19" max="19" width="21.5703125" style="1" customWidth="1"/>
    <col min="20" max="20" width="26.140625" style="1" customWidth="1"/>
    <col min="21" max="21" width="19.85546875" style="1" customWidth="1"/>
    <col min="22" max="22" width="32.28515625" style="1" customWidth="1"/>
    <col min="23" max="23" width="25" style="1" customWidth="1"/>
    <col min="24" max="24" width="3.85546875" style="23" customWidth="1"/>
    <col min="25" max="25" width="23.42578125" style="1" customWidth="1"/>
    <col min="26" max="28" width="20.28515625" style="1" customWidth="1"/>
    <col min="29" max="29" width="26" style="1" customWidth="1"/>
    <col min="30" max="31" width="27.85546875" style="1" customWidth="1"/>
    <col min="32" max="32" width="30.42578125" style="1" customWidth="1"/>
    <col min="33" max="16384" width="9.140625" style="1"/>
  </cols>
  <sheetData>
    <row r="3" spans="3:32" ht="45" x14ac:dyDescent="0.25">
      <c r="C3" s="1" t="s">
        <v>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P3" s="20" t="s">
        <v>119</v>
      </c>
      <c r="Q3" s="20" t="s">
        <v>109</v>
      </c>
      <c r="R3" s="26" t="s">
        <v>120</v>
      </c>
      <c r="S3" s="26" t="s">
        <v>121</v>
      </c>
      <c r="T3" s="20" t="s">
        <v>111</v>
      </c>
      <c r="U3" s="20" t="s">
        <v>112</v>
      </c>
      <c r="V3" s="20" t="s">
        <v>122</v>
      </c>
      <c r="W3" s="20" t="s">
        <v>123</v>
      </c>
      <c r="X3" s="22"/>
      <c r="Y3" s="20" t="s">
        <v>119</v>
      </c>
      <c r="Z3" s="20" t="s">
        <v>110</v>
      </c>
      <c r="AA3" s="26" t="s">
        <v>124</v>
      </c>
      <c r="AB3" s="26" t="s">
        <v>125</v>
      </c>
      <c r="AC3" s="20" t="s">
        <v>113</v>
      </c>
      <c r="AD3" s="20" t="s">
        <v>114</v>
      </c>
      <c r="AE3" s="20" t="s">
        <v>128</v>
      </c>
      <c r="AF3" s="20" t="s">
        <v>123</v>
      </c>
    </row>
    <row r="4" spans="3:32" x14ac:dyDescent="0.25">
      <c r="C4" s="1">
        <v>1</v>
      </c>
      <c r="D4" s="1" t="s">
        <v>115</v>
      </c>
      <c r="G4" s="1" t="s">
        <v>116</v>
      </c>
      <c r="J4" s="1" t="s">
        <v>96</v>
      </c>
      <c r="L4" s="1" t="s">
        <v>126</v>
      </c>
      <c r="P4" s="1" cm="1">
        <f t="array" ref="P4:P10">_xlfn.SEQUENCE(ROWS(_xlfn.ANCHORARRAY(Q4)), 1, 1, 1)</f>
        <v>1</v>
      </c>
      <c r="Q4" s="1" t="str" cm="1">
        <f t="array" ref="Q4:Q10">_xlfn.LET(_xlpm.all_entries,             _xlfn.TOCOL(tbl_paths_input_tester[[1]:[10]]),
     _xlpm.all_entries_cleaned,     LOWER(SUBSTITUTE(CLEAN(TRIM(_xlpm.all_entries)), " ", "")),
     _xlpm.all_entries_deblanked,   _xlfn._xlws.FILTER(_xlpm.all_entries_cleaned,
                                     LEN(_xlpm.all_entries_cleaned) &gt; 0),
     _xlpm.return,                  _xlfn._xlws.SORT(_xlfn.UNIQUE(_xlpm.all_entries_deblanked)),
     _xlpm.all_entries_deblanked)</f>
        <v>boobs;1</v>
      </c>
      <c r="R4" s="1" t="b" cm="1">
        <f t="array" ref="R4:R10">_xlfn.LET(_xlpm.test_if_ids,_xlfn.ANCHORARRAY(        Q4),
     _xlpm.all_defined_if_ids, tbl_interfaces[if_id],
     _xlpm.map_lambda,         _xlfn.LAMBDA(_xlpm.if_id,
                                _xlfn.XMATCH(_xlpm.if_id, _xlpm.all_defined_if_ids, 0)),
     _xlpm.mapping,            _xlfn.MAP(_xlpm.test_if_ids,
                             _xlpm.map_lambda),
     _xlpm.return,             IF(ISERROR(_xlpm.mapping),
                            FALSE,
                            TRUE),
     _xlpm.return)</f>
        <v>0</v>
      </c>
      <c r="S4" s="1" t="b" cm="1">
        <f t="array" ref="S4:S10">_xlfn.LET(_xlpm.test_if_ids,_xlfn.ANCHORARRAY(         Q4),
     _xlpm.all_defined_if_ids,  tbl_interfaces[if_id],
     _xlpm.if_ids_final_states, tbl_interfaces[final_state],
     _xlpm.map_lambda,         _xlfn.LAMBDA(_xlpm.if_id,
                                MATCH(1,
                                      (_xlpm.if_id = _xlpm.all_defined_if_ids) *
                                      ("ok"  = _xlpm.if_ids_final_states), 0)),
     _xlpm.mapping,            _xlfn.MAP(_xlpm.test_if_ids,
                             _xlpm.map_lambda),
     _xlpm.return,             IF(ISERROR(_xlpm.mapping),
                            FALSE,
                            TRUE),
     _xlpm.return)</f>
        <v>0</v>
      </c>
      <c r="T4" s="1" t="str" cm="1">
        <f t="array" ref="T4:T6">_xlfn.LET(_xlpm.temp_table,         _xlfn.HSTACK(_xlfn.ANCHORARRAY(Q4),_xlfn.ANCHORARRAY( R4)),
     _xlpm.return,             _xlfn.CHOOSECOLS(_xlfn._xlws.FILTER(_xlpm.temp_table,
                                           _xlfn.CHOOSECOLS(_xlpm.temp_table, 2)),
                                    1),
     _xlpm.return)</f>
        <v>leaf01;mgmt</v>
      </c>
      <c r="U4" s="1" t="str" cm="1">
        <f t="array" ref="U4:U7">_xlfn.LET(_xlpm.temp_table,         _xlfn.HSTACK(_xlfn.ANCHORARRAY(Q4),_xlfn.ANCHORARRAY( R4)),
     _xlpm.return,             _xlfn.CHOOSECOLS(_xlfn._xlws.FILTER(_xlpm.temp_table,
                                           NOT(_xlfn.CHOOSECOLS(_xlpm.temp_table, 2))),
                                    1),
     _xlpm.return)</f>
        <v>boobs;1</v>
      </c>
      <c r="V4" s="1" t="str" cm="1">
        <f t="array" ref="V4:V5">_xlfn.LET(_xlpm.temp_table,         _xlfn.HSTACK(_xlfn.ANCHORARRAY(Q4),_xlfn.ANCHORARRAY( S4)),
     _xlpm.return,             _xlfn.CHOOSECOLS(_xlfn._xlws.FILTER(_xlpm.temp_table,
                                           _xlfn.CHOOSECOLS(_xlpm.temp_table, 2)),
                                    1),
     _xlpm.return)</f>
        <v>leaf01;mgmt</v>
      </c>
      <c r="W4" s="1" t="str" cm="1">
        <f t="array" ref="W4:W8">_xlfn.LET(_xlpm.temp_table,         _xlfn.HSTACK(_xlfn.ANCHORARRAY(Q4),_xlfn.ANCHORARRAY( S4)),
     _xlpm.return,             _xlfn.CHOOSECOLS(_xlfn._xlws.FILTER(_xlpm.temp_table,
                                           NOT(_xlfn.CHOOSECOLS(_xlpm.temp_table, 2))),
                                    1),
     _xlpm.return)</f>
        <v>boobs;1</v>
      </c>
      <c r="Y4" s="1" cm="1">
        <f t="array" ref="Y4:Y10">_xlfn.SEQUENCE(ROWS(_xlfn.ANCHORARRAY(Z4)), 1, 1, 1)</f>
        <v>1</v>
      </c>
      <c r="Z4" s="1" t="str" cm="1">
        <f t="array" ref="Z4:Z10">_xlfn.LET(_xlpm.delim,       _xlfn.XLOOKUP("delimiter_device_if_name", tbl_variable[name], tbl_variable[value], "FIXME", 0),
     _xlpm.return,      _xlfn._xlws.SORT(_xlfn.UNIQUE(_xlfn.TEXTBEFORE(_xlfn.ANCHORARRAY(paths_input_tester!Q4), _xlpm.delim))),
     _xlpm.return)</f>
        <v>big</v>
      </c>
      <c r="AA4" s="1" t="b" cm="1">
        <f t="array" ref="AA4:AA10">_xlfn.LET(_xlpm.tests,_xlfn.ANCHORARRAY(                Z4),
     _xlpm.all_defined_devices,  tbl_devices[handle_permanent_cleaned],
     _xlpm.map_lambda,           _xlfn.LAMBDA(_xlpm.test,
                                  _xlfn.XMATCH(_xlpm.test, _xlpm.all_defined_devices, 0)),
     _xlpm.mapping,              _xlfn.MAP(_xlpm.tests,
                               _xlpm.map_lambda),
     _xlpm.return,               IF(ISERROR(_xlpm.mapping),
                              FALSE,
                              TRUE),
     _xlpm.return)</f>
        <v>0</v>
      </c>
      <c r="AB4" s="1" t="b" cm="1">
        <f t="array" ref="AB4:AB10">_xlfn.LET(_xlpm.tests,_xlfn.ANCHORARRAY(              Z4),
     _xlpm.all_defined,        tbl_devices[handle_permanent_cleaned],
     _xlpm.final_states,       tbl_devices[final_state],
     _xlpm.map_lambda,         _xlfn.LAMBDA(_xlpm.if_id,
                                MATCH(1,
                                      (_xlpm.if_id = _xlpm.all_defined) *
                                      ("ok"  = _xlpm.final_states), 0)),
     _xlpm.mapping,            _xlfn.MAP(_xlpm.tests,
                             _xlpm.map_lambda),
     _xlpm.return,             IF(ISERROR(_xlpm.mapping),
                            FALSE,
                            TRUE),
     _xlpm.return)</f>
        <v>0</v>
      </c>
      <c r="AC4" s="1" t="str" cm="1">
        <f t="array" ref="AC4:AC6">_xlfn.LET(_xlpm.temp_table,         _xlfn.HSTACK(_xlfn.ANCHORARRAY(Z4),_xlfn.ANCHORARRAY( AA4)),
     _xlpm.return,             _xlfn.CHOOSECOLS(_xlfn._xlws.FILTER(_xlpm.temp_table,
                                           _xlfn.CHOOSECOLS(_xlpm.temp_table, 2)),
                                    1),
     _xlpm.return)</f>
        <v>fw02</v>
      </c>
      <c r="AD4" s="1" t="str" cm="1">
        <f t="array" ref="AD4:AD7">_xlfn.LET(_xlpm.temp_table,         _xlfn.HSTACK(_xlfn.ANCHORARRAY(Z4),_xlfn.ANCHORARRAY( AA4)),
     _xlpm.return,             _xlfn.CHOOSECOLS(_xlfn._xlws.FILTER(_xlpm.temp_table,
                                           NOT(_xlfn.CHOOSECOLS(_xlpm.temp_table, 2))),
                                    1),
     _xlpm.return)</f>
        <v>big</v>
      </c>
      <c r="AE4" s="1" t="str" cm="1">
        <f t="array" ref="AE4:AE5">_xlfn.LET(_xlpm.temp_table,         _xlfn.HSTACK(_xlfn.ANCHORARRAY(Z4),_xlfn.ANCHORARRAY( AB4)),
     _xlpm.return,             _xlfn.CHOOSECOLS(_xlfn._xlws.FILTER(_xlpm.temp_table,
                                           _xlfn.CHOOSECOLS(_xlpm.temp_table, 2)),
                                    1),
     _xlpm.return)</f>
        <v>leaf01</v>
      </c>
      <c r="AF4" s="1" t="str" cm="1">
        <f t="array" ref="AF4:AF8">_xlfn.LET(_xlpm.temp_table,         _xlfn.HSTACK(_xlfn.ANCHORARRAY(Z4),_xlfn.ANCHORARRAY( AB4)),
     _xlpm.return,             _xlfn.CHOOSECOLS(_xlfn._xlws.FILTER(_xlpm.temp_table,
                                           NOT(_xlfn.CHOOSECOLS(_xlpm.temp_table, 2))),
                                    1),
     _xlpm.return)</f>
        <v>big</v>
      </c>
    </row>
    <row r="5" spans="3:32" x14ac:dyDescent="0.25">
      <c r="C5" s="1">
        <v>2</v>
      </c>
      <c r="D5" s="1" t="s">
        <v>117</v>
      </c>
      <c r="H5" s="1" t="s">
        <v>93</v>
      </c>
      <c r="J5" s="1" t="s">
        <v>118</v>
      </c>
      <c r="P5" s="1">
        <v>2</v>
      </c>
      <c r="Q5" s="1" t="str">
        <v>big;2</v>
      </c>
      <c r="R5" s="1" t="b">
        <v>0</v>
      </c>
      <c r="S5" s="1" t="b">
        <v>0</v>
      </c>
      <c r="T5" s="1" t="str">
        <v>fw02;mgmt</v>
      </c>
      <c r="U5" s="1" t="str">
        <v>big;2</v>
      </c>
      <c r="V5" s="1" t="str">
        <v>spine01;01</v>
      </c>
      <c r="W5" s="1" t="str">
        <v>big;2</v>
      </c>
      <c r="Y5" s="1">
        <v>2</v>
      </c>
      <c r="Z5" s="1" t="str">
        <v>boobs</v>
      </c>
      <c r="AA5" s="1" t="b">
        <v>0</v>
      </c>
      <c r="AB5" s="1" t="b">
        <v>0</v>
      </c>
      <c r="AC5" s="1" t="str">
        <v>leaf01</v>
      </c>
      <c r="AD5" s="1" t="str">
        <v>boobs</v>
      </c>
      <c r="AE5" s="1" t="str">
        <v>spine01</v>
      </c>
      <c r="AF5" s="1" t="str">
        <v>boobs</v>
      </c>
    </row>
    <row r="6" spans="3:32" x14ac:dyDescent="0.25">
      <c r="P6" s="1">
        <v>3</v>
      </c>
      <c r="Q6" s="1" t="str">
        <v>leaf01;mgmt</v>
      </c>
      <c r="R6" s="1" t="b">
        <v>1</v>
      </c>
      <c r="S6" s="1" t="b">
        <v>1</v>
      </c>
      <c r="T6" s="1" t="str">
        <v>spine01;01</v>
      </c>
      <c r="U6" s="1" t="str">
        <v>farts;69</v>
      </c>
      <c r="W6" s="1" t="str">
        <v>fw02;mgmt</v>
      </c>
      <c r="Y6" s="1">
        <v>3</v>
      </c>
      <c r="Z6" s="1" t="str">
        <v>farts</v>
      </c>
      <c r="AA6" s="1" t="b">
        <v>0</v>
      </c>
      <c r="AB6" s="1" t="b">
        <v>0</v>
      </c>
      <c r="AC6" s="1" t="str">
        <v>spine01</v>
      </c>
      <c r="AD6" s="1" t="str">
        <v>farts</v>
      </c>
      <c r="AF6" s="1" t="str">
        <v>farts</v>
      </c>
    </row>
    <row r="7" spans="3:32" x14ac:dyDescent="0.25">
      <c r="P7" s="1">
        <v>4</v>
      </c>
      <c r="Q7" s="1" t="str">
        <v>fw02;mgmt</v>
      </c>
      <c r="R7" s="1" t="b">
        <v>1</v>
      </c>
      <c r="S7" s="1" t="b">
        <v>0</v>
      </c>
      <c r="U7" s="1" t="str">
        <v>lazah_beams;420</v>
      </c>
      <c r="W7" s="1" t="str">
        <v>farts;69</v>
      </c>
      <c r="Y7" s="1">
        <v>4</v>
      </c>
      <c r="Z7" s="1" t="str">
        <v>fw02</v>
      </c>
      <c r="AA7" s="1" t="b">
        <v>1</v>
      </c>
      <c r="AB7" s="1" t="b">
        <v>0</v>
      </c>
      <c r="AD7" s="1" t="str">
        <v>lazah_beams</v>
      </c>
      <c r="AF7" s="1" t="str">
        <v>fw02</v>
      </c>
    </row>
    <row r="8" spans="3:32" x14ac:dyDescent="0.25">
      <c r="P8" s="1">
        <v>5</v>
      </c>
      <c r="Q8" s="1" t="str">
        <v>farts;69</v>
      </c>
      <c r="R8" s="1" t="b">
        <v>0</v>
      </c>
      <c r="S8" s="1" t="b">
        <v>0</v>
      </c>
      <c r="W8" s="1" t="str">
        <v>lazah_beams;420</v>
      </c>
      <c r="Y8" s="1">
        <v>5</v>
      </c>
      <c r="Z8" s="1" t="str">
        <v>lazah_beams</v>
      </c>
      <c r="AA8" s="1" t="b">
        <v>0</v>
      </c>
      <c r="AB8" s="1" t="b">
        <v>0</v>
      </c>
      <c r="AF8" s="1" t="str">
        <v>lazah_beams</v>
      </c>
    </row>
    <row r="9" spans="3:32" x14ac:dyDescent="0.25">
      <c r="P9" s="1">
        <v>6</v>
      </c>
      <c r="Q9" s="1" t="str">
        <v>spine01;01</v>
      </c>
      <c r="R9" s="1" t="b">
        <v>1</v>
      </c>
      <c r="S9" s="1" t="b">
        <v>1</v>
      </c>
      <c r="Y9" s="1">
        <v>6</v>
      </c>
      <c r="Z9" s="1" t="str">
        <v>leaf01</v>
      </c>
      <c r="AA9" s="1" t="b">
        <v>1</v>
      </c>
      <c r="AB9" s="1" t="b">
        <v>1</v>
      </c>
    </row>
    <row r="10" spans="3:32" x14ac:dyDescent="0.25">
      <c r="P10" s="1">
        <v>7</v>
      </c>
      <c r="Q10" s="1" t="str">
        <v>lazah_beams;420</v>
      </c>
      <c r="R10" s="1" t="b">
        <v>0</v>
      </c>
      <c r="S10" s="1" t="b">
        <v>0</v>
      </c>
      <c r="Y10" s="1">
        <v>7</v>
      </c>
      <c r="Z10" s="1" t="str">
        <v>spine01</v>
      </c>
      <c r="AA10" s="1" t="b">
        <v>1</v>
      </c>
      <c r="AB10" s="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variables</vt:lpstr>
      <vt:lpstr>devices</vt:lpstr>
      <vt:lpstr>interfaces</vt:lpstr>
      <vt:lpstr>paths</vt:lpstr>
      <vt:lpstr>path_decomposed</vt:lpstr>
      <vt:lpstr>paths_input_tester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youser9100</dc:creator>
  <cp:lastModifiedBy>youser9100</cp:lastModifiedBy>
  <dcterms:created xsi:type="dcterms:W3CDTF">2015-06-05T18:17:20Z</dcterms:created>
  <dcterms:modified xsi:type="dcterms:W3CDTF">2025-06-02T22:50:21Z</dcterms:modified>
</cp:coreProperties>
</file>