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dcim_tools\"/>
    </mc:Choice>
  </mc:AlternateContent>
  <xr:revisionPtr revIDLastSave="0" documentId="13_ncr:1_{EEFACFFC-3DDF-43B3-81B1-9579F09AC43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ariables" sheetId="4" r:id="rId1"/>
    <sheet name="devices" sheetId="1" r:id="rId2"/>
    <sheet name="interfaces" sheetId="2" r:id="rId3"/>
    <sheet name="paths" sheetId="3" r:id="rId4"/>
    <sheet name="port_templates" sheetId="11" r:id="rId5"/>
    <sheet name="ifs_from_templates" sheetId="14" r:id="rId6"/>
    <sheet name="material" sheetId="12" r:id="rId7"/>
    <sheet name="path_decomposed" sheetId="5" r:id="rId8"/>
    <sheet name="report_cnx_per_device" sheetId="10" r:id="rId9"/>
    <sheet name="report_cnx_with_names_change" sheetId="13" r:id="rId10"/>
    <sheet name="paths_input_tester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4" l="1" a="1"/>
  <c r="D4" i="14" s="1"/>
  <c r="H4" i="11"/>
  <c r="D4" i="11" a="1"/>
  <c r="D4" i="11" s="1"/>
  <c r="G4" i="11"/>
  <c r="K4" i="11" a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D53" i="11" a="1"/>
  <c r="D53" i="11" s="1"/>
  <c r="D52" i="11" a="1"/>
  <c r="D52" i="11" s="1"/>
  <c r="D51" i="11" a="1"/>
  <c r="D51" i="11" s="1"/>
  <c r="D50" i="11" a="1"/>
  <c r="D50" i="11" s="1"/>
  <c r="D49" i="11" a="1"/>
  <c r="D49" i="11" s="1"/>
  <c r="D48" i="11" a="1"/>
  <c r="D48" i="11" s="1"/>
  <c r="D47" i="11" a="1"/>
  <c r="D47" i="11" s="1"/>
  <c r="D46" i="11" a="1"/>
  <c r="D46" i="11" s="1"/>
  <c r="D45" i="11" a="1"/>
  <c r="D45" i="11" s="1"/>
  <c r="D44" i="11" a="1"/>
  <c r="D44" i="11" s="1"/>
  <c r="D43" i="11" a="1"/>
  <c r="D43" i="11" s="1"/>
  <c r="D42" i="11" a="1"/>
  <c r="D42" i="11" s="1"/>
  <c r="D41" i="11" a="1"/>
  <c r="D41" i="11" s="1"/>
  <c r="D38" i="11" a="1"/>
  <c r="D38" i="11" s="1"/>
  <c r="D39" i="11" a="1"/>
  <c r="D39" i="11" s="1"/>
  <c r="D40" i="11" a="1"/>
  <c r="D40" i="11" s="1"/>
  <c r="D37" i="11" a="1"/>
  <c r="D37" i="11" s="1"/>
  <c r="D36" i="11" a="1"/>
  <c r="D36" i="11" s="1"/>
  <c r="D35" i="11" a="1"/>
  <c r="D35" i="11" s="1"/>
  <c r="D34" i="11" a="1"/>
  <c r="D34" i="11" s="1"/>
  <c r="D33" i="11" a="1"/>
  <c r="D33" i="11" s="1"/>
  <c r="D31" i="11" a="1"/>
  <c r="D31" i="11" s="1"/>
  <c r="D32" i="11" a="1"/>
  <c r="D32" i="11" s="1"/>
  <c r="D30" i="11" a="1"/>
  <c r="D30" i="11" s="1"/>
  <c r="D29" i="11" a="1"/>
  <c r="D29" i="11" s="1"/>
  <c r="D18" i="11" a="1"/>
  <c r="D18" i="11" s="1"/>
  <c r="D19" i="11" a="1"/>
  <c r="D19" i="11" s="1"/>
  <c r="D20" i="11" a="1"/>
  <c r="D20" i="11" s="1"/>
  <c r="D21" i="11" a="1"/>
  <c r="D21" i="11" s="1"/>
  <c r="D22" i="11" a="1"/>
  <c r="D22" i="11" s="1"/>
  <c r="D23" i="11" a="1"/>
  <c r="D23" i="11" s="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17" i="11" a="1"/>
  <c r="D17" i="11" s="1"/>
  <c r="D5" i="11" a="1"/>
  <c r="D5" i="11" s="1"/>
  <c r="D6" i="11" a="1"/>
  <c r="D6" i="11" s="1"/>
  <c r="D7" i="11" a="1"/>
  <c r="D7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P5" i="1"/>
  <c r="P6" i="1"/>
  <c r="P7" i="1"/>
  <c r="P8" i="1"/>
  <c r="P9" i="1"/>
  <c r="P10" i="1"/>
  <c r="P11" i="1"/>
  <c r="P12" i="1"/>
  <c r="P13" i="1"/>
  <c r="P14" i="1"/>
  <c r="P15" i="1"/>
  <c r="J4" i="13" a="1"/>
  <c r="J4" i="13" s="1"/>
  <c r="AD4" i="3" a="1"/>
  <c r="AD4" i="3" s="1"/>
  <c r="AD5" i="3" a="1"/>
  <c r="AD5" i="3" s="1"/>
  <c r="AD6" i="3" a="1"/>
  <c r="AD6" i="3" s="1"/>
  <c r="AD7" i="3" a="1"/>
  <c r="AD7" i="3" s="1"/>
  <c r="AD8" i="3" a="1"/>
  <c r="AD8" i="3" s="1"/>
  <c r="AD9" i="3" a="1"/>
  <c r="AD9" i="3" s="1"/>
  <c r="AD10" i="3" a="1"/>
  <c r="AD10" i="3" s="1"/>
  <c r="AD11" i="3" a="1"/>
  <c r="AD11" i="3" s="1"/>
  <c r="AA4" i="3" a="1"/>
  <c r="AA4" i="3" s="1"/>
  <c r="AC4" i="3" s="1"/>
  <c r="AA5" i="3" a="1"/>
  <c r="AA5" i="3" s="1"/>
  <c r="AC5" i="3" s="1"/>
  <c r="AA6" i="3" a="1"/>
  <c r="AA6" i="3" s="1"/>
  <c r="AC6" i="3" s="1"/>
  <c r="AA7" i="3" a="1"/>
  <c r="AA7" i="3" s="1"/>
  <c r="AC7" i="3" s="1"/>
  <c r="AA8" i="3" a="1"/>
  <c r="AA8" i="3" s="1"/>
  <c r="AC8" i="3" s="1"/>
  <c r="AA9" i="3" a="1"/>
  <c r="AA9" i="3" s="1"/>
  <c r="AC9" i="3" s="1"/>
  <c r="AA10" i="3" a="1"/>
  <c r="AA10" i="3" s="1"/>
  <c r="AC10" i="3" s="1"/>
  <c r="AA11" i="3" a="1"/>
  <c r="AA11" i="3" s="1"/>
  <c r="AC11" i="3" s="1"/>
  <c r="Z4" i="3" a="1"/>
  <c r="Z4" i="3" s="1"/>
  <c r="AB4" i="3" s="1"/>
  <c r="Z5" i="3" a="1"/>
  <c r="Z5" i="3" s="1"/>
  <c r="AB5" i="3" s="1"/>
  <c r="Z6" i="3" a="1"/>
  <c r="Z6" i="3" s="1"/>
  <c r="AB6" i="3" s="1"/>
  <c r="Z7" i="3" a="1"/>
  <c r="Z7" i="3" s="1"/>
  <c r="AB7" i="3" s="1"/>
  <c r="Z8" i="3" a="1"/>
  <c r="Z8" i="3" s="1"/>
  <c r="AB8" i="3" s="1"/>
  <c r="Z9" i="3" a="1"/>
  <c r="Z9" i="3" s="1"/>
  <c r="AB9" i="3" s="1"/>
  <c r="Z10" i="3" a="1"/>
  <c r="Z10" i="3" s="1"/>
  <c r="AB10" i="3" s="1"/>
  <c r="Z11" i="3" a="1"/>
  <c r="Z11" i="3" s="1"/>
  <c r="AB11" i="3" s="1"/>
  <c r="Y4" i="3"/>
  <c r="Y5" i="3"/>
  <c r="Y6" i="3"/>
  <c r="Y7" i="3"/>
  <c r="Y8" i="3"/>
  <c r="Y9" i="3"/>
  <c r="Y10" i="3"/>
  <c r="Y11" i="3"/>
  <c r="D76" i="2" a="1"/>
  <c r="D76" i="2" s="1"/>
  <c r="H76" i="2"/>
  <c r="Q76" i="2"/>
  <c r="R76" i="2"/>
  <c r="S76" i="2" s="1"/>
  <c r="AC76" i="2"/>
  <c r="Q4" i="9" a="1"/>
  <c r="H4" i="3"/>
  <c r="H5" i="3"/>
  <c r="H6" i="3"/>
  <c r="H7" i="3"/>
  <c r="H8" i="3"/>
  <c r="H10" i="3"/>
  <c r="H11" i="3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H66" i="2"/>
  <c r="H67" i="2"/>
  <c r="H68" i="2"/>
  <c r="H69" i="2"/>
  <c r="H70" i="2"/>
  <c r="H71" i="2"/>
  <c r="H72" i="2"/>
  <c r="H73" i="2"/>
  <c r="H74" i="2"/>
  <c r="H75" i="2"/>
  <c r="Q66" i="2"/>
  <c r="Q67" i="2"/>
  <c r="Q68" i="2"/>
  <c r="Q69" i="2"/>
  <c r="Q70" i="2"/>
  <c r="Q71" i="2"/>
  <c r="Q72" i="2"/>
  <c r="Q73" i="2"/>
  <c r="Q74" i="2"/>
  <c r="Q75" i="2"/>
  <c r="R66" i="2"/>
  <c r="R67" i="2"/>
  <c r="R68" i="2"/>
  <c r="R69" i="2"/>
  <c r="R70" i="2"/>
  <c r="R71" i="2"/>
  <c r="R72" i="2"/>
  <c r="R73" i="2"/>
  <c r="R74" i="2"/>
  <c r="R75" i="2"/>
  <c r="AC66" i="2"/>
  <c r="AC67" i="2"/>
  <c r="AC68" i="2"/>
  <c r="AC69" i="2"/>
  <c r="AC70" i="2"/>
  <c r="AC71" i="2"/>
  <c r="AC72" i="2"/>
  <c r="AC73" i="2"/>
  <c r="AC74" i="2"/>
  <c r="AC75" i="2"/>
  <c r="D15" i="1" a="1"/>
  <c r="D15" i="1" s="1"/>
  <c r="H15" i="1"/>
  <c r="L15" i="1"/>
  <c r="AH15" i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H56" i="2"/>
  <c r="H57" i="2"/>
  <c r="H58" i="2"/>
  <c r="H59" i="2"/>
  <c r="H60" i="2"/>
  <c r="H61" i="2"/>
  <c r="H62" i="2"/>
  <c r="H63" i="2"/>
  <c r="H64" i="2"/>
  <c r="H65" i="2"/>
  <c r="Q56" i="2"/>
  <c r="Q57" i="2"/>
  <c r="Q58" i="2"/>
  <c r="Q59" i="2"/>
  <c r="Q60" i="2"/>
  <c r="Q61" i="2"/>
  <c r="Q62" i="2"/>
  <c r="Q63" i="2"/>
  <c r="Q64" i="2"/>
  <c r="Q65" i="2"/>
  <c r="R56" i="2"/>
  <c r="R57" i="2"/>
  <c r="R58" i="2"/>
  <c r="R59" i="2"/>
  <c r="R60" i="2"/>
  <c r="R61" i="2"/>
  <c r="R62" i="2"/>
  <c r="R63" i="2"/>
  <c r="R64" i="2"/>
  <c r="R65" i="2"/>
  <c r="AC56" i="2"/>
  <c r="AC57" i="2"/>
  <c r="AC58" i="2"/>
  <c r="AC59" i="2"/>
  <c r="AC60" i="2"/>
  <c r="AC61" i="2"/>
  <c r="AC62" i="2"/>
  <c r="AC63" i="2"/>
  <c r="AC64" i="2"/>
  <c r="AC65" i="2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H46" i="2"/>
  <c r="H47" i="2"/>
  <c r="H48" i="2"/>
  <c r="H49" i="2"/>
  <c r="H50" i="2"/>
  <c r="H51" i="2"/>
  <c r="H52" i="2"/>
  <c r="H53" i="2"/>
  <c r="H54" i="2"/>
  <c r="H55" i="2"/>
  <c r="Q46" i="2"/>
  <c r="Q47" i="2"/>
  <c r="Q48" i="2"/>
  <c r="Q49" i="2"/>
  <c r="Q50" i="2"/>
  <c r="Q51" i="2"/>
  <c r="Q52" i="2"/>
  <c r="Q53" i="2"/>
  <c r="Q54" i="2"/>
  <c r="Q55" i="2"/>
  <c r="R46" i="2"/>
  <c r="R47" i="2"/>
  <c r="R48" i="2"/>
  <c r="R49" i="2"/>
  <c r="R50" i="2"/>
  <c r="R51" i="2"/>
  <c r="R52" i="2"/>
  <c r="R53" i="2"/>
  <c r="R54" i="2"/>
  <c r="R55" i="2"/>
  <c r="AC46" i="2"/>
  <c r="AC47" i="2"/>
  <c r="AC48" i="2"/>
  <c r="AC49" i="2"/>
  <c r="AC50" i="2"/>
  <c r="AC51" i="2"/>
  <c r="AC52" i="2"/>
  <c r="AC53" i="2"/>
  <c r="AC54" i="2"/>
  <c r="AC55" i="2"/>
  <c r="D14" i="1" a="1"/>
  <c r="D14" i="1" s="1"/>
  <c r="H14" i="1"/>
  <c r="L14" i="1"/>
  <c r="AH14" i="1"/>
  <c r="D13" i="1" a="1"/>
  <c r="D13" i="1" s="1"/>
  <c r="H13" i="1"/>
  <c r="L13" i="1"/>
  <c r="AH13" i="1"/>
  <c r="H10" i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H40" i="2"/>
  <c r="H41" i="2"/>
  <c r="H42" i="2"/>
  <c r="H43" i="2"/>
  <c r="H44" i="2"/>
  <c r="H45" i="2"/>
  <c r="Q40" i="2"/>
  <c r="Q41" i="2"/>
  <c r="Q42" i="2"/>
  <c r="Q43" i="2"/>
  <c r="Q44" i="2"/>
  <c r="Q45" i="2"/>
  <c r="R40" i="2"/>
  <c r="R41" i="2"/>
  <c r="R42" i="2"/>
  <c r="R43" i="2"/>
  <c r="R44" i="2"/>
  <c r="R45" i="2"/>
  <c r="AC40" i="2"/>
  <c r="AC41" i="2"/>
  <c r="AC42" i="2"/>
  <c r="AC43" i="2"/>
  <c r="AC44" i="2"/>
  <c r="AC45" i="2"/>
  <c r="D39" i="2" a="1"/>
  <c r="D39" i="2" s="1"/>
  <c r="H39" i="2"/>
  <c r="Q39" i="2"/>
  <c r="R39" i="2"/>
  <c r="S39" i="2"/>
  <c r="AC39" i="2"/>
  <c r="D38" i="2" a="1"/>
  <c r="D38" i="2" s="1"/>
  <c r="H38" i="2"/>
  <c r="Q38" i="2"/>
  <c r="R38" i="2"/>
  <c r="AC38" i="2"/>
  <c r="D37" i="2" a="1"/>
  <c r="D37" i="2" s="1"/>
  <c r="H37" i="2"/>
  <c r="Q37" i="2"/>
  <c r="R37" i="2"/>
  <c r="AC37" i="2"/>
  <c r="D36" i="2" a="1"/>
  <c r="D36" i="2" s="1"/>
  <c r="H36" i="2"/>
  <c r="Q36" i="2"/>
  <c r="R36" i="2"/>
  <c r="AC36" i="2"/>
  <c r="D35" i="2" a="1"/>
  <c r="D35" i="2" s="1"/>
  <c r="H35" i="2"/>
  <c r="Q35" i="2"/>
  <c r="R35" i="2"/>
  <c r="S35" i="2" s="1"/>
  <c r="AC35" i="2"/>
  <c r="D34" i="2" a="1"/>
  <c r="D34" i="2" s="1"/>
  <c r="H34" i="2"/>
  <c r="Q34" i="2"/>
  <c r="R34" i="2"/>
  <c r="S34" i="2"/>
  <c r="AC34" i="2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H24" i="2"/>
  <c r="H25" i="2"/>
  <c r="H26" i="2"/>
  <c r="H27" i="2"/>
  <c r="H28" i="2"/>
  <c r="H29" i="2"/>
  <c r="H30" i="2"/>
  <c r="H31" i="2"/>
  <c r="H32" i="2"/>
  <c r="H33" i="2"/>
  <c r="Q24" i="2"/>
  <c r="Q25" i="2"/>
  <c r="Q26" i="2"/>
  <c r="Q27" i="2"/>
  <c r="Q28" i="2"/>
  <c r="Q29" i="2"/>
  <c r="Q30" i="2"/>
  <c r="Q31" i="2"/>
  <c r="Q32" i="2"/>
  <c r="Q33" i="2"/>
  <c r="R24" i="2"/>
  <c r="R25" i="2"/>
  <c r="R26" i="2"/>
  <c r="R27" i="2"/>
  <c r="R28" i="2"/>
  <c r="R29" i="2"/>
  <c r="R30" i="2"/>
  <c r="R31" i="2"/>
  <c r="R32" i="2"/>
  <c r="R33" i="2"/>
  <c r="AC24" i="2"/>
  <c r="AC25" i="2"/>
  <c r="AC26" i="2"/>
  <c r="AC27" i="2"/>
  <c r="AC28" i="2"/>
  <c r="AC29" i="2"/>
  <c r="AC30" i="2"/>
  <c r="AC31" i="2"/>
  <c r="AC32" i="2"/>
  <c r="AC33" i="2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H18" i="2"/>
  <c r="H19" i="2"/>
  <c r="H20" i="2"/>
  <c r="H21" i="2"/>
  <c r="H22" i="2"/>
  <c r="H23" i="2"/>
  <c r="Q18" i="2"/>
  <c r="Q19" i="2"/>
  <c r="Q20" i="2"/>
  <c r="Q21" i="2"/>
  <c r="Q22" i="2"/>
  <c r="Q23" i="2"/>
  <c r="R18" i="2"/>
  <c r="R19" i="2"/>
  <c r="R20" i="2"/>
  <c r="R21" i="2"/>
  <c r="R22" i="2"/>
  <c r="R23" i="2"/>
  <c r="AC18" i="2"/>
  <c r="AC19" i="2"/>
  <c r="AC20" i="2"/>
  <c r="AC21" i="2"/>
  <c r="AC22" i="2"/>
  <c r="AC23" i="2"/>
  <c r="D17" i="2" a="1"/>
  <c r="D17" i="2" s="1"/>
  <c r="H17" i="2"/>
  <c r="Q17" i="2"/>
  <c r="R17" i="2"/>
  <c r="AC17" i="2"/>
  <c r="D16" i="2" a="1"/>
  <c r="D16" i="2" s="1"/>
  <c r="H16" i="2"/>
  <c r="Q16" i="2"/>
  <c r="R16" i="2"/>
  <c r="AC16" i="2"/>
  <c r="D15" i="2" a="1"/>
  <c r="D15" i="2" s="1"/>
  <c r="H15" i="2"/>
  <c r="Q15" i="2"/>
  <c r="R15" i="2"/>
  <c r="AC15" i="2"/>
  <c r="D14" i="2" a="1"/>
  <c r="D14" i="2" s="1"/>
  <c r="H14" i="2"/>
  <c r="Q14" i="2"/>
  <c r="R14" i="2"/>
  <c r="AC14" i="2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H9" i="2"/>
  <c r="H10" i="2"/>
  <c r="H11" i="2"/>
  <c r="H12" i="2"/>
  <c r="H13" i="2"/>
  <c r="Q9" i="2"/>
  <c r="Q10" i="2"/>
  <c r="Q11" i="2"/>
  <c r="Q12" i="2"/>
  <c r="Q13" i="2"/>
  <c r="R9" i="2"/>
  <c r="R10" i="2"/>
  <c r="R11" i="2"/>
  <c r="R12" i="2"/>
  <c r="R13" i="2"/>
  <c r="AC9" i="2"/>
  <c r="AC10" i="2"/>
  <c r="AC11" i="2"/>
  <c r="AC12" i="2"/>
  <c r="AC13" i="2"/>
  <c r="D12" i="1" a="1"/>
  <c r="D12" i="1" s="1"/>
  <c r="L12" i="1"/>
  <c r="AH12" i="1"/>
  <c r="D8" i="2" a="1"/>
  <c r="D8" i="2" s="1"/>
  <c r="H8" i="2"/>
  <c r="Q8" i="2"/>
  <c r="R8" i="2"/>
  <c r="AC8" i="2"/>
  <c r="D7" i="2" a="1"/>
  <c r="D7" i="2" s="1"/>
  <c r="H7" i="2"/>
  <c r="Q7" i="2"/>
  <c r="R7" i="2"/>
  <c r="AC7" i="2"/>
  <c r="E8" i="4"/>
  <c r="E7" i="4" a="1"/>
  <c r="E7" i="4" s="1"/>
  <c r="AC4" i="2"/>
  <c r="AC5" i="2"/>
  <c r="AC6" i="2"/>
  <c r="AH5" i="1"/>
  <c r="AH6" i="1"/>
  <c r="AH7" i="1"/>
  <c r="AH8" i="1"/>
  <c r="AH9" i="1"/>
  <c r="AH10" i="1"/>
  <c r="AH11" i="1"/>
  <c r="D11" i="1" a="1"/>
  <c r="D11" i="1" s="1"/>
  <c r="L11" i="1"/>
  <c r="D10" i="1" a="1"/>
  <c r="D10" i="1" s="1"/>
  <c r="L10" i="1"/>
  <c r="D9" i="1" a="1"/>
  <c r="D9" i="1" s="1"/>
  <c r="H9" i="1"/>
  <c r="L9" i="1"/>
  <c r="H8" i="1"/>
  <c r="D6" i="2" a="1"/>
  <c r="D6" i="2" s="1"/>
  <c r="H6" i="2"/>
  <c r="Q6" i="2"/>
  <c r="R6" i="2"/>
  <c r="S6" i="2" s="1"/>
  <c r="D5" i="2" a="1"/>
  <c r="D5" i="2" s="1"/>
  <c r="Q5" i="2"/>
  <c r="R5" i="2"/>
  <c r="R4" i="2"/>
  <c r="Q4" i="2"/>
  <c r="D4" i="2" a="1"/>
  <c r="D4" i="2" s="1"/>
  <c r="D8" i="1" a="1"/>
  <c r="D8" i="1" s="1"/>
  <c r="L8" i="1"/>
  <c r="D7" i="1" a="1"/>
  <c r="D7" i="1" s="1"/>
  <c r="L7" i="1"/>
  <c r="D6" i="1" a="1"/>
  <c r="D6" i="1" s="1"/>
  <c r="L6" i="1"/>
  <c r="L5" i="1"/>
  <c r="D5" i="1" a="1"/>
  <c r="D5" i="1" s="1"/>
  <c r="K4" i="11" l="1"/>
  <c r="S38" i="2"/>
  <c r="T68" i="2"/>
  <c r="T69" i="2"/>
  <c r="T70" i="2"/>
  <c r="T71" i="2"/>
  <c r="T72" i="2"/>
  <c r="T73" i="2"/>
  <c r="T74" i="2"/>
  <c r="T75" i="2"/>
  <c r="T76" i="2"/>
  <c r="T60" i="2"/>
  <c r="T61" i="2"/>
  <c r="T62" i="2"/>
  <c r="T63" i="2"/>
  <c r="T64" i="2"/>
  <c r="T65" i="2"/>
  <c r="T66" i="2"/>
  <c r="T67" i="2"/>
  <c r="T55" i="2"/>
  <c r="T4" i="2"/>
  <c r="W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6" i="2"/>
  <c r="T57" i="2"/>
  <c r="T58" i="2"/>
  <c r="T59" i="2"/>
  <c r="W76" i="2"/>
  <c r="T7" i="2"/>
  <c r="T6" i="2"/>
  <c r="T5" i="2"/>
  <c r="W36" i="2"/>
  <c r="W35" i="2"/>
  <c r="W37" i="2"/>
  <c r="W39" i="2"/>
  <c r="W38" i="2"/>
  <c r="W44" i="2"/>
  <c r="W40" i="2"/>
  <c r="W43" i="2"/>
  <c r="W45" i="2"/>
  <c r="W42" i="2"/>
  <c r="W47" i="2"/>
  <c r="W50" i="2"/>
  <c r="W54" i="2"/>
  <c r="W46" i="2"/>
  <c r="W49" i="2"/>
  <c r="W52" i="2"/>
  <c r="W55" i="2"/>
  <c r="W48" i="2"/>
  <c r="W51" i="2"/>
  <c r="W53" i="2"/>
  <c r="W57" i="2"/>
  <c r="W60" i="2"/>
  <c r="W63" i="2"/>
  <c r="W58" i="2"/>
  <c r="W61" i="2"/>
  <c r="W64" i="2"/>
  <c r="W56" i="2"/>
  <c r="W59" i="2"/>
  <c r="W62" i="2"/>
  <c r="W65" i="2"/>
  <c r="W75" i="2"/>
  <c r="W66" i="2"/>
  <c r="W69" i="2"/>
  <c r="W72" i="2"/>
  <c r="W71" i="2"/>
  <c r="W74" i="2"/>
  <c r="W68" i="2"/>
  <c r="W70" i="2"/>
  <c r="W73" i="2"/>
  <c r="W67" i="2"/>
  <c r="T17" i="2"/>
  <c r="T18" i="2"/>
  <c r="T19" i="2"/>
  <c r="T20" i="2"/>
  <c r="T21" i="2"/>
  <c r="T22" i="2"/>
  <c r="T23" i="2"/>
  <c r="T24" i="2"/>
  <c r="T25" i="2"/>
  <c r="T26" i="2"/>
  <c r="T27" i="2"/>
  <c r="T28" i="2"/>
  <c r="W17" i="2"/>
  <c r="T30" i="2"/>
  <c r="T31" i="2"/>
  <c r="T32" i="2"/>
  <c r="T33" i="2"/>
  <c r="T34" i="2"/>
  <c r="T35" i="2"/>
  <c r="T36" i="2"/>
  <c r="T37" i="2"/>
  <c r="T38" i="2"/>
  <c r="T39" i="2"/>
  <c r="T40" i="2"/>
  <c r="T41" i="2"/>
  <c r="T29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8" i="2"/>
  <c r="W19" i="2"/>
  <c r="W20" i="2"/>
  <c r="W21" i="2"/>
  <c r="W22" i="2"/>
  <c r="W23" i="2"/>
  <c r="W24" i="2"/>
  <c r="W25" i="2"/>
  <c r="W26" i="2"/>
  <c r="W27" i="2"/>
  <c r="W28" i="2"/>
  <c r="W29" i="2"/>
  <c r="T16" i="2"/>
  <c r="W30" i="2"/>
  <c r="W31" i="2"/>
  <c r="W32" i="2"/>
  <c r="W33" i="2"/>
  <c r="W34" i="2"/>
  <c r="T8" i="2"/>
  <c r="T9" i="2"/>
  <c r="T10" i="2"/>
  <c r="T11" i="2"/>
  <c r="T12" i="2"/>
  <c r="T13" i="2"/>
  <c r="T14" i="2"/>
  <c r="T15" i="2"/>
  <c r="S71" i="2"/>
  <c r="S72" i="2"/>
  <c r="S74" i="2"/>
  <c r="S70" i="2"/>
  <c r="S73" i="2"/>
  <c r="S75" i="2"/>
  <c r="S65" i="2"/>
  <c r="S64" i="2"/>
  <c r="S17" i="2"/>
  <c r="E9" i="4"/>
  <c r="E4" i="5" s="1" a="1"/>
  <c r="L4" i="10" a="1"/>
  <c r="L4" i="10" s="1"/>
  <c r="S12" i="2"/>
  <c r="S4" i="2"/>
  <c r="S66" i="2"/>
  <c r="S68" i="2"/>
  <c r="S69" i="2"/>
  <c r="S43" i="2"/>
  <c r="S56" i="2"/>
  <c r="S57" i="2"/>
  <c r="S58" i="2"/>
  <c r="S59" i="2"/>
  <c r="S60" i="2"/>
  <c r="S61" i="2"/>
  <c r="S62" i="2"/>
  <c r="S63" i="2"/>
  <c r="S44" i="2"/>
  <c r="S45" i="2"/>
  <c r="Q4" i="9"/>
  <c r="Z4" i="9" a="1"/>
  <c r="S41" i="2"/>
  <c r="S42" i="2"/>
  <c r="S67" i="2"/>
  <c r="AI15" i="1"/>
  <c r="I15" i="1" s="1" a="1"/>
  <c r="I15" i="1" s="1"/>
  <c r="J15" i="1" s="1" a="1"/>
  <c r="J15" i="1" s="1"/>
  <c r="AJ15" i="1"/>
  <c r="S37" i="2"/>
  <c r="S46" i="2"/>
  <c r="S47" i="2"/>
  <c r="S48" i="2"/>
  <c r="S49" i="2"/>
  <c r="S50" i="2"/>
  <c r="S51" i="2"/>
  <c r="S52" i="2"/>
  <c r="S53" i="2"/>
  <c r="S54" i="2"/>
  <c r="S55" i="2"/>
  <c r="S36" i="2"/>
  <c r="S40" i="2"/>
  <c r="AJ14" i="1"/>
  <c r="AI14" i="1"/>
  <c r="I14" i="1" s="1" a="1"/>
  <c r="I14" i="1" s="1"/>
  <c r="AJ13" i="1"/>
  <c r="AI13" i="1"/>
  <c r="I13" i="1" s="1" a="1"/>
  <c r="I13" i="1" s="1"/>
  <c r="J13" i="1" s="1" a="1"/>
  <c r="J13" i="1" s="1"/>
  <c r="S24" i="2"/>
  <c r="S18" i="2"/>
  <c r="S26" i="2"/>
  <c r="S27" i="2"/>
  <c r="S14" i="2"/>
  <c r="S19" i="2"/>
  <c r="S20" i="2"/>
  <c r="S21" i="2"/>
  <c r="S28" i="2"/>
  <c r="S29" i="2"/>
  <c r="S30" i="2"/>
  <c r="S25" i="2"/>
  <c r="S31" i="2"/>
  <c r="S32" i="2"/>
  <c r="S33" i="2"/>
  <c r="S22" i="2"/>
  <c r="S23" i="2"/>
  <c r="S15" i="2"/>
  <c r="S16" i="2"/>
  <c r="S7" i="2"/>
  <c r="S11" i="2"/>
  <c r="S13" i="2"/>
  <c r="S5" i="2"/>
  <c r="S9" i="2"/>
  <c r="S10" i="2"/>
  <c r="AI12" i="1"/>
  <c r="I12" i="1" s="1" a="1"/>
  <c r="I12" i="1" s="1"/>
  <c r="J12" i="1" s="1" a="1"/>
  <c r="J12" i="1" s="1"/>
  <c r="AJ12" i="1"/>
  <c r="S8" i="2"/>
  <c r="AI11" i="1"/>
  <c r="I11" i="1" s="1" a="1"/>
  <c r="I11" i="1" s="1"/>
  <c r="AI9" i="1"/>
  <c r="I9" i="1" s="1" a="1"/>
  <c r="I9" i="1" s="1"/>
  <c r="J9" i="1" s="1" a="1"/>
  <c r="J9" i="1" s="1"/>
  <c r="AI7" i="1"/>
  <c r="I7" i="1" s="1" a="1"/>
  <c r="I7" i="1" s="1"/>
  <c r="J7" i="1" s="1" a="1"/>
  <c r="J7" i="1" s="1"/>
  <c r="AI8" i="1"/>
  <c r="I8" i="1" s="1" a="1"/>
  <c r="I8" i="1" s="1"/>
  <c r="J8" i="1" s="1" a="1"/>
  <c r="J8" i="1" s="1"/>
  <c r="AI6" i="1"/>
  <c r="I6" i="1" s="1" a="1"/>
  <c r="I6" i="1" s="1"/>
  <c r="J6" i="1" s="1" a="1"/>
  <c r="J6" i="1" s="1"/>
  <c r="AI5" i="1"/>
  <c r="I5" i="1" s="1" a="1"/>
  <c r="I5" i="1" s="1"/>
  <c r="J5" i="1" s="1" a="1"/>
  <c r="J5" i="1" s="1"/>
  <c r="AJ11" i="1"/>
  <c r="AI10" i="1"/>
  <c r="I10" i="1" s="1" a="1"/>
  <c r="I10" i="1" s="1"/>
  <c r="J10" i="1" s="1" a="1"/>
  <c r="J10" i="1" s="1"/>
  <c r="AJ5" i="1"/>
  <c r="AJ7" i="1"/>
  <c r="AJ6" i="1"/>
  <c r="AJ10" i="1"/>
  <c r="AJ8" i="1"/>
  <c r="AJ9" i="1"/>
  <c r="L4" i="11" l="1" a="1"/>
  <c r="D5" i="10" a="1"/>
  <c r="D5" i="10" s="1"/>
  <c r="D5" i="13" s="1" a="1"/>
  <c r="D5" i="13" s="1"/>
  <c r="C4" i="5" a="1"/>
  <c r="C4" i="5" s="1"/>
  <c r="D4" i="5" a="1"/>
  <c r="D4" i="5" s="1"/>
  <c r="AE76" i="2"/>
  <c r="AD76" i="2"/>
  <c r="J76" i="2" s="1" a="1"/>
  <c r="J76" i="2" s="1"/>
  <c r="Z4" i="9"/>
  <c r="R4" i="9" a="1"/>
  <c r="P4" i="9" a="1"/>
  <c r="J14" i="1" a="1"/>
  <c r="J14" i="1" s="1"/>
  <c r="J11" i="1" a="1"/>
  <c r="J11" i="1" s="1"/>
  <c r="I76" i="2" s="1" a="1"/>
  <c r="I76" i="2" s="1"/>
  <c r="K76" i="2" s="1" a="1"/>
  <c r="K76" i="2" s="1"/>
  <c r="L76" i="2" s="1"/>
  <c r="I67" i="2" a="1"/>
  <c r="I67" i="2" s="1"/>
  <c r="I66" i="2" a="1"/>
  <c r="I66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AE68" i="2"/>
  <c r="AE71" i="2"/>
  <c r="AE75" i="2"/>
  <c r="AE72" i="2"/>
  <c r="AE73" i="2"/>
  <c r="AE74" i="2"/>
  <c r="AE69" i="2"/>
  <c r="AE70" i="2"/>
  <c r="AD69" i="2"/>
  <c r="J69" i="2" s="1" a="1"/>
  <c r="J69" i="2" s="1"/>
  <c r="AD75" i="2"/>
  <c r="J75" i="2" s="1" a="1"/>
  <c r="J75" i="2" s="1"/>
  <c r="AD70" i="2"/>
  <c r="J70" i="2" s="1" a="1"/>
  <c r="J70" i="2" s="1"/>
  <c r="AE67" i="2"/>
  <c r="AD71" i="2"/>
  <c r="J71" i="2" s="1" a="1"/>
  <c r="J71" i="2" s="1"/>
  <c r="AE66" i="2"/>
  <c r="AD72" i="2"/>
  <c r="J72" i="2" s="1" a="1"/>
  <c r="J72" i="2" s="1"/>
  <c r="AD67" i="2"/>
  <c r="J67" i="2" s="1" a="1"/>
  <c r="J67" i="2" s="1"/>
  <c r="AD73" i="2"/>
  <c r="J73" i="2" s="1" a="1"/>
  <c r="J73" i="2" s="1"/>
  <c r="AD74" i="2"/>
  <c r="J74" i="2" s="1" a="1"/>
  <c r="J74" i="2" s="1"/>
  <c r="AD66" i="2"/>
  <c r="J66" i="2" s="1" a="1"/>
  <c r="J66" i="2" s="1"/>
  <c r="AD68" i="2"/>
  <c r="J68" i="2" s="1" a="1"/>
  <c r="J68" i="2" s="1"/>
  <c r="AE58" i="2"/>
  <c r="AD59" i="2"/>
  <c r="J59" i="2" s="1" a="1"/>
  <c r="J59" i="2" s="1"/>
  <c r="AE64" i="2"/>
  <c r="AE65" i="2"/>
  <c r="AE61" i="2"/>
  <c r="AD62" i="2"/>
  <c r="J62" i="2" s="1" a="1"/>
  <c r="J62" i="2" s="1"/>
  <c r="AE62" i="2"/>
  <c r="AD63" i="2"/>
  <c r="J63" i="2" s="1" a="1"/>
  <c r="J63" i="2" s="1"/>
  <c r="AE63" i="2"/>
  <c r="AD64" i="2"/>
  <c r="J64" i="2" s="1" a="1"/>
  <c r="J64" i="2" s="1"/>
  <c r="AD56" i="2"/>
  <c r="J56" i="2" s="1" a="1"/>
  <c r="J56" i="2" s="1"/>
  <c r="AE56" i="2"/>
  <c r="AD57" i="2"/>
  <c r="J57" i="2" s="1" a="1"/>
  <c r="J57" i="2" s="1"/>
  <c r="AE57" i="2"/>
  <c r="AD58" i="2"/>
  <c r="J58" i="2" s="1" a="1"/>
  <c r="J58" i="2" s="1"/>
  <c r="AE59" i="2"/>
  <c r="AD60" i="2"/>
  <c r="J60" i="2" s="1" a="1"/>
  <c r="J60" i="2" s="1"/>
  <c r="AE60" i="2"/>
  <c r="AD61" i="2"/>
  <c r="J61" i="2" s="1" a="1"/>
  <c r="J61" i="2" s="1"/>
  <c r="AD65" i="2"/>
  <c r="J65" i="2" s="1" a="1"/>
  <c r="J65" i="2" s="1"/>
  <c r="AE46" i="2"/>
  <c r="AD46" i="2"/>
  <c r="J46" i="2" s="1" a="1"/>
  <c r="J46" i="2" s="1"/>
  <c r="AE47" i="2"/>
  <c r="AD47" i="2"/>
  <c r="J47" i="2" s="1" a="1"/>
  <c r="J47" i="2" s="1"/>
  <c r="AE48" i="2"/>
  <c r="AD48" i="2"/>
  <c r="J48" i="2" s="1" a="1"/>
  <c r="J48" i="2" s="1"/>
  <c r="AE49" i="2"/>
  <c r="AD49" i="2"/>
  <c r="J49" i="2" s="1" a="1"/>
  <c r="J49" i="2" s="1"/>
  <c r="AE50" i="2"/>
  <c r="AD50" i="2"/>
  <c r="J50" i="2" s="1" a="1"/>
  <c r="J50" i="2" s="1"/>
  <c r="AE51" i="2"/>
  <c r="AD51" i="2"/>
  <c r="J51" i="2" s="1" a="1"/>
  <c r="J51" i="2" s="1"/>
  <c r="AE52" i="2"/>
  <c r="AD52" i="2"/>
  <c r="J52" i="2" s="1" a="1"/>
  <c r="J52" i="2" s="1"/>
  <c r="AE53" i="2"/>
  <c r="AD53" i="2"/>
  <c r="J53" i="2" s="1" a="1"/>
  <c r="J53" i="2" s="1"/>
  <c r="AE54" i="2"/>
  <c r="AD54" i="2"/>
  <c r="J54" i="2" s="1" a="1"/>
  <c r="J54" i="2" s="1"/>
  <c r="AE55" i="2"/>
  <c r="AD55" i="2"/>
  <c r="J55" i="2" s="1" a="1"/>
  <c r="J55" i="2" s="1"/>
  <c r="I26" i="2" a="1"/>
  <c r="I26" i="2" s="1"/>
  <c r="I27" i="2" a="1"/>
  <c r="I27" i="2" s="1"/>
  <c r="I19" i="2" a="1"/>
  <c r="I19" i="2" s="1"/>
  <c r="I20" i="2" a="1"/>
  <c r="I20" i="2" s="1"/>
  <c r="I21" i="2" a="1"/>
  <c r="I21" i="2" s="1"/>
  <c r="I28" i="2" a="1"/>
  <c r="I28" i="2" s="1"/>
  <c r="I29" i="2" a="1"/>
  <c r="I29" i="2" s="1"/>
  <c r="I30" i="2" a="1"/>
  <c r="I30" i="2" s="1"/>
  <c r="I25" i="2" a="1"/>
  <c r="I25" i="2" s="1"/>
  <c r="I31" i="2" a="1"/>
  <c r="I31" i="2" s="1"/>
  <c r="I32" i="2" a="1"/>
  <c r="I32" i="2" s="1"/>
  <c r="I33" i="2" a="1"/>
  <c r="I33" i="2" s="1"/>
  <c r="I22" i="2" a="1"/>
  <c r="I22" i="2" s="1"/>
  <c r="I23" i="2" a="1"/>
  <c r="I23" i="2" s="1"/>
  <c r="I15" i="2" a="1"/>
  <c r="I15" i="2" s="1"/>
  <c r="I16" i="2" a="1"/>
  <c r="I16" i="2" s="1"/>
  <c r="I40" i="2" a="1"/>
  <c r="I40" i="2" s="1"/>
  <c r="I41" i="2" a="1"/>
  <c r="I41" i="2" s="1"/>
  <c r="I42" i="2" a="1"/>
  <c r="I42" i="2" s="1"/>
  <c r="I36" i="2" a="1"/>
  <c r="I36" i="2" s="1"/>
  <c r="I39" i="2" a="1"/>
  <c r="I39" i="2" s="1"/>
  <c r="I38" i="2" a="1"/>
  <c r="I38" i="2" s="1"/>
  <c r="I37" i="2" a="1"/>
  <c r="I37" i="2" s="1"/>
  <c r="I35" i="2" a="1"/>
  <c r="I35" i="2" s="1"/>
  <c r="I34" i="2" a="1"/>
  <c r="I34" i="2" s="1"/>
  <c r="I44" i="2" a="1"/>
  <c r="I44" i="2" s="1"/>
  <c r="I24" i="2" a="1"/>
  <c r="I24" i="2" s="1"/>
  <c r="I18" i="2" a="1"/>
  <c r="I18" i="2" s="1"/>
  <c r="I17" i="2" a="1"/>
  <c r="I17" i="2" s="1"/>
  <c r="I45" i="2" a="1"/>
  <c r="I45" i="2" s="1"/>
  <c r="I14" i="2" a="1"/>
  <c r="I14" i="2" s="1"/>
  <c r="I43" i="2" a="1"/>
  <c r="I43" i="2" s="1"/>
  <c r="AD42" i="2"/>
  <c r="J42" i="2" s="1" a="1"/>
  <c r="J42" i="2" s="1"/>
  <c r="AD41" i="2"/>
  <c r="J41" i="2" s="1" a="1"/>
  <c r="J41" i="2" s="1"/>
  <c r="AD43" i="2"/>
  <c r="J43" i="2" s="1" a="1"/>
  <c r="J43" i="2" s="1"/>
  <c r="AD40" i="2"/>
  <c r="J40" i="2" s="1" a="1"/>
  <c r="J40" i="2" s="1"/>
  <c r="AD45" i="2"/>
  <c r="J45" i="2" s="1" a="1"/>
  <c r="J45" i="2" s="1"/>
  <c r="AE45" i="2"/>
  <c r="AD44" i="2"/>
  <c r="J44" i="2" s="1" a="1"/>
  <c r="J44" i="2" s="1"/>
  <c r="AE42" i="2"/>
  <c r="AE41" i="2"/>
  <c r="AE44" i="2"/>
  <c r="AE43" i="2"/>
  <c r="AE40" i="2"/>
  <c r="AE39" i="2"/>
  <c r="AD39" i="2"/>
  <c r="J39" i="2" s="1" a="1"/>
  <c r="J39" i="2" s="1"/>
  <c r="AD38" i="2"/>
  <c r="J38" i="2" s="1" a="1"/>
  <c r="J38" i="2" s="1"/>
  <c r="AE38" i="2"/>
  <c r="AD37" i="2"/>
  <c r="J37" i="2" s="1" a="1"/>
  <c r="J37" i="2" s="1"/>
  <c r="AE37" i="2"/>
  <c r="AD36" i="2"/>
  <c r="J36" i="2" s="1" a="1"/>
  <c r="J36" i="2" s="1"/>
  <c r="AE36" i="2"/>
  <c r="AD35" i="2"/>
  <c r="J35" i="2" s="1" a="1"/>
  <c r="J35" i="2" s="1"/>
  <c r="AE35" i="2"/>
  <c r="AD34" i="2"/>
  <c r="J34" i="2" s="1" a="1"/>
  <c r="J34" i="2" s="1"/>
  <c r="AE34" i="2"/>
  <c r="AE31" i="2"/>
  <c r="AD31" i="2"/>
  <c r="J31" i="2" s="1" a="1"/>
  <c r="J31" i="2" s="1"/>
  <c r="AE32" i="2"/>
  <c r="AD32" i="2"/>
  <c r="J32" i="2" s="1" a="1"/>
  <c r="J32" i="2" s="1"/>
  <c r="AE33" i="2"/>
  <c r="AD33" i="2"/>
  <c r="J33" i="2" s="1" a="1"/>
  <c r="J33" i="2" s="1"/>
  <c r="AD12" i="2"/>
  <c r="J12" i="2" s="1" a="1"/>
  <c r="J12" i="2" s="1"/>
  <c r="AD25" i="2"/>
  <c r="J25" i="2" s="1" a="1"/>
  <c r="J25" i="2" s="1"/>
  <c r="AE26" i="2"/>
  <c r="AE27" i="2"/>
  <c r="AD28" i="2"/>
  <c r="J28" i="2" s="1" a="1"/>
  <c r="J28" i="2" s="1"/>
  <c r="AE29" i="2"/>
  <c r="AD24" i="2"/>
  <c r="J24" i="2" s="1" a="1"/>
  <c r="J24" i="2" s="1"/>
  <c r="AE28" i="2"/>
  <c r="AD29" i="2"/>
  <c r="J29" i="2" s="1" a="1"/>
  <c r="J29" i="2" s="1"/>
  <c r="AE25" i="2"/>
  <c r="AD27" i="2"/>
  <c r="J27" i="2" s="1" a="1"/>
  <c r="J27" i="2" s="1"/>
  <c r="AE24" i="2"/>
  <c r="AD26" i="2"/>
  <c r="J26" i="2" s="1" a="1"/>
  <c r="J26" i="2" s="1"/>
  <c r="AD30" i="2"/>
  <c r="J30" i="2" s="1" a="1"/>
  <c r="J30" i="2" s="1"/>
  <c r="AE30" i="2"/>
  <c r="AE21" i="2"/>
  <c r="AE22" i="2"/>
  <c r="AD21" i="2"/>
  <c r="J21" i="2" s="1" a="1"/>
  <c r="J21" i="2" s="1"/>
  <c r="AD22" i="2"/>
  <c r="J22" i="2" s="1" a="1"/>
  <c r="J22" i="2" s="1"/>
  <c r="AD23" i="2"/>
  <c r="J23" i="2" s="1" a="1"/>
  <c r="J23" i="2" s="1"/>
  <c r="AE23" i="2"/>
  <c r="AD19" i="2"/>
  <c r="J19" i="2" s="1" a="1"/>
  <c r="J19" i="2" s="1"/>
  <c r="AD18" i="2"/>
  <c r="J18" i="2" s="1" a="1"/>
  <c r="J18" i="2" s="1"/>
  <c r="AD20" i="2"/>
  <c r="J20" i="2" s="1" a="1"/>
  <c r="J20" i="2" s="1"/>
  <c r="AE19" i="2"/>
  <c r="AE18" i="2"/>
  <c r="AE20" i="2"/>
  <c r="AD17" i="2"/>
  <c r="J17" i="2" s="1" a="1"/>
  <c r="J17" i="2" s="1"/>
  <c r="AE17" i="2"/>
  <c r="AE16" i="2"/>
  <c r="AD16" i="2"/>
  <c r="J16" i="2" s="1" a="1"/>
  <c r="J16" i="2" s="1"/>
  <c r="AD15" i="2"/>
  <c r="J15" i="2" s="1" a="1"/>
  <c r="J15" i="2" s="1"/>
  <c r="AE15" i="2"/>
  <c r="AD14" i="2"/>
  <c r="J14" i="2" s="1" a="1"/>
  <c r="J14" i="2" s="1"/>
  <c r="AE14" i="2"/>
  <c r="AD13" i="2"/>
  <c r="J13" i="2" s="1" a="1"/>
  <c r="J13" i="2" s="1"/>
  <c r="AE12" i="2"/>
  <c r="AE13" i="2"/>
  <c r="AE9" i="2"/>
  <c r="AD9" i="2"/>
  <c r="J9" i="2" s="1" a="1"/>
  <c r="J9" i="2" s="1"/>
  <c r="AD10" i="2"/>
  <c r="J10" i="2" s="1" a="1"/>
  <c r="J10" i="2" s="1"/>
  <c r="AE10" i="2"/>
  <c r="AE11" i="2"/>
  <c r="AD11" i="2"/>
  <c r="J11" i="2" s="1" a="1"/>
  <c r="J11" i="2" s="1"/>
  <c r="AD6" i="2"/>
  <c r="J6" i="2" s="1" a="1"/>
  <c r="J6" i="2" s="1"/>
  <c r="AE7" i="2"/>
  <c r="AD5" i="2"/>
  <c r="J5" i="2" s="1" a="1"/>
  <c r="J5" i="2" s="1"/>
  <c r="AE4" i="2"/>
  <c r="AE6" i="2"/>
  <c r="AD4" i="2"/>
  <c r="J4" i="2" s="1" a="1"/>
  <c r="J4" i="2" s="1"/>
  <c r="AE5" i="2"/>
  <c r="AD7" i="2"/>
  <c r="J7" i="2" s="1" a="1"/>
  <c r="J7" i="2" s="1"/>
  <c r="AE8" i="2"/>
  <c r="AD8" i="2"/>
  <c r="J8" i="2" s="1" a="1"/>
  <c r="J8" i="2" s="1"/>
  <c r="E4" i="5"/>
  <c r="L4" i="11" l="1"/>
  <c r="C4" i="14" s="1" a="1"/>
  <c r="K69" i="2" a="1"/>
  <c r="K69" i="2" s="1"/>
  <c r="L69" i="2" s="1"/>
  <c r="AB4" i="9" a="1"/>
  <c r="AB4" i="9" s="1"/>
  <c r="K75" i="2" a="1"/>
  <c r="K75" i="2" s="1"/>
  <c r="L75" i="2" s="1"/>
  <c r="AA4" i="9" a="1"/>
  <c r="Y4" i="9" a="1"/>
  <c r="R4" i="9"/>
  <c r="T4" i="9" s="1" a="1"/>
  <c r="T4" i="9" s="1"/>
  <c r="U4" i="9" a="1"/>
  <c r="P4" i="9"/>
  <c r="I46" i="2" a="1"/>
  <c r="I46" i="2" s="1"/>
  <c r="K46" i="2" s="1" a="1"/>
  <c r="K46" i="2" s="1"/>
  <c r="L46" i="2" s="1"/>
  <c r="I62" i="2" a="1"/>
  <c r="I62" i="2" s="1"/>
  <c r="K62" i="2" s="1" a="1"/>
  <c r="K62" i="2" s="1"/>
  <c r="L62" i="2" s="1"/>
  <c r="I63" i="2" a="1"/>
  <c r="I63" i="2" s="1"/>
  <c r="K63" i="2" s="1" a="1"/>
  <c r="K63" i="2" s="1"/>
  <c r="L63" i="2" s="1"/>
  <c r="I64" i="2" a="1"/>
  <c r="I64" i="2" s="1"/>
  <c r="K64" i="2" s="1" a="1"/>
  <c r="K64" i="2" s="1"/>
  <c r="L64" i="2" s="1"/>
  <c r="I65" i="2" a="1"/>
  <c r="I65" i="2" s="1"/>
  <c r="K65" i="2" s="1" a="1"/>
  <c r="K65" i="2" s="1"/>
  <c r="L65" i="2" s="1"/>
  <c r="I47" i="2" a="1"/>
  <c r="I47" i="2" s="1"/>
  <c r="K47" i="2" s="1" a="1"/>
  <c r="K47" i="2" s="1"/>
  <c r="L47" i="2" s="1"/>
  <c r="I48" i="2" a="1"/>
  <c r="I48" i="2" s="1"/>
  <c r="K48" i="2" s="1" a="1"/>
  <c r="K48" i="2" s="1"/>
  <c r="L48" i="2" s="1"/>
  <c r="I49" i="2" a="1"/>
  <c r="I49" i="2" s="1"/>
  <c r="K49" i="2" s="1" a="1"/>
  <c r="K49" i="2" s="1"/>
  <c r="L49" i="2" s="1"/>
  <c r="I50" i="2" a="1"/>
  <c r="I50" i="2" s="1"/>
  <c r="K50" i="2" s="1" a="1"/>
  <c r="K50" i="2" s="1"/>
  <c r="L50" i="2" s="1"/>
  <c r="I51" i="2" a="1"/>
  <c r="I51" i="2" s="1"/>
  <c r="K51" i="2" s="1" a="1"/>
  <c r="K51" i="2" s="1"/>
  <c r="L51" i="2" s="1"/>
  <c r="I52" i="2" a="1"/>
  <c r="I52" i="2" s="1"/>
  <c r="K52" i="2" s="1" a="1"/>
  <c r="K52" i="2" s="1"/>
  <c r="L52" i="2" s="1"/>
  <c r="I53" i="2" a="1"/>
  <c r="I53" i="2" s="1"/>
  <c r="K53" i="2" s="1" a="1"/>
  <c r="K53" i="2" s="1"/>
  <c r="L53" i="2" s="1"/>
  <c r="I54" i="2" a="1"/>
  <c r="I54" i="2" s="1"/>
  <c r="K54" i="2" s="1" a="1"/>
  <c r="K54" i="2" s="1"/>
  <c r="L54" i="2" s="1"/>
  <c r="I55" i="2" a="1"/>
  <c r="I55" i="2" s="1"/>
  <c r="K55" i="2" s="1" a="1"/>
  <c r="K55" i="2" s="1"/>
  <c r="L55" i="2" s="1"/>
  <c r="I61" i="2" a="1"/>
  <c r="I61" i="2" s="1"/>
  <c r="K61" i="2" s="1" a="1"/>
  <c r="K61" i="2" s="1"/>
  <c r="L61" i="2" s="1"/>
  <c r="I58" i="2" a="1"/>
  <c r="I58" i="2" s="1"/>
  <c r="K58" i="2" s="1" a="1"/>
  <c r="K58" i="2" s="1"/>
  <c r="L58" i="2" s="1"/>
  <c r="I56" i="2" a="1"/>
  <c r="I56" i="2" s="1"/>
  <c r="K56" i="2" s="1" a="1"/>
  <c r="K56" i="2" s="1"/>
  <c r="L56" i="2" s="1"/>
  <c r="I60" i="2" a="1"/>
  <c r="I60" i="2" s="1"/>
  <c r="K60" i="2" s="1" a="1"/>
  <c r="K60" i="2" s="1"/>
  <c r="L60" i="2" s="1"/>
  <c r="I59" i="2" a="1"/>
  <c r="I59" i="2" s="1"/>
  <c r="K59" i="2" s="1" a="1"/>
  <c r="K59" i="2" s="1"/>
  <c r="L59" i="2" s="1"/>
  <c r="I57" i="2" a="1"/>
  <c r="I57" i="2" s="1"/>
  <c r="K57" i="2" s="1" a="1"/>
  <c r="K57" i="2" s="1"/>
  <c r="L57" i="2" s="1"/>
  <c r="I11" i="2" a="1"/>
  <c r="I11" i="2" s="1"/>
  <c r="K11" i="2" s="1" a="1"/>
  <c r="K11" i="2" s="1"/>
  <c r="L11" i="2" s="1"/>
  <c r="I13" i="2" a="1"/>
  <c r="I13" i="2" s="1"/>
  <c r="K13" i="2" s="1" a="1"/>
  <c r="K13" i="2" s="1"/>
  <c r="L13" i="2" s="1"/>
  <c r="I9" i="2" a="1"/>
  <c r="I9" i="2" s="1"/>
  <c r="K9" i="2" s="1" a="1"/>
  <c r="K9" i="2" s="1"/>
  <c r="L9" i="2" s="1"/>
  <c r="I10" i="2" a="1"/>
  <c r="I10" i="2" s="1"/>
  <c r="K10" i="2" s="1" a="1"/>
  <c r="K10" i="2" s="1"/>
  <c r="L10" i="2" s="1"/>
  <c r="I12" i="2" a="1"/>
  <c r="I12" i="2" s="1"/>
  <c r="K12" i="2" s="1" a="1"/>
  <c r="K12" i="2" s="1"/>
  <c r="L12" i="2" s="1"/>
  <c r="I8" i="2" a="1"/>
  <c r="I8" i="2" s="1"/>
  <c r="K8" i="2" s="1" a="1"/>
  <c r="K8" i="2" s="1"/>
  <c r="L8" i="2" s="1"/>
  <c r="I4" i="2" a="1"/>
  <c r="I4" i="2" s="1"/>
  <c r="K4" i="2" s="1" a="1"/>
  <c r="K4" i="2" s="1"/>
  <c r="L4" i="2" s="1"/>
  <c r="I5" i="2" a="1"/>
  <c r="I5" i="2" s="1"/>
  <c r="K5" i="2" s="1" a="1"/>
  <c r="K5" i="2" s="1"/>
  <c r="L5" i="2" s="1"/>
  <c r="I6" i="2" a="1"/>
  <c r="I6" i="2" s="1"/>
  <c r="K6" i="2" s="1" a="1"/>
  <c r="K6" i="2" s="1"/>
  <c r="L6" i="2" s="1"/>
  <c r="I7" i="2" a="1"/>
  <c r="I7" i="2" s="1"/>
  <c r="K7" i="2" s="1" a="1"/>
  <c r="K7" i="2" s="1"/>
  <c r="L7" i="2" s="1"/>
  <c r="K70" i="2" a="1"/>
  <c r="K70" i="2" s="1"/>
  <c r="L70" i="2" s="1"/>
  <c r="K71" i="2" a="1"/>
  <c r="K71" i="2" s="1"/>
  <c r="L71" i="2" s="1"/>
  <c r="K72" i="2" a="1"/>
  <c r="K72" i="2" s="1"/>
  <c r="L72" i="2" s="1"/>
  <c r="K68" i="2" a="1"/>
  <c r="K68" i="2" s="1"/>
  <c r="L68" i="2" s="1"/>
  <c r="K67" i="2" a="1"/>
  <c r="K67" i="2" s="1"/>
  <c r="L67" i="2" s="1"/>
  <c r="K73" i="2" a="1"/>
  <c r="K73" i="2" s="1"/>
  <c r="L73" i="2" s="1"/>
  <c r="K74" i="2" a="1"/>
  <c r="K74" i="2" s="1"/>
  <c r="L74" i="2" s="1"/>
  <c r="K66" i="2" a="1"/>
  <c r="K66" i="2" s="1"/>
  <c r="L66" i="2" s="1"/>
  <c r="K44" i="2" a="1"/>
  <c r="K44" i="2" s="1"/>
  <c r="L44" i="2" s="1"/>
  <c r="K41" i="2" a="1"/>
  <c r="K41" i="2" s="1"/>
  <c r="L41" i="2" s="1"/>
  <c r="K42" i="2" a="1"/>
  <c r="K42" i="2" s="1"/>
  <c r="L42" i="2" s="1"/>
  <c r="K26" i="2" a="1"/>
  <c r="K26" i="2" s="1"/>
  <c r="L26" i="2" s="1"/>
  <c r="K30" i="2" a="1"/>
  <c r="K30" i="2" s="1"/>
  <c r="L30" i="2" s="1"/>
  <c r="K19" i="2" a="1"/>
  <c r="K19" i="2" s="1"/>
  <c r="L19" i="2" s="1"/>
  <c r="K36" i="2" a="1"/>
  <c r="K36" i="2" s="1"/>
  <c r="L36" i="2" s="1"/>
  <c r="K35" i="2" a="1"/>
  <c r="K35" i="2" s="1"/>
  <c r="L35" i="2" s="1"/>
  <c r="K34" i="2" a="1"/>
  <c r="K34" i="2" s="1"/>
  <c r="L34" i="2" s="1"/>
  <c r="K29" i="2" a="1"/>
  <c r="K29" i="2" s="1"/>
  <c r="L29" i="2" s="1"/>
  <c r="K39" i="2" a="1"/>
  <c r="K39" i="2" s="1"/>
  <c r="L39" i="2" s="1"/>
  <c r="K38" i="2" a="1"/>
  <c r="K38" i="2" s="1"/>
  <c r="L38" i="2" s="1"/>
  <c r="K37" i="2" a="1"/>
  <c r="K37" i="2" s="1"/>
  <c r="L37" i="2" s="1"/>
  <c r="K43" i="2" a="1"/>
  <c r="K43" i="2" s="1"/>
  <c r="L43" i="2" s="1"/>
  <c r="K32" i="2" a="1"/>
  <c r="K32" i="2" s="1"/>
  <c r="L32" i="2" s="1"/>
  <c r="K24" i="2" a="1"/>
  <c r="K24" i="2" s="1"/>
  <c r="L24" i="2" s="1"/>
  <c r="K27" i="2" a="1"/>
  <c r="K27" i="2" s="1"/>
  <c r="L27" i="2" s="1"/>
  <c r="K18" i="2" a="1"/>
  <c r="K18" i="2" s="1"/>
  <c r="L18" i="2" s="1"/>
  <c r="K45" i="2" a="1"/>
  <c r="K45" i="2" s="1"/>
  <c r="L45" i="2" s="1"/>
  <c r="K33" i="2" a="1"/>
  <c r="K33" i="2" s="1"/>
  <c r="L33" i="2" s="1"/>
  <c r="K20" i="2" a="1"/>
  <c r="K20" i="2" s="1"/>
  <c r="L20" i="2" s="1"/>
  <c r="K14" i="2" a="1"/>
  <c r="K14" i="2" s="1"/>
  <c r="L14" i="2" s="1"/>
  <c r="K40" i="2" a="1"/>
  <c r="K40" i="2" s="1"/>
  <c r="L40" i="2" s="1"/>
  <c r="K31" i="2" a="1"/>
  <c r="K31" i="2" s="1"/>
  <c r="L31" i="2" s="1"/>
  <c r="K25" i="2" a="1"/>
  <c r="K25" i="2" s="1"/>
  <c r="L25" i="2" s="1"/>
  <c r="K28" i="2" a="1"/>
  <c r="K28" i="2" s="1"/>
  <c r="L28" i="2" s="1"/>
  <c r="K21" i="2" a="1"/>
  <c r="K21" i="2" s="1"/>
  <c r="L21" i="2" s="1"/>
  <c r="K22" i="2" a="1"/>
  <c r="K22" i="2" s="1"/>
  <c r="L22" i="2" s="1"/>
  <c r="K23" i="2" a="1"/>
  <c r="K23" i="2" s="1"/>
  <c r="L23" i="2" s="1"/>
  <c r="K17" i="2" a="1"/>
  <c r="K17" i="2" s="1"/>
  <c r="L17" i="2" s="1"/>
  <c r="K16" i="2" a="1"/>
  <c r="K16" i="2" s="1"/>
  <c r="L16" i="2" s="1"/>
  <c r="K15" i="2" a="1"/>
  <c r="K15" i="2" s="1"/>
  <c r="L15" i="2" s="1"/>
  <c r="F4" i="5" a="1"/>
  <c r="C4" i="14" l="1"/>
  <c r="AF4" i="9" a="1"/>
  <c r="AF4" i="9" s="1"/>
  <c r="AE4" i="9" a="1"/>
  <c r="AE4" i="9" s="1"/>
  <c r="S4" i="9" a="1"/>
  <c r="S4" i="9" s="1"/>
  <c r="AA4" i="9"/>
  <c r="Y4" i="9"/>
  <c r="U4" i="9"/>
  <c r="F4" i="5"/>
  <c r="AD4" i="9" l="1" a="1"/>
  <c r="AD4" i="9" s="1"/>
  <c r="AC4" i="9" a="1"/>
  <c r="AC4" i="9" s="1"/>
  <c r="V4" i="9" a="1"/>
  <c r="V4" i="9" s="1"/>
  <c r="W4" i="9" a="1"/>
  <c r="W4" i="9" s="1"/>
  <c r="Q4" i="5" a="1"/>
  <c r="Q4" i="5" s="1"/>
  <c r="J4" i="5" a="1"/>
  <c r="G4" i="5" a="1"/>
  <c r="G4" i="5" s="1"/>
  <c r="H4" i="5" a="1"/>
  <c r="H4" i="5" s="1"/>
  <c r="I4" i="5" s="1" a="1"/>
  <c r="J4" i="5" l="1"/>
  <c r="J4" i="3" s="1" a="1"/>
  <c r="J4" i="3" s="1"/>
  <c r="J7" i="3" a="1"/>
  <c r="J7" i="3" s="1"/>
  <c r="J8" i="3" a="1"/>
  <c r="J8" i="3" s="1"/>
  <c r="I4" i="5"/>
  <c r="J5" i="3" l="1" a="1"/>
  <c r="J5" i="3" s="1"/>
  <c r="J6" i="3" a="1"/>
  <c r="J6" i="3" s="1"/>
  <c r="J9" i="3" a="1"/>
  <c r="J9" i="3" s="1"/>
  <c r="J10" i="3" a="1"/>
  <c r="J10" i="3" s="1"/>
  <c r="J11" i="3" a="1"/>
  <c r="J11" i="3" s="1"/>
  <c r="I4" i="3" a="1"/>
  <c r="I4" i="3" s="1"/>
  <c r="K4" i="3" s="1" a="1"/>
  <c r="K4" i="3" s="1"/>
  <c r="L4" i="3" s="1" a="1"/>
  <c r="L4" i="3" s="1"/>
  <c r="I5" i="3" a="1"/>
  <c r="I5" i="3" s="1"/>
  <c r="I6" i="3" a="1"/>
  <c r="I6" i="3" s="1"/>
  <c r="I7" i="3" a="1"/>
  <c r="I7" i="3" s="1"/>
  <c r="K7" i="3" s="1" a="1"/>
  <c r="K7" i="3" s="1"/>
  <c r="L7" i="3" s="1" a="1"/>
  <c r="L7" i="3" s="1"/>
  <c r="I8" i="3" a="1"/>
  <c r="I8" i="3" s="1"/>
  <c r="K8" i="3" s="1" a="1"/>
  <c r="K8" i="3" s="1"/>
  <c r="L8" i="3" s="1" a="1"/>
  <c r="L8" i="3" s="1"/>
  <c r="I9" i="3" a="1"/>
  <c r="I9" i="3" s="1"/>
  <c r="I10" i="3" a="1"/>
  <c r="I10" i="3" s="1"/>
  <c r="I11" i="3" a="1"/>
  <c r="I11" i="3" s="1"/>
  <c r="K9" i="3" l="1" a="1"/>
  <c r="K9" i="3" s="1"/>
  <c r="L9" i="3" s="1" a="1"/>
  <c r="L9" i="3" s="1"/>
  <c r="K5" i="3" a="1"/>
  <c r="K5" i="3" s="1"/>
  <c r="L5" i="3" s="1" a="1"/>
  <c r="L5" i="3" s="1"/>
  <c r="K6" i="3" a="1"/>
  <c r="K6" i="3" s="1"/>
  <c r="L6" i="3" s="1" a="1"/>
  <c r="L6" i="3" s="1"/>
  <c r="K10" i="3" a="1"/>
  <c r="K10" i="3" s="1"/>
  <c r="L10" i="3" s="1" a="1"/>
  <c r="L10" i="3" s="1"/>
  <c r="K11" i="3" a="1"/>
  <c r="K11" i="3" s="1"/>
  <c r="L11" i="3" s="1" a="1"/>
  <c r="L11" i="3" s="1"/>
  <c r="K4" i="5" l="1" a="1"/>
  <c r="K4" i="5" s="1"/>
  <c r="L4" i="5" l="1" a="1"/>
  <c r="L4" i="5" s="1"/>
  <c r="M4" i="5" s="1" a="1"/>
  <c r="M4" i="5" s="1"/>
  <c r="N4" i="5" a="1"/>
  <c r="N4" i="5" s="1"/>
  <c r="O4" i="5" s="1" a="1"/>
  <c r="O4" i="5" l="1"/>
  <c r="P4" i="5" s="1" a="1"/>
  <c r="P4" i="5" s="1"/>
  <c r="AF13" i="2" l="1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73" i="2" a="1"/>
  <c r="AF7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74" i="2" a="1"/>
  <c r="AF74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65" i="2" a="1"/>
  <c r="AF65" i="2" s="1"/>
  <c r="AF68" i="2" a="1"/>
  <c r="AF68" i="2" s="1"/>
  <c r="AF70" i="2" a="1"/>
  <c r="AF70" i="2" s="1"/>
  <c r="AF5" i="2" a="1"/>
  <c r="AF5" i="2" s="1"/>
  <c r="AF7" i="2" a="1"/>
  <c r="AF7" i="2" s="1"/>
  <c r="AF9" i="2" a="1"/>
  <c r="AF9" i="2" s="1"/>
  <c r="AF11" i="2" a="1"/>
  <c r="AF11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64" i="2" a="1"/>
  <c r="AF64" i="2" s="1"/>
  <c r="AF67" i="2" a="1"/>
  <c r="AF67" i="2" s="1"/>
  <c r="AF71" i="2" a="1"/>
  <c r="AF71" i="2" s="1"/>
  <c r="AF4" i="2" a="1"/>
  <c r="AF4" i="2" s="1"/>
  <c r="AF6" i="2" a="1"/>
  <c r="AF6" i="2" s="1"/>
  <c r="AF8" i="2" a="1"/>
  <c r="AF8" i="2" s="1"/>
  <c r="AF10" i="2" a="1"/>
  <c r="AF10" i="2" s="1"/>
  <c r="AF12" i="2" a="1"/>
  <c r="AF12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59" i="2" a="1"/>
  <c r="AF59" i="2" s="1"/>
  <c r="AF60" i="2" a="1"/>
  <c r="AF60" i="2" s="1"/>
  <c r="AF61" i="2" a="1"/>
  <c r="AF61" i="2" s="1"/>
  <c r="AF62" i="2" a="1"/>
  <c r="AF62" i="2" s="1"/>
  <c r="AF63" i="2" a="1"/>
  <c r="AF63" i="2" s="1"/>
  <c r="AF66" i="2" a="1"/>
  <c r="AF66" i="2" s="1"/>
  <c r="AF69" i="2" a="1"/>
  <c r="AF69" i="2" s="1"/>
  <c r="AF72" i="2" a="1"/>
  <c r="AF72" i="2" s="1"/>
  <c r="AF75" i="2" a="1"/>
  <c r="AF75" i="2" s="1"/>
  <c r="AF76" i="2" a="1"/>
  <c r="AF76" i="2" s="1"/>
  <c r="M4" i="3" a="1"/>
  <c r="M4" i="3" s="1"/>
  <c r="N4" i="3" s="1" a="1"/>
  <c r="N4" i="3" s="1"/>
  <c r="M5" i="3" a="1"/>
  <c r="M5" i="3" s="1"/>
  <c r="N5" i="3" s="1" a="1"/>
  <c r="N5" i="3" s="1"/>
  <c r="M6" i="3" a="1"/>
  <c r="M6" i="3" s="1"/>
  <c r="N6" i="3" s="1" a="1"/>
  <c r="N6" i="3" s="1"/>
  <c r="M7" i="3" a="1"/>
  <c r="M7" i="3" s="1"/>
  <c r="N7" i="3" s="1" a="1"/>
  <c r="N7" i="3" s="1"/>
  <c r="M8" i="3" a="1"/>
  <c r="M8" i="3" s="1"/>
  <c r="N8" i="3" s="1" a="1"/>
  <c r="N8" i="3" s="1"/>
  <c r="M9" i="3" a="1"/>
  <c r="M9" i="3" s="1"/>
  <c r="N9" i="3" s="1" a="1"/>
  <c r="N9" i="3" s="1"/>
  <c r="M10" i="3" a="1"/>
  <c r="M10" i="3" s="1"/>
  <c r="N10" i="3" s="1" a="1"/>
  <c r="N10" i="3" s="1"/>
  <c r="M11" i="3" a="1"/>
  <c r="M11" i="3" s="1"/>
  <c r="N11" i="3" s="1" a="1"/>
  <c r="N11" i="3" s="1"/>
  <c r="E5" i="10" l="1" a="1"/>
  <c r="E5" i="10" l="1"/>
  <c r="E5" i="13" s="1" a="1"/>
  <c r="E5" i="13" s="1"/>
  <c r="K5" i="10" a="1"/>
  <c r="F5" i="10" l="1" a="1"/>
  <c r="F5" i="10" s="1"/>
  <c r="F5" i="13" s="1" a="1"/>
  <c r="I5" i="10" a="1"/>
  <c r="I5" i="10" s="1"/>
  <c r="K5" i="10"/>
  <c r="F5" i="13" l="1"/>
  <c r="J5" i="10" a="1"/>
  <c r="J5" i="10" s="1"/>
  <c r="L5" i="10" a="1"/>
  <c r="L5" i="10" s="1"/>
  <c r="J5" i="13" s="1" a="1"/>
  <c r="J5" i="13" l="1"/>
  <c r="I5" i="13" s="1" a="1"/>
  <c r="G5" i="10" a="1"/>
  <c r="H5" i="10" a="1"/>
  <c r="I5" i="13" l="1"/>
  <c r="G5" i="10"/>
  <c r="G5" i="13" s="1" a="1"/>
  <c r="H5" i="10"/>
  <c r="H5" i="13" s="1" a="1"/>
  <c r="G5" i="13" l="1"/>
  <c r="H5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<sst xmlns="http://schemas.openxmlformats.org/spreadsheetml/2006/main" count="549" uniqueCount="214">
  <si>
    <t>index</t>
  </si>
  <si>
    <t>manual_index</t>
  </si>
  <si>
    <t>auto_index</t>
  </si>
  <si>
    <t>timestamp</t>
  </si>
  <si>
    <t>manual_state</t>
  </si>
  <si>
    <t>derived_state</t>
  </si>
  <si>
    <t>final_state</t>
  </si>
  <si>
    <t>name</t>
  </si>
  <si>
    <t>sn</t>
  </si>
  <si>
    <t>asset_tagn</t>
  </si>
  <si>
    <t>location</t>
  </si>
  <si>
    <t>cabinet</t>
  </si>
  <si>
    <t>base_ru</t>
  </si>
  <si>
    <t>device_state</t>
  </si>
  <si>
    <t>active</t>
  </si>
  <si>
    <t>handle_permanent_raw</t>
  </si>
  <si>
    <t>handle_permanent_cleaned</t>
  </si>
  <si>
    <t>srv01</t>
  </si>
  <si>
    <t>srv02</t>
  </si>
  <si>
    <t>value</t>
  </si>
  <si>
    <t>delimiter_device_if_name</t>
  </si>
  <si>
    <t>;</t>
  </si>
  <si>
    <t>delimiter_edge</t>
  </si>
  <si>
    <t>&lt;~~~&gt;</t>
  </si>
  <si>
    <t>if_name_raw</t>
  </si>
  <si>
    <t>if_name_cleaned</t>
  </si>
  <si>
    <t>if_id</t>
  </si>
  <si>
    <t>device_handle_cleaned</t>
  </si>
  <si>
    <t>device_handle_raw</t>
  </si>
  <si>
    <t>rtr01</t>
  </si>
  <si>
    <t>fw01</t>
  </si>
  <si>
    <t>active_handle_count</t>
  </si>
  <si>
    <t>handle_count</t>
  </si>
  <si>
    <t>helper data</t>
  </si>
  <si>
    <t>|</t>
  </si>
  <si>
    <t>active_if_id_count</t>
  </si>
  <si>
    <t>if_id_count</t>
  </si>
  <si>
    <t>console</t>
  </si>
  <si>
    <t>collective_device_state</t>
  </si>
  <si>
    <t>collective_if_id_state</t>
  </si>
  <si>
    <t>deprecation_state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</si>
  <si>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</si>
  <si>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</si>
  <si>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</si>
  <si>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</si>
  <si>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</si>
  <si>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</si>
  <si>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</si>
  <si>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</si>
  <si>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</si>
  <si>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</si>
  <si>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path_index</t>
  </si>
  <si>
    <t>hop_index</t>
  </si>
  <si>
    <t>hop_index_compressed</t>
  </si>
  <si>
    <t>hop_count</t>
  </si>
  <si>
    <t>path_count</t>
  </si>
  <si>
    <t>path_entry_count</t>
  </si>
  <si>
    <t>device</t>
  </si>
  <si>
    <t>if_id_state</t>
  </si>
  <si>
    <t>project</t>
  </si>
  <si>
    <t>idrac</t>
  </si>
  <si>
    <t>01</t>
  </si>
  <si>
    <t>ob/1</t>
  </si>
  <si>
    <t>ob/2</t>
  </si>
  <si>
    <t>pcie_1/2</t>
  </si>
  <si>
    <t>pcie_1/1</t>
  </si>
  <si>
    <t>mgmt</t>
  </si>
  <si>
    <t>02</t>
  </si>
  <si>
    <t>03</t>
  </si>
  <si>
    <t>04</t>
  </si>
  <si>
    <t>05</t>
  </si>
  <si>
    <t>06</t>
  </si>
  <si>
    <t>07</t>
  </si>
  <si>
    <t>08</t>
  </si>
  <si>
    <t>g_0/0/0</t>
  </si>
  <si>
    <t>g_0/0/1</t>
  </si>
  <si>
    <t>g_1/0/0</t>
  </si>
  <si>
    <t>g_1/0/1</t>
  </si>
  <si>
    <t>leaf02</t>
  </si>
  <si>
    <t>leaf01</t>
  </si>
  <si>
    <t>rtr02</t>
  </si>
  <si>
    <t>spine01</t>
  </si>
  <si>
    <t>spine02</t>
  </si>
  <si>
    <t>mgmtsw01</t>
  </si>
  <si>
    <t>srv01;idrac</t>
  </si>
  <si>
    <t>mgmtsw01;01</t>
  </si>
  <si>
    <t>srv01;ob/1</t>
  </si>
  <si>
    <t>leaf01;01</t>
  </si>
  <si>
    <t>srv01;ob/2</t>
  </si>
  <si>
    <t>leaf01;02</t>
  </si>
  <si>
    <t>srv02;idrac</t>
  </si>
  <si>
    <t>mgmtsw01;02</t>
  </si>
  <si>
    <t>leaf01;07</t>
  </si>
  <si>
    <t>spine01;01</t>
  </si>
  <si>
    <t>leaf01;08</t>
  </si>
  <si>
    <t>spine02;01</t>
  </si>
  <si>
    <t>leaf01;mgmt</t>
  </si>
  <si>
    <t>mgmtsw01;07</t>
  </si>
  <si>
    <t>srv02;pcie_1/1</t>
  </si>
  <si>
    <t>leaf01;04</t>
  </si>
  <si>
    <t>collective_path_state</t>
  </si>
  <si>
    <t>entry_index_of_most_recent_occurence_of_if_id_over_all_ok_paths</t>
  </si>
  <si>
    <t>path_index_of_most_recent_occurence_of_if_id_over_all_ok_paths</t>
  </si>
  <si>
    <t>if_id_occurence_count_per_path</t>
  </si>
  <si>
    <t>is_path_deprecated</t>
  </si>
  <si>
    <t>most_recent_entry_path_index_per_path</t>
  </si>
  <si>
    <t>fw02</t>
  </si>
  <si>
    <t>derived_path_state</t>
  </si>
  <si>
    <t>all_given_if_ids</t>
  </si>
  <si>
    <t>given_devices</t>
  </si>
  <si>
    <t>all_found_if_ids</t>
  </si>
  <si>
    <t>all_missing_if_ids</t>
  </si>
  <si>
    <t>all_found_devices</t>
  </si>
  <si>
    <t>all_missing_devices</t>
  </si>
  <si>
    <t>boobs;1</t>
  </si>
  <si>
    <t>big;2</t>
  </si>
  <si>
    <t>farts;69</t>
  </si>
  <si>
    <t>lazah_beams;420</t>
  </si>
  <si>
    <t>index_if_ids</t>
  </si>
  <si>
    <t>is_given_if_id_found</t>
  </si>
  <si>
    <t>is_given_if_id_found_and_in_state_ok</t>
  </si>
  <si>
    <t>all_found_and_ok_if_ids</t>
  </si>
  <si>
    <t>all_missing_and_ok_if_ids</t>
  </si>
  <si>
    <t>is_given_device_found</t>
  </si>
  <si>
    <t>is_given_device_found_and_in_state_ok</t>
  </si>
  <si>
    <t>fw02;mgmt</t>
  </si>
  <si>
    <t>suspended</t>
  </si>
  <si>
    <t>environment</t>
  </si>
  <si>
    <t>redundancy_designation</t>
  </si>
  <si>
    <t>a_if_id</t>
  </si>
  <si>
    <t>a_device</t>
  </si>
  <si>
    <t>z_device</t>
  </si>
  <si>
    <t>spine01;03</t>
  </si>
  <si>
    <t>z_if_id</t>
  </si>
  <si>
    <t>vertex_count</t>
  </si>
  <si>
    <t>rtr01;g_0/0/1</t>
  </si>
  <si>
    <t>associated_ok_path_indicies</t>
  </si>
  <si>
    <t>path_state</t>
  </si>
  <si>
    <t>interface</t>
  </si>
  <si>
    <t>path_id</t>
  </si>
  <si>
    <t>path_as_text_array</t>
  </si>
  <si>
    <t>spine02;05</t>
  </si>
  <si>
    <t>hop_counts</t>
  </si>
  <si>
    <t xml:space="preserve">choose_device -&gt; </t>
  </si>
  <si>
    <t>all_found_and__ok_devices_ids</t>
  </si>
  <si>
    <t>data_source</t>
  </si>
  <si>
    <t>given_a_if_id</t>
  </si>
  <si>
    <t>given_z_if_id</t>
  </si>
  <si>
    <t>helper_column</t>
  </si>
  <si>
    <t>coord_base_name</t>
  </si>
  <si>
    <t>hierarchy</t>
  </si>
  <si>
    <t>/</t>
  </si>
  <si>
    <t>port_template</t>
  </si>
  <si>
    <t>port_template_name</t>
  </si>
  <si>
    <t>if_name</t>
  </si>
  <si>
    <t>make</t>
  </si>
  <si>
    <t>model</t>
  </si>
  <si>
    <t>dc69</t>
  </si>
  <si>
    <t>material</t>
  </si>
  <si>
    <t>device_type</t>
  </si>
  <si>
    <t>is_chassis</t>
  </si>
  <si>
    <t>is_module</t>
  </si>
  <si>
    <t>material_name</t>
  </si>
  <si>
    <t>height</t>
  </si>
  <si>
    <t>width</t>
  </si>
  <si>
    <t>depth</t>
  </si>
  <si>
    <t>port_form_factor</t>
  </si>
  <si>
    <t>weight</t>
  </si>
  <si>
    <t>name_directive -&gt;</t>
  </si>
  <si>
    <t>if_id_name_based</t>
  </si>
  <si>
    <t>if_id_coord_based</t>
  </si>
  <si>
    <t>network_leaf/v01</t>
  </si>
  <si>
    <t>network_spine/v01</t>
  </si>
  <si>
    <t>srv/v01</t>
  </si>
  <si>
    <t>rtr/v01</t>
  </si>
  <si>
    <t>fw/v01</t>
  </si>
  <si>
    <t>mgmt_sw/v01</t>
  </si>
  <si>
    <t>alias_01</t>
  </si>
  <si>
    <t>alias_02</t>
  </si>
  <si>
    <t>role</t>
  </si>
  <si>
    <t>notes</t>
  </si>
  <si>
    <t>comments</t>
  </si>
  <si>
    <t>09</t>
  </si>
  <si>
    <t>g/0/0/0</t>
  </si>
  <si>
    <t>g/0/0/1</t>
  </si>
  <si>
    <t>g/0/0/3</t>
  </si>
  <si>
    <t>g/0/0/2</t>
  </si>
  <si>
    <t>aux</t>
  </si>
  <si>
    <t>inside_01</t>
  </si>
  <si>
    <t>inside_02</t>
  </si>
  <si>
    <t>outside_01</t>
  </si>
  <si>
    <t>outside_02</t>
  </si>
  <si>
    <t>ob/3</t>
  </si>
  <si>
    <t>ob/4</t>
  </si>
  <si>
    <t>pcie_2/2</t>
  </si>
  <si>
    <t>pcie_3/1</t>
  </si>
  <si>
    <t>pcie_3/2</t>
  </si>
  <si>
    <t>pcie_4/1</t>
  </si>
  <si>
    <t>pcie_4/2</t>
  </si>
  <si>
    <t>qsfp</t>
  </si>
  <si>
    <t>rj45</t>
  </si>
  <si>
    <t>sfp</t>
  </si>
  <si>
    <t>template_name</t>
  </si>
  <si>
    <t>port_count_per_template</t>
  </si>
  <si>
    <t>device_name</t>
  </si>
  <si>
    <t>device_id</t>
  </si>
  <si>
    <t>if_id_alias_01</t>
  </si>
  <si>
    <t>if_id_alias_02</t>
  </si>
  <si>
    <t>farts</t>
  </si>
  <si>
    <t>poops</t>
  </si>
  <si>
    <t>handle</t>
  </si>
  <si>
    <t>delimiter_text_array_element</t>
  </si>
  <si>
    <t>,</t>
  </si>
  <si>
    <t>missing_template_name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</si>
</sst>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color rgb="FF00B050"/>
      <name val="Consolas"/>
      <family val="3"/>
    </font>
    <font>
      <sz val="8"/>
      <name val="Calibri"/>
      <family val="2"/>
      <scheme val="minor"/>
    </font>
    <font>
      <b/>
      <sz val="11"/>
      <color theme="4" tint="-0.249977111117893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12" borderId="0" xfId="0" applyFont="1" applyFill="1" applyAlignment="1">
      <alignment horizontal="center" vertical="center"/>
    </xf>
    <xf numFmtId="0" fontId="1" fillId="12" borderId="0" xfId="0" applyFont="1" applyFill="1"/>
    <xf numFmtId="0" fontId="1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0" borderId="4" xfId="0" applyFont="1" applyFill="1" applyBorder="1"/>
    <xf numFmtId="0" fontId="1" fillId="10" borderId="4" xfId="0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6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8B1E55D-C6EF-4E1B-9EF5-49F0E47FE8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70B8C-A0DB-4526-B092-8DA43A64ED12}" name="tbl_variable" displayName="tbl_variable" ref="C4:E11" totalsRowShown="0" headerRowDxfId="135" dataDxfId="134">
  <autoFilter ref="C4:E11" xr:uid="{43370B8C-A0DB-4526-B092-8DA43A64ED12}"/>
  <tableColumns count="3">
    <tableColumn id="1" xr3:uid="{F24B5101-DA23-4325-BEF6-4CBBD5B2FF92}" name="index" dataDxfId="133"/>
    <tableColumn id="2" xr3:uid="{302B73A8-14EC-441E-96C4-120E996423B2}" name="name" dataDxfId="132"/>
    <tableColumn id="3" xr3:uid="{AC9AF5D3-DF8E-4F64-9FF2-0C10A3DEC7DA}" name="value" dataDxfId="1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E9839-0255-4F2C-890D-7D5EB659EE26}" name="tbl_devices" displayName="tbl_devices" ref="C4:AJ15" totalsRowShown="0" headerRowDxfId="130" dataDxfId="129">
  <autoFilter ref="C4:AJ15" xr:uid="{73CE9839-0255-4F2C-890D-7D5EB659EE26}"/>
  <tableColumns count="34">
    <tableColumn id="1" xr3:uid="{EDC8E3B9-4BFE-49AF-B011-073C68A445B4}" name="manual_index" dataDxfId="128"/>
    <tableColumn id="2" xr3:uid="{5C1BE6FA-C5A7-46B1-884E-FD131F1DB2FC}" name="auto_index" dataDxfId="127">
      <calculatedColumnFormula array="1">ROW() - ROW(tbl_devices[#Headers])</calculatedColumnFormula>
    </tableColumn>
    <tableColumn id="20" xr3:uid="{8F710330-CFFE-4F09-96C0-3DA855E67412}" name="data_source" dataDxfId="126"/>
    <tableColumn id="3" xr3:uid="{0758A3A7-D568-4BCF-A85D-6A0C9EC40DF3}" name="timestamp" dataDxfId="125"/>
    <tableColumn id="11" xr3:uid="{B8B3A74B-EF8A-4F03-98AE-8FD2F9F10721}" name="project" dataDxfId="124"/>
    <tableColumn id="4" xr3:uid="{4F3462B8-C4EA-42D3-AB32-7A6DDB4EBD86}" name="manual_state" dataDxfId="123">
      <calculatedColumnFormula>"active"</calculatedColumnFormula>
    </tableColumn>
    <tableColumn id="5" xr3:uid="{C3384ED4-1FD1-49B5-B16E-41719CC7A222}" name="derived_state" dataDxfId="122">
      <calculatedColumnFormula array="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calculatedColumnFormula>
    </tableColumn>
    <tableColumn id="6" xr3:uid="{D0807396-181F-4A68-9E7B-958D1B7CC745}" name="final_state" dataDxfId="121">
      <calculatedColumnFormula array="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calculatedColumnFormula>
    </tableColumn>
    <tableColumn id="7" xr3:uid="{F6777400-4D3B-4D1E-9F58-39DFBB938D1C}" name="handle_permanent_raw" dataDxfId="120"/>
    <tableColumn id="17" xr3:uid="{3A7A3642-9CD1-4592-B83C-CC89CBD5C804}" name="handle_permanent_cleaned" dataDxfId="119">
      <calculatedColumnFormula>_xlfn.LET(_xlpm.raw,               tbl_devices[[#This Row],[handle_permanent_raw]],
     _xlpm.cleaned,           LOWER(SUBSTITUTE(CLEAN(TRIM(_xlpm.raw)), " ", "")),
     _xlpm.return,            _xlpm.cleaned,
     _xlpm.return)</calculatedColumnFormula>
    </tableColumn>
    <tableColumn id="21" xr3:uid="{34192DAC-B07B-44C3-9A97-625F7F4BA68B}" name="name" dataDxfId="118"/>
    <tableColumn id="30" xr3:uid="{89192E55-4C79-425F-9677-11D0E239B964}" name="alias_01" dataDxfId="117"/>
    <tableColumn id="31" xr3:uid="{13A1B7FB-1676-49E2-867C-DCD7FC3EF6A9}" name="alias_02" dataDxfId="116"/>
    <tableColumn id="22" xr3:uid="{9776C071-3CCE-4B3A-8CEB-4B60A97B628B}" name="coord_base_name" dataDxfId="115">
      <calculatedColumnFormula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calculatedColumnFormula>
    </tableColumn>
    <tableColumn id="23" xr3:uid="{0DD62638-A77B-45CB-BB66-C69C9284B64B}" name="port_template" dataDxfId="114"/>
    <tableColumn id="27" xr3:uid="{33EB5302-2ECD-4B06-88AC-1DFFBEB350CE}" name="material" dataDxfId="113"/>
    <tableColumn id="26" xr3:uid="{72FE775B-266F-4AB7-8F5C-8F96D7A0198C}" name="device_type" dataDxfId="112"/>
    <tableColumn id="28" xr3:uid="{F09FEFF8-66CF-40AB-BF7B-C829B8F9AA9E}" name="is_chassis" dataDxfId="111"/>
    <tableColumn id="29" xr3:uid="{CD0955E5-5337-421B-B2CF-2DBE0827A455}" name="is_module" dataDxfId="110"/>
    <tableColumn id="25" xr3:uid="{1E7BC898-CC7F-4695-8893-1C35C1D23139}" name="make" dataDxfId="109"/>
    <tableColumn id="24" xr3:uid="{296B5F1A-4F7A-4B24-8BDF-FFE59B9C00A7}" name="model" dataDxfId="108"/>
    <tableColumn id="12" xr3:uid="{0D8B3EDD-2C0C-4EFB-B2DA-D9BAAC05B2EA}" name="sn" dataDxfId="107"/>
    <tableColumn id="13" xr3:uid="{B2E2C5AE-3B3C-4EE1-BDED-592680ADC029}" name="asset_tagn" dataDxfId="106"/>
    <tableColumn id="14" xr3:uid="{8DBB4027-131C-41A3-84C2-ACCAC52E9F39}" name="location" dataDxfId="105"/>
    <tableColumn id="15" xr3:uid="{62C0AE92-A0C7-4BA3-9387-C52268191B38}" name="cabinet" dataDxfId="104"/>
    <tableColumn id="16" xr3:uid="{EA2B6894-DD4A-4A61-BB12-F1BAA0072D1E}" name="base_ru" dataDxfId="103"/>
    <tableColumn id="18" xr3:uid="{1F4E91AC-8080-4580-AC99-AFDF99BB07DB}" name="environment" dataDxfId="102"/>
    <tableColumn id="19" xr3:uid="{C5637858-C40B-4E5A-8215-0AF0A70C6D7D}" name="redundancy_designation" dataDxfId="101"/>
    <tableColumn id="34" xr3:uid="{6906C36B-DE8F-4CA5-A3AE-CC1A30470478}" name="role" dataDxfId="100"/>
    <tableColumn id="33" xr3:uid="{FC0F3271-1E66-4308-B964-CAFBFF02E3A7}" name="notes" dataDxfId="99"/>
    <tableColumn id="32" xr3:uid="{440FDC9E-9C72-4343-A453-C57468788419}" name="comments" dataDxfId="98"/>
    <tableColumn id="10" xr3:uid="{49103343-3971-41D3-942E-2CC0105D4D9A}" name="|" dataDxfId="97">
      <calculatedColumnFormula>"|"</calculatedColumnFormula>
    </tableColumn>
    <tableColumn id="8" xr3:uid="{DA99C0AF-5F3E-49AC-8625-6AE4F9ACFFAD}" name="active_handle_count" dataDxfId="96">
      <calculatedColumnFormula>COUNTIFS(tbl_devices[manual_state], "active",
          tbl_devices[handle_permanent_cleaned], tbl_devices[[#This Row],[handle_permanent_cleaned]])</calculatedColumnFormula>
    </tableColumn>
    <tableColumn id="9" xr3:uid="{77762222-8B8A-40BC-9F4B-60731C3A413A}" name="handle_count" dataDxfId="95">
      <calculatedColumnFormula>COUNTIF(tbl_devices[handle_permanent_cleaned], tbl_devices[[#This Row],[handle_permanent_cleaned]])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626DA-05D2-40BE-8B4C-D5027E787BEB}" name="tbl_interfaces" displayName="tbl_interfaces" ref="C3:AF76" totalsRowShown="0" headerRowDxfId="94" dataDxfId="93" tableBorderDxfId="92">
  <autoFilter ref="C3:AF76" xr:uid="{34C626DA-05D2-40BE-8B4C-D5027E787BEB}"/>
  <tableColumns count="30">
    <tableColumn id="1" xr3:uid="{0A80FB57-B115-495B-8CD2-8F4AD9272DDD}" name="manual_index" dataDxfId="91"/>
    <tableColumn id="2" xr3:uid="{8D03FD4B-1611-45A6-A6BC-0DA6038D8728}" name="auto_index" dataDxfId="90">
      <calculatedColumnFormula array="1">ROW() - ROW(tbl_interfaces[#Headers])</calculatedColumnFormula>
    </tableColumn>
    <tableColumn id="18" xr3:uid="{D40F9C5E-C6BC-41BA-893A-3888DEA21F8F}" name="data_source" dataDxfId="89"/>
    <tableColumn id="3" xr3:uid="{2A7A594A-C7DD-4C98-A983-79C599F9DD9E}" name="timestamp" dataDxfId="88"/>
    <tableColumn id="17" xr3:uid="{1563E796-4313-4725-8B81-1B5886EE83DA}" name="project" dataDxfId="87"/>
    <tableColumn id="4" xr3:uid="{C04CB19F-87C4-4B7F-B36E-C788F929EBD5}" name="manual_state" dataDxfId="86">
      <calculatedColumnFormula>"active"</calculatedColumnFormula>
    </tableColumn>
    <tableColumn id="7" xr3:uid="{2BAB6D62-958F-433C-B8A7-CD66A564FB8D}" name="device_state" dataDxfId="85">
      <calculatedColumnFormula array="1">_xlfn.XLOOKUP(1,
         (tbl_devices[handle_permanent_cleaned] = tbl_interfaces[[#This Row],[device_handle_cleaned]])  *
         (tbl_devices[final_state] = "ok"),
         tbl_devices[final_state],
         "ERROR::::ok_device_not_found_in_device_table", 0)</calculatedColumnFormula>
    </tableColumn>
    <tableColumn id="16" xr3:uid="{DB0A95CF-C13D-48F2-B651-42B27C4E9CFB}" name="if_id_state" dataDxfId="84">
      <calculatedColumnFormula array="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calculatedColumnFormula>
    </tableColumn>
    <tableColumn id="5" xr3:uid="{7A3174E7-59B5-4B0B-9849-2AEB232B2C0B}" name="derived_state" dataDxfId="83">
      <calculatedColumnFormula array="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calculatedColumnFormula>
    </tableColumn>
    <tableColumn id="6" xr3:uid="{7F5AE62E-5A28-4305-8D3F-86DC763D1423}" name="final_state" dataDxfId="82">
      <calculatedColumnFormula>tbl_interfaces[[#This Row],[derived_state]]</calculatedColumnFormula>
    </tableColumn>
    <tableColumn id="8" xr3:uid="{7311D847-2C4B-4713-8CA0-C89AB50688DC}" name="device_handle_raw" dataDxfId="81"/>
    <tableColumn id="9" xr3:uid="{61CFAFFD-F0B0-43E9-B3FC-66D8199796E5}" name="if_name_raw" dataDxfId="80"/>
    <tableColumn id="24" xr3:uid="{5199CA3F-AA24-4278-A054-E78F0BB01864}" name="alias_01" dataDxfId="79"/>
    <tableColumn id="25" xr3:uid="{866E9308-19FE-4D90-9FDF-D4A93476068F}" name="alias_02" dataDxfId="78"/>
    <tableColumn id="10" xr3:uid="{BD574A0A-4DBC-46B2-88DF-222EBAD68703}" name="device_handle_cleaned" dataDxfId="77">
      <calculatedColumnFormula>_xlfn.LET(_xlpm.raw,               tbl_interfaces[[#This Row],[device_handle_raw]],
     _xlpm.cleaned,           LOWER(SUBSTITUTE(CLEAN(TRIM(_xlpm.raw)), " ", "")),
     _xlpm.return,            _xlpm.cleaned,
     _xlpm.return)</calculatedColumnFormula>
    </tableColumn>
    <tableColumn id="11" xr3:uid="{CB738AFD-303B-44F8-9801-AA56A7730023}" name="if_name_cleaned" dataDxfId="76">
      <calculatedColumnFormula>_xlfn.LET(_xlpm.raw,               tbl_interfaces[[#This Row],[if_name_raw]],
     _xlpm.cleaned,           LOWER(SUBSTITUTE(CLEAN(TRIM(_xlpm.raw)), " ", "")),
     _xlpm.return,            _xlpm.cleaned,
     _xlpm.return)</calculatedColumnFormula>
    </tableColumn>
    <tableColumn id="12" xr3:uid="{B556151B-1D15-43A9-8969-F6DC9B08EDBF}" name="if_id" dataDxfId="75">
      <calculatedColumnFormula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calculatedColumnFormula>
    </tableColumn>
    <tableColumn id="23" xr3:uid="{BEDCDE41-E70C-41AA-AB33-C4D5C7D519E8}" name="if_id_name_based" dataDxfId="74">
      <calculatedColumnFormula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calculatedColumnFormula>
    </tableColumn>
    <tableColumn id="31" xr3:uid="{3AC34BB2-0966-4E12-B930-441DDCE03EEE}" name="if_id_alias_01" dataDxfId="73"/>
    <tableColumn id="30" xr3:uid="{985B637B-B7AF-41BD-B541-0FC28F7656E1}" name="if_id_alias_02" dataDxfId="72"/>
    <tableColumn id="22" xr3:uid="{ED270916-F115-4AB7-AF4B-869364F0BBE7}" name="if_id_coord_based" dataDxfId="71">
      <calculatedColumnFormula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calculatedColumnFormula>
    </tableColumn>
    <tableColumn id="20" xr3:uid="{092DB138-32B2-4AE2-8559-FEDD46F76B8A}" name="environment" dataDxfId="70"/>
    <tableColumn id="19" xr3:uid="{7A0E247D-3009-479B-B70F-4B264DB1CB9C}" name="redundancy_designation" dataDxfId="69"/>
    <tableColumn id="29" xr3:uid="{0BC760C6-B707-4B11-B34D-79C676B96255}" name="role" dataDxfId="68"/>
    <tableColumn id="28" xr3:uid="{0A390197-5816-4FEE-98F9-F1A800DF6109}" name="notes" dataDxfId="67"/>
    <tableColumn id="27" xr3:uid="{B929497B-79EB-4355-8AD8-2D0FA1247310}" name="comments" dataDxfId="66"/>
    <tableColumn id="13" xr3:uid="{F4831AAE-7136-4D64-BC16-1FEEE92ABCA5}" name="|" dataDxfId="65">
      <calculatedColumnFormula>"|"</calculatedColumnFormula>
    </tableColumn>
    <tableColumn id="14" xr3:uid="{F21DCFFC-5C1A-406C-B204-C14499CED153}" name="active_if_id_count" dataDxfId="64">
      <calculatedColumnFormula>COUNTIFS(tbl_interfaces[manual_state], "active",
          tbl_interfaces[if_id], tbl_interfaces[[#This Row],[if_id]])</calculatedColumnFormula>
    </tableColumn>
    <tableColumn id="15" xr3:uid="{7DB65F45-CBC1-4243-99DE-7D5ED9F2A8AE}" name="if_id_count" dataDxfId="63">
      <calculatedColumnFormula>COUNTIF(tbl_interfaces[if_id], tbl_interfaces[[#This Row],[if_id]])</calculatedColumnFormula>
    </tableColumn>
    <tableColumn id="21" xr3:uid="{2A38C480-C1A1-4307-B86A-6CE565865376}" name="associated_ok_path_indicies" dataDxfId="62">
      <calculatedColumnFormula array="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0E4E9-12AE-47EB-B1E0-CBCF160A4B0E}" name="tbl_paths" displayName="tbl_paths" ref="C3:AD11" totalsRowShown="0" headerRowDxfId="61" dataDxfId="60">
  <autoFilter ref="C3:AD11" xr:uid="{BEF0E4E9-12AE-47EB-B1E0-CBCF160A4B0E}"/>
  <tableColumns count="28">
    <tableColumn id="1" xr3:uid="{2C826E48-C7C2-466E-BF2F-00C69BE001D0}" name="manual_index" dataDxfId="59"/>
    <tableColumn id="2" xr3:uid="{29D0444A-7F6A-4693-A178-7A93AF44C9E4}" name="auto_index" dataDxfId="58">
      <calculatedColumnFormula array="1">ROW()-ROW(tbl_paths[#Headers])</calculatedColumnFormula>
    </tableColumn>
    <tableColumn id="28" xr3:uid="{552D54DC-F256-43BA-9DE9-04B42974673D}" name="data_source" dataDxfId="57"/>
    <tableColumn id="3" xr3:uid="{F3101545-2005-4457-AAAE-93D0578549FA}" name="timestamp" dataDxfId="56"/>
    <tableColumn id="19" xr3:uid="{FBB00214-A2B3-4292-B61A-949E8965FA6B}" name="project" dataDxfId="55"/>
    <tableColumn id="4" xr3:uid="{E960960E-8E26-4BCA-8C2A-8B03E70BAC6F}" name="manual_state" dataDxfId="54">
      <calculatedColumnFormula>"active"</calculatedColumnFormula>
    </tableColumn>
    <tableColumn id="5" xr3:uid="{357AA516-6C5A-4FC2-B2D9-BA25FE0BFD1C}" name="collective_device_state" dataDxfId="53">
      <calculatedColumnFormula array="1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8" xr3:uid="{966A0E11-BCCE-4ED7-BD23-A79B8F95F0A2}" name="collective_if_id_state" dataDxfId="52">
      <calculatedColumnFormula array="1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21" xr3:uid="{82718CAB-BB2C-4743-88AC-48065C021A6F}" name="collective_path_state" dataDxfId="51">
      <calculatedColumnFormula array="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calculatedColumnFormula>
    </tableColumn>
    <tableColumn id="20" xr3:uid="{4679C0CB-C715-4D29-B7A7-80FD4052D757}" name="derived_state" dataDxfId="50">
      <calculatedColumnFormula array="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calculatedColumnFormula>
    </tableColumn>
    <tableColumn id="6" xr3:uid="{74F0E3A8-7F12-4087-8283-0B3040314714}" name="deprecation_state" dataDxfId="49">
      <calculatedColumnFormula array="1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calculatedColumnFormula>
    </tableColumn>
    <tableColumn id="7" xr3:uid="{E1C5C468-F3D1-4EDE-81E5-9039A1780D64}" name="final_state" dataDxfId="48">
      <calculatedColumnFormula array="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calculatedColumnFormula>
    </tableColumn>
    <tableColumn id="9" xr3:uid="{DAFB1602-679C-4334-B0E6-688F68EE5479}" name="1" dataDxfId="47"/>
    <tableColumn id="10" xr3:uid="{5220F133-B83C-49B2-94D6-82A11D51E8AC}" name="2" dataDxfId="46"/>
    <tableColumn id="11" xr3:uid="{D88CE13F-8950-42F8-A660-1B327997CBB7}" name="3" dataDxfId="45"/>
    <tableColumn id="12" xr3:uid="{8BBC82AA-A613-4A23-8ACB-D3ED9999BEA7}" name="4" dataDxfId="44"/>
    <tableColumn id="13" xr3:uid="{02F8EBEC-2600-413A-A093-BF3BF0A5CD6C}" name="5" dataDxfId="43"/>
    <tableColumn id="14" xr3:uid="{951E3EC7-BCDD-49E7-9DEB-D5848BA7DE15}" name="6" dataDxfId="42"/>
    <tableColumn id="15" xr3:uid="{FEC5B515-5E77-429F-A20B-B264A85DED2A}" name="7" dataDxfId="41"/>
    <tableColumn id="16" xr3:uid="{FCC9F3C9-0BAE-44B6-8F33-2F88A5D03532}" name="8" dataDxfId="40"/>
    <tableColumn id="17" xr3:uid="{E2C85A2A-CD51-4ADE-BB26-E46318E8FB7D}" name="9" dataDxfId="39"/>
    <tableColumn id="18" xr3:uid="{70AFE3B1-3054-4B88-86C8-B133A5179BF2}" name="10" dataDxfId="38"/>
    <tableColumn id="22" xr3:uid="{24AB2B70-019B-4248-8CA1-E94A834F9779}" name="|" dataDxfId="37">
      <calculatedColumnFormula>"|"</calculatedColumnFormula>
    </tableColumn>
    <tableColumn id="23" xr3:uid="{DBE816C8-D366-43BE-A7E5-96F66AC4F471}" name="a_if_id" dataDxfId="36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calculatedColumnFormula>
    </tableColumn>
    <tableColumn id="24" xr3:uid="{24E21341-055A-4134-8724-B556A625C211}" name="z_if_id" dataDxfId="35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calculatedColumnFormula>
    </tableColumn>
    <tableColumn id="25" xr3:uid="{B797F3F9-E1F7-4D30-9339-F2D91DEA6151}" name="a_device" dataDxfId="34">
      <calculatedColumnFormula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calculatedColumnFormula>
    </tableColumn>
    <tableColumn id="26" xr3:uid="{FB64F381-C9A8-4D3D-907E-8907FBFBD09E}" name="z_device" dataDxfId="33">
      <calculatedColumnFormula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calculatedColumnFormula>
    </tableColumn>
    <tableColumn id="27" xr3:uid="{9DB034F2-C8E9-41AE-BE04-BF4436503478}" name="vertex_count" dataDxfId="32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C5B0D2-1CC0-4689-AA9E-2C2889850806}" name="tbl_port_template" displayName="tbl_port_template" ref="C3:H53" totalsRowShown="0" headerRowDxfId="31" dataDxfId="30">
  <autoFilter ref="C3:H53" xr:uid="{4DC5B0D2-1CC0-4689-AA9E-2C2889850806}"/>
  <tableColumns count="6">
    <tableColumn id="1" xr3:uid="{0069745D-A210-4210-9A00-74D1A5FE518F}" name="manual_index" dataDxfId="29"/>
    <tableColumn id="5" xr3:uid="{C7640546-4691-4005-92F5-DEC5E5C6B14A}" name="auto_index" dataDxfId="28">
      <calculatedColumnFormula array="1">ROW() - ROW(tbl_port_template[#Headers])</calculatedColumnFormula>
    </tableColumn>
    <tableColumn id="2" xr3:uid="{C54CB1FE-2391-4C77-8DE1-C9222FF6C775}" name="port_template_name" dataDxfId="27"/>
    <tableColumn id="3" xr3:uid="{7180191D-3918-4B71-AF99-E8BAAF86C5EC}" name="if_name" dataDxfId="26"/>
    <tableColumn id="6" xr3:uid="{77964D33-38A7-4D1F-9912-D283B002EC74}" name="if_name_cleaned" dataDxfId="25">
      <calculatedColumnFormula>_xlfn.LET(_xlpm.raw_if_name,            tbl_port_template[[#This Row],[if_name]],
     _xlpm.normalized_if_name,     LOWER(SUBSTITUTE(CLEAN(TRIM(_xlpm.raw_if_name)), " ", "")),
     _xlpm.return,                 _xlpm.normalized_if_name,
     _xlpm.return)</calculatedColumnFormula>
    </tableColumn>
    <tableColumn id="4" xr3:uid="{89762495-7E7D-4410-9369-3BA796E43B00}" name="port_form_factor" dataDxfId="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AFE23-F2A7-4F29-BB78-D4D47AF38299}" name="tbl_materials" displayName="tbl_materials" ref="C3:K4" totalsRowShown="0" headerRowDxfId="23" dataDxfId="22">
  <autoFilter ref="C3:K4" xr:uid="{E70AFE23-F2A7-4F29-BB78-D4D47AF38299}"/>
  <tableColumns count="9">
    <tableColumn id="1" xr3:uid="{BCEEE428-90ED-460C-B5C3-350177637536}" name="manual_index" dataDxfId="21"/>
    <tableColumn id="2" xr3:uid="{F028C001-BEC9-4F7A-86BD-4F517C01F48C}" name="material_name" dataDxfId="20"/>
    <tableColumn id="3" xr3:uid="{F65A0DF9-9E81-48FA-9359-8A5A1717DCA8}" name="device_type" dataDxfId="19"/>
    <tableColumn id="4" xr3:uid="{44639E6D-6206-4EFD-84D9-F6C98CD6FFAF}" name="make" dataDxfId="18"/>
    <tableColumn id="5" xr3:uid="{66EC4BFD-3D01-4E2D-B2AF-B785921DF09A}" name="model" dataDxfId="17"/>
    <tableColumn id="6" xr3:uid="{AA80EA7D-EE5C-41C7-B0BA-611407BC8232}" name="height" dataDxfId="16"/>
    <tableColumn id="7" xr3:uid="{56E63E2C-5820-492E-8C19-0F7CDF566C00}" name="width" dataDxfId="15"/>
    <tableColumn id="8" xr3:uid="{9698C197-C4A8-4EEB-BD97-5D599EC1E8B9}" name="depth" dataDxfId="14"/>
    <tableColumn id="9" xr3:uid="{EC8FADFA-2B28-4E17-B280-989BD5B1F573}" name="weight" dataDxfId="1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F9C8E4-DE5C-4751-9025-880EDB97D6AD}" name="tbl_paths_input_tester" displayName="tbl_paths_input_tester" ref="C3:M5" totalsRowShown="0" headerRowDxfId="12" dataDxfId="11">
  <autoFilter ref="C3:M5" xr:uid="{6DF9C8E4-DE5C-4751-9025-880EDB97D6AD}"/>
  <tableColumns count="11">
    <tableColumn id="1" xr3:uid="{30710AB5-AEAE-467C-B8A6-4594E3558B53}" name="index" dataDxfId="10"/>
    <tableColumn id="2" xr3:uid="{ADA0A725-5548-42A9-B0CB-F1ED6E06164E}" name="1" dataDxfId="9"/>
    <tableColumn id="3" xr3:uid="{8C734407-73A8-4B13-AD35-B610F4F0675D}" name="2" dataDxfId="8"/>
    <tableColumn id="4" xr3:uid="{58644BDF-60D5-4A89-9A84-13EED2EA7156}" name="3" dataDxfId="7"/>
    <tableColumn id="5" xr3:uid="{99CF2162-9443-482C-8C85-2685968C8B5A}" name="4" dataDxfId="6"/>
    <tableColumn id="6" xr3:uid="{CE847FD3-F10A-4816-B83D-71C282713572}" name="5" dataDxfId="5"/>
    <tableColumn id="7" xr3:uid="{A1F5053F-90AF-4C4B-9351-1AE87A2E3479}" name="6" dataDxfId="4"/>
    <tableColumn id="8" xr3:uid="{581FB23B-B469-4F2F-A778-7AA138927F0A}" name="7" dataDxfId="3"/>
    <tableColumn id="9" xr3:uid="{CE35BB7E-ADEE-4E08-96D4-666877B6531F}" name="8" dataDxfId="2"/>
    <tableColumn id="10" xr3:uid="{158ECEF0-7878-4268-BD37-AAF92BD99DC1}" name="9" dataDxfId="1"/>
    <tableColumn id="11" xr3:uid="{DE5FA7BD-793E-4B32-BC1A-1BC61360A01B}" name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7361-3C80-43A0-90C4-248581959A81}">
  <dimension ref="C4:E11"/>
  <sheetViews>
    <sheetView topLeftCell="A7" workbookViewId="0">
      <selection activeCell="D11" sqref="D11"/>
    </sheetView>
  </sheetViews>
  <sheetFormatPr defaultRowHeight="15" x14ac:dyDescent="0.25"/>
  <cols>
    <col min="1" max="3" width="9.140625" style="1"/>
    <col min="4" max="4" width="32.5703125" style="1" customWidth="1"/>
    <col min="5" max="5" width="19.5703125" style="1" customWidth="1"/>
    <col min="6" max="16384" width="9.140625" style="1"/>
  </cols>
  <sheetData>
    <row r="4" spans="3:5" x14ac:dyDescent="0.25">
      <c r="C4" s="1" t="s">
        <v>0</v>
      </c>
      <c r="D4" s="1" t="s">
        <v>7</v>
      </c>
      <c r="E4" s="1" t="s">
        <v>19</v>
      </c>
    </row>
    <row r="5" spans="3:5" x14ac:dyDescent="0.25">
      <c r="C5" s="1">
        <v>1</v>
      </c>
      <c r="D5" s="14" t="s">
        <v>20</v>
      </c>
      <c r="E5" s="1" t="s">
        <v>21</v>
      </c>
    </row>
    <row r="6" spans="3:5" x14ac:dyDescent="0.25">
      <c r="C6" s="1">
        <v>2</v>
      </c>
      <c r="D6" s="14" t="s">
        <v>22</v>
      </c>
      <c r="E6" s="1" t="s">
        <v>23</v>
      </c>
    </row>
    <row r="7" spans="3:5" x14ac:dyDescent="0.25">
      <c r="C7" s="1">
        <v>3</v>
      </c>
      <c r="D7" s="14" t="s">
        <v>54</v>
      </c>
      <c r="E7" s="1" cm="1">
        <f t="array" ref="E7">_xlfn.LET(_xlpm.path_header_row,               tbl_paths[#Headers],
     _xlpm.path_header_row_values,        VALUE(_xlpm.path_header_row),
     _xlpm.row_de_errored,                _xlfn._xlws.FILTER(_xlpm.path_header_row_values,
                                           NOT(ISERROR(_xlpm.path_header_row_values))),
     _xlpm.return,                        MAX(_xlpm.row_de_errored),
     _xlpm.return)</f>
        <v>10</v>
      </c>
    </row>
    <row r="8" spans="3:5" x14ac:dyDescent="0.25">
      <c r="C8" s="1">
        <v>4</v>
      </c>
      <c r="D8" s="14" t="s">
        <v>55</v>
      </c>
      <c r="E8" s="1">
        <f>ROWS(tbl_paths[])</f>
        <v>8</v>
      </c>
    </row>
    <row r="9" spans="3:5" x14ac:dyDescent="0.25">
      <c r="C9" s="1">
        <v>5</v>
      </c>
      <c r="D9" s="14" t="s">
        <v>56</v>
      </c>
      <c r="E9" s="1">
        <f>_xlfn.LET(_xlpm.hop_count,     _xlfn.XLOOKUP("hop_count", tbl_variable[name], tbl_variable[value], "FIXME", 0),
     _xlpm.path_count,    _xlfn.XLOOKUP("path_count", tbl_variable[name], tbl_variable[value], "FIXME", 0),
     _xlpm.return,        _xlpm.hop_count * _xlpm.path_count,
     _xlpm.return)</f>
        <v>80</v>
      </c>
    </row>
    <row r="10" spans="3:5" x14ac:dyDescent="0.25">
      <c r="C10" s="1">
        <v>6</v>
      </c>
      <c r="D10" s="14" t="s">
        <v>150</v>
      </c>
      <c r="E10" s="1" t="s">
        <v>151</v>
      </c>
    </row>
    <row r="11" spans="3:5" x14ac:dyDescent="0.25">
      <c r="C11" s="1">
        <v>7</v>
      </c>
      <c r="D11" s="14" t="s">
        <v>211</v>
      </c>
      <c r="E11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J15"/>
  <sheetViews>
    <sheetView topLeftCell="H1" workbookViewId="0">
      <selection activeCell="M7" sqref="M7"/>
    </sheetView>
  </sheetViews>
  <sheetFormatPr defaultRowHeight="15" x14ac:dyDescent="0.25"/>
  <cols>
    <col min="1" max="2" width="9.140625" style="1"/>
    <col min="3" max="3" width="16.85546875" style="1" customWidth="1"/>
    <col min="4" max="4" width="9" style="1" customWidth="1"/>
    <col min="5" max="5" width="14.140625" style="1" customWidth="1"/>
    <col min="6" max="7" width="16.7109375" style="1" customWidth="1"/>
    <col min="8" max="8" width="19.28515625" style="1" customWidth="1"/>
    <col min="9" max="9" width="30" style="1" customWidth="1"/>
    <col min="10" max="10" width="21.7109375" style="1" customWidth="1"/>
    <col min="11" max="11" width="25.28515625" style="1" customWidth="1"/>
    <col min="12" max="15" width="23.7109375" style="1" customWidth="1"/>
    <col min="16" max="23" width="26.140625" style="1" customWidth="1"/>
    <col min="24" max="24" width="14.42578125" style="1" customWidth="1"/>
    <col min="25" max="25" width="21.140625" style="1" customWidth="1"/>
    <col min="26" max="26" width="20.140625" style="1" customWidth="1"/>
    <col min="27" max="27" width="20" style="1" customWidth="1"/>
    <col min="28" max="33" width="16.140625" style="1" customWidth="1"/>
    <col min="34" max="34" width="4.85546875" style="1" customWidth="1"/>
    <col min="35" max="35" width="31.5703125" style="1" customWidth="1"/>
    <col min="36" max="36" width="29.85546875" style="1" customWidth="1"/>
    <col min="37" max="16384" width="9.140625" style="1"/>
  </cols>
  <sheetData>
    <row r="2" spans="3:36" ht="15.75" thickBot="1" x14ac:dyDescent="0.3"/>
    <row r="3" spans="3:36" ht="15.75" thickBot="1" x14ac:dyDescent="0.3">
      <c r="AI3" s="45" t="s">
        <v>33</v>
      </c>
      <c r="AJ3" s="46"/>
    </row>
    <row r="4" spans="3:36" x14ac:dyDescent="0.25">
      <c r="C4" s="1" t="s">
        <v>1</v>
      </c>
      <c r="D4" s="1" t="s">
        <v>2</v>
      </c>
      <c r="E4" s="1" t="s">
        <v>145</v>
      </c>
      <c r="F4" s="1" t="s">
        <v>3</v>
      </c>
      <c r="G4" s="1" t="s">
        <v>59</v>
      </c>
      <c r="H4" s="1" t="s">
        <v>4</v>
      </c>
      <c r="I4" s="1" t="s">
        <v>5</v>
      </c>
      <c r="J4" s="1" t="s">
        <v>6</v>
      </c>
      <c r="K4" s="1" t="s">
        <v>15</v>
      </c>
      <c r="L4" s="1" t="s">
        <v>16</v>
      </c>
      <c r="M4" s="1" t="s">
        <v>7</v>
      </c>
      <c r="N4" s="1" t="s">
        <v>177</v>
      </c>
      <c r="O4" s="1" t="s">
        <v>178</v>
      </c>
      <c r="P4" s="1" t="s">
        <v>149</v>
      </c>
      <c r="Q4" s="1" t="s">
        <v>152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155</v>
      </c>
      <c r="W4" s="1" t="s">
        <v>156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12</v>
      </c>
      <c r="AC4" s="1" t="s">
        <v>127</v>
      </c>
      <c r="AD4" s="1" t="s">
        <v>128</v>
      </c>
      <c r="AE4" s="1" t="s">
        <v>179</v>
      </c>
      <c r="AF4" s="1" t="s">
        <v>180</v>
      </c>
      <c r="AG4" s="1" t="s">
        <v>181</v>
      </c>
      <c r="AH4" s="1" t="s">
        <v>34</v>
      </c>
      <c r="AI4" s="1" t="s">
        <v>31</v>
      </c>
      <c r="AJ4" s="1" t="s">
        <v>32</v>
      </c>
    </row>
    <row r="5" spans="3:36" x14ac:dyDescent="0.25">
      <c r="C5" s="2">
        <v>1</v>
      </c>
      <c r="D5" s="4" cm="1">
        <f t="array" ref="D5">ROW() - ROW(tbl_devices[#Headers])</f>
        <v>1</v>
      </c>
      <c r="E5" s="28"/>
      <c r="F5" s="3"/>
      <c r="G5" s="3"/>
      <c r="H5" s="2" t="s">
        <v>14</v>
      </c>
      <c r="I5" s="4" t="str" cm="1">
        <f t="array" ref="I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5" s="4" t="str" cm="1">
        <f t="array" ref="J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5" s="2" t="s">
        <v>79</v>
      </c>
      <c r="L5" s="4" t="str">
        <f>_xlfn.LET(_xlpm.raw,               tbl_devices[[#This Row],[handle_permanent_raw]],
     _xlpm.cleaned,           LOWER(SUBSTITUTE(CLEAN(TRIM(_xlpm.raw)), " ", "")),
     _xlpm.return,            _xlpm.cleaned,
     _xlpm.return)</f>
        <v>leaf01</v>
      </c>
      <c r="M5" s="3" t="s">
        <v>208</v>
      </c>
      <c r="N5" s="3"/>
      <c r="O5" s="3"/>
      <c r="P5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dc69/420/ru42</v>
      </c>
      <c r="Q5" s="3" t="s">
        <v>171</v>
      </c>
      <c r="R5" s="3"/>
      <c r="S5" s="3"/>
      <c r="T5" s="3"/>
      <c r="U5" s="3"/>
      <c r="V5" s="3"/>
      <c r="W5" s="3"/>
      <c r="X5" s="3"/>
      <c r="Y5" s="3"/>
      <c r="Z5" s="3" t="s">
        <v>157</v>
      </c>
      <c r="AA5" s="3">
        <v>420</v>
      </c>
      <c r="AB5" s="3">
        <v>42</v>
      </c>
      <c r="AC5" s="3"/>
      <c r="AD5" s="3"/>
      <c r="AE5" s="3"/>
      <c r="AF5" s="38"/>
      <c r="AG5" s="38"/>
      <c r="AH5" s="9" t="str">
        <f t="shared" ref="AH5:AH11" si="0">"|"</f>
        <v>|</v>
      </c>
      <c r="AI5" s="4">
        <f>COUNTIFS(tbl_devices[manual_state], "active",
          tbl_devices[handle_permanent_cleaned], tbl_devices[[#This Row],[handle_permanent_cleaned]])</f>
        <v>1</v>
      </c>
      <c r="AJ5" s="4">
        <f>COUNTIF(tbl_devices[handle_permanent_cleaned], tbl_devices[[#This Row],[handle_permanent_cleaned]])</f>
        <v>1</v>
      </c>
    </row>
    <row r="6" spans="3:36" x14ac:dyDescent="0.25">
      <c r="C6" s="2">
        <v>2</v>
      </c>
      <c r="D6" s="4" cm="1">
        <f t="array" ref="D6">ROW() - ROW(tbl_devices[#Headers])</f>
        <v>2</v>
      </c>
      <c r="E6" s="28"/>
      <c r="F6" s="3"/>
      <c r="G6" s="3"/>
      <c r="H6" s="2" t="s">
        <v>14</v>
      </c>
      <c r="I6" s="4" t="str" cm="1">
        <f t="array" ref="I6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6" s="4" t="str" cm="1">
        <f t="array" ref="J6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6" s="2" t="s">
        <v>78</v>
      </c>
      <c r="L6" s="4" t="str">
        <f>_xlfn.LET(_xlpm.raw,               tbl_devices[[#This Row],[handle_permanent_raw]],
     _xlpm.cleaned,           LOWER(SUBSTITUTE(CLEAN(TRIM(_xlpm.raw)), " ", "")),
     _xlpm.return,            _xlpm.cleaned,
     _xlpm.return)</f>
        <v>leaf02</v>
      </c>
      <c r="M6" s="3" t="s">
        <v>209</v>
      </c>
      <c r="N6" s="3"/>
      <c r="O6" s="3"/>
      <c r="P6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6" s="3" t="s">
        <v>171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8"/>
      <c r="AG6" s="38"/>
      <c r="AH6" s="9" t="str">
        <f t="shared" si="0"/>
        <v>|</v>
      </c>
      <c r="AI6" s="4">
        <f>COUNTIFS(tbl_devices[manual_state], "active",
          tbl_devices[handle_permanent_cleaned], tbl_devices[[#This Row],[handle_permanent_cleaned]])</f>
        <v>1</v>
      </c>
      <c r="AJ6" s="4">
        <f>COUNTIF(tbl_devices[handle_permanent_cleaned], tbl_devices[[#This Row],[handle_permanent_cleaned]])</f>
        <v>1</v>
      </c>
    </row>
    <row r="7" spans="3:36" x14ac:dyDescent="0.25">
      <c r="C7" s="2">
        <v>3</v>
      </c>
      <c r="D7" s="4" cm="1">
        <f t="array" ref="D7">ROW() - ROW(tbl_devices[#Headers])</f>
        <v>3</v>
      </c>
      <c r="E7" s="28"/>
      <c r="F7" s="3"/>
      <c r="G7" s="3"/>
      <c r="H7" s="2" t="s">
        <v>14</v>
      </c>
      <c r="I7" s="4" t="str" cm="1">
        <f t="array" ref="I7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7" s="4" t="str" cm="1">
        <f t="array" ref="J7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7" s="2" t="s">
        <v>17</v>
      </c>
      <c r="L7" s="4" t="str">
        <f>_xlfn.LET(_xlpm.raw,               tbl_devices[[#This Row],[handle_permanent_raw]],
     _xlpm.cleaned,           LOWER(SUBSTITUTE(CLEAN(TRIM(_xlpm.raw)), " ", "")),
     _xlpm.return,            _xlpm.cleaned,
     _xlpm.return)</f>
        <v>srv01</v>
      </c>
      <c r="M7" s="3"/>
      <c r="N7" s="3"/>
      <c r="O7" s="3"/>
      <c r="P7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7" s="3" t="s">
        <v>173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8"/>
      <c r="AG7" s="38"/>
      <c r="AH7" s="9" t="str">
        <f t="shared" si="0"/>
        <v>|</v>
      </c>
      <c r="AI7" s="4">
        <f>COUNTIFS(tbl_devices[manual_state], "active",
          tbl_devices[handle_permanent_cleaned], tbl_devices[[#This Row],[handle_permanent_cleaned]])</f>
        <v>1</v>
      </c>
      <c r="AJ7" s="4">
        <f>COUNTIF(tbl_devices[handle_permanent_cleaned], tbl_devices[[#This Row],[handle_permanent_cleaned]])</f>
        <v>1</v>
      </c>
    </row>
    <row r="8" spans="3:36" x14ac:dyDescent="0.25">
      <c r="C8" s="2">
        <v>4</v>
      </c>
      <c r="D8" s="4" cm="1">
        <f t="array" ref="D8">ROW() - ROW(tbl_devices[#Headers])</f>
        <v>4</v>
      </c>
      <c r="E8" s="28"/>
      <c r="F8" s="3"/>
      <c r="G8" s="3"/>
      <c r="H8" s="2" t="str">
        <f t="shared" ref="H8" si="1">"active"</f>
        <v>active</v>
      </c>
      <c r="I8" s="4" t="str" cm="1">
        <f t="array" ref="I8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8" s="4" t="str" cm="1">
        <f t="array" ref="J8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8" s="2" t="s">
        <v>18</v>
      </c>
      <c r="L8" s="4" t="str">
        <f>_xlfn.LET(_xlpm.raw,               tbl_devices[[#This Row],[handle_permanent_raw]],
     _xlpm.cleaned,           LOWER(SUBSTITUTE(CLEAN(TRIM(_xlpm.raw)), " ", "")),
     _xlpm.return,            _xlpm.cleaned,
     _xlpm.return)</f>
        <v>srv02</v>
      </c>
      <c r="M8" s="3"/>
      <c r="N8" s="3"/>
      <c r="O8" s="3"/>
      <c r="P8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8" s="3" t="s">
        <v>173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8"/>
      <c r="AG8" s="38"/>
      <c r="AH8" s="9" t="str">
        <f t="shared" si="0"/>
        <v>|</v>
      </c>
      <c r="AI8" s="4">
        <f>COUNTIFS(tbl_devices[manual_state], "active",
          tbl_devices[handle_permanent_cleaned], tbl_devices[[#This Row],[handle_permanent_cleaned]])</f>
        <v>1</v>
      </c>
      <c r="AJ8" s="4">
        <f>COUNTIF(tbl_devices[handle_permanent_cleaned], tbl_devices[[#This Row],[handle_permanent_cleaned]])</f>
        <v>1</v>
      </c>
    </row>
    <row r="9" spans="3:36" x14ac:dyDescent="0.25">
      <c r="C9" s="2">
        <v>5</v>
      </c>
      <c r="D9" s="4" cm="1">
        <f t="array" ref="D9">ROW() - ROW(tbl_devices[#Headers])</f>
        <v>5</v>
      </c>
      <c r="E9" s="28"/>
      <c r="F9" s="3"/>
      <c r="G9" s="3"/>
      <c r="H9" s="2" t="str">
        <f>"active"</f>
        <v>active</v>
      </c>
      <c r="I9" s="4" t="str" cm="1">
        <f t="array" ref="I9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9" s="4" t="str" cm="1">
        <f t="array" ref="J9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9" s="2" t="s">
        <v>29</v>
      </c>
      <c r="L9" s="4" t="str">
        <f>_xlfn.LET(_xlpm.raw,               tbl_devices[[#This Row],[handle_permanent_raw]],
     _xlpm.cleaned,           LOWER(SUBSTITUTE(CLEAN(TRIM(_xlpm.raw)), " ", "")),
     _xlpm.return,            _xlpm.cleaned,
     _xlpm.return)</f>
        <v>rtr01</v>
      </c>
      <c r="M9" s="3"/>
      <c r="N9" s="3"/>
      <c r="O9" s="3"/>
      <c r="P9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9" s="3" t="s">
        <v>174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8"/>
      <c r="AG9" s="38"/>
      <c r="AH9" s="9" t="str">
        <f t="shared" si="0"/>
        <v>|</v>
      </c>
      <c r="AI9" s="4">
        <f>COUNTIFS(tbl_devices[manual_state], "active",
          tbl_devices[handle_permanent_cleaned], tbl_devices[[#This Row],[handle_permanent_cleaned]])</f>
        <v>1</v>
      </c>
      <c r="AJ9" s="4">
        <f>COUNTIF(tbl_devices[handle_permanent_cleaned], tbl_devices[[#This Row],[handle_permanent_cleaned]])</f>
        <v>1</v>
      </c>
    </row>
    <row r="10" spans="3:36" x14ac:dyDescent="0.25">
      <c r="C10" s="2">
        <v>6</v>
      </c>
      <c r="D10" s="4" cm="1">
        <f t="array" ref="D10">ROW() - ROW(tbl_devices[#Headers])</f>
        <v>6</v>
      </c>
      <c r="E10" s="28"/>
      <c r="F10" s="3"/>
      <c r="G10" s="3"/>
      <c r="H10" s="2" t="str">
        <f>"active"</f>
        <v>active</v>
      </c>
      <c r="I10" s="4" t="str" cm="1">
        <f t="array" ref="I10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0" s="4" t="str" cm="1">
        <f t="array" ref="J10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0" s="2" t="s">
        <v>80</v>
      </c>
      <c r="L10" s="4" t="str">
        <f>_xlfn.LET(_xlpm.raw,               tbl_devices[[#This Row],[handle_permanent_raw]],
     _xlpm.cleaned,           LOWER(SUBSTITUTE(CLEAN(TRIM(_xlpm.raw)), " ", "")),
     _xlpm.return,            _xlpm.cleaned,
     _xlpm.return)</f>
        <v>rtr02</v>
      </c>
      <c r="M10" s="3"/>
      <c r="N10" s="3"/>
      <c r="O10" s="3"/>
      <c r="P10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0" s="3" t="s">
        <v>174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8"/>
      <c r="AG10" s="38"/>
      <c r="AH10" s="9" t="str">
        <f t="shared" si="0"/>
        <v>|</v>
      </c>
      <c r="AI10" s="4">
        <f>COUNTIFS(tbl_devices[manual_state], "active",
          tbl_devices[handle_permanent_cleaned], tbl_devices[[#This Row],[handle_permanent_cleaned]])</f>
        <v>1</v>
      </c>
      <c r="AJ10" s="4">
        <f>COUNTIF(tbl_devices[handle_permanent_cleaned], tbl_devices[[#This Row],[handle_permanent_cleaned]])</f>
        <v>1</v>
      </c>
    </row>
    <row r="11" spans="3:36" x14ac:dyDescent="0.25">
      <c r="C11" s="2">
        <v>7</v>
      </c>
      <c r="D11" s="4" cm="1">
        <f t="array" ref="D11">ROW() - ROW(tbl_devices[#Headers])</f>
        <v>7</v>
      </c>
      <c r="E11" s="28"/>
      <c r="F11" s="3"/>
      <c r="G11" s="3"/>
      <c r="H11" s="2" t="s">
        <v>14</v>
      </c>
      <c r="I11" s="4" t="str" cm="1">
        <f t="array" ref="I1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1" s="4" t="str" cm="1">
        <f t="array" ref="J1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1" s="2" t="s">
        <v>30</v>
      </c>
      <c r="L11" s="4" t="str">
        <f>_xlfn.LET(_xlpm.raw,               tbl_devices[[#This Row],[handle_permanent_raw]],
     _xlpm.cleaned,           LOWER(SUBSTITUTE(CLEAN(TRIM(_xlpm.raw)), " ", "")),
     _xlpm.return,            _xlpm.cleaned,
     _xlpm.return)</f>
        <v>fw01</v>
      </c>
      <c r="M11" s="3"/>
      <c r="N11" s="3"/>
      <c r="O11" s="3"/>
      <c r="P11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1" s="3" t="s">
        <v>175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8"/>
      <c r="AG11" s="38"/>
      <c r="AH11" s="9" t="str">
        <f t="shared" si="0"/>
        <v>|</v>
      </c>
      <c r="AI11" s="4">
        <f>COUNTIFS(tbl_devices[manual_state], "active",
          tbl_devices[handle_permanent_cleaned], tbl_devices[[#This Row],[handle_permanent_cleaned]])</f>
        <v>1</v>
      </c>
      <c r="AJ11" s="4">
        <f>COUNTIF(tbl_devices[handle_permanent_cleaned], tbl_devices[[#This Row],[handle_permanent_cleaned]])</f>
        <v>1</v>
      </c>
    </row>
    <row r="12" spans="3:36" x14ac:dyDescent="0.25">
      <c r="C12" s="2">
        <v>8</v>
      </c>
      <c r="D12" s="4" cm="1">
        <f t="array" ref="D12">ROW() - ROW(tbl_devices[#Headers])</f>
        <v>8</v>
      </c>
      <c r="E12" s="28"/>
      <c r="F12" s="3"/>
      <c r="G12" s="3"/>
      <c r="H12" s="2" t="s">
        <v>126</v>
      </c>
      <c r="I12" s="4" t="str" cm="1">
        <f t="array" ref="I12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suspended</v>
      </c>
      <c r="J12" s="4" t="str" cm="1">
        <f t="array" ref="J12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suspended</v>
      </c>
      <c r="K12" s="2" t="s">
        <v>106</v>
      </c>
      <c r="L12" s="4" t="str">
        <f>_xlfn.LET(_xlpm.raw,               tbl_devices[[#This Row],[handle_permanent_raw]],
     _xlpm.cleaned,           LOWER(SUBSTITUTE(CLEAN(TRIM(_xlpm.raw)), " ", "")),
     _xlpm.return,            _xlpm.cleaned,
     _xlpm.return)</f>
        <v>fw02</v>
      </c>
      <c r="M12" s="3"/>
      <c r="N12" s="3"/>
      <c r="O12" s="3"/>
      <c r="P12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2" s="3" t="s">
        <v>175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8"/>
      <c r="AG12" s="38"/>
      <c r="AH12" s="9" t="str">
        <f>"|"</f>
        <v>|</v>
      </c>
      <c r="AI12" s="4">
        <f>COUNTIFS(tbl_devices[manual_state], "active",
          tbl_devices[handle_permanent_cleaned], tbl_devices[[#This Row],[handle_permanent_cleaned]])</f>
        <v>0</v>
      </c>
      <c r="AJ12" s="4">
        <f>COUNTIF(tbl_devices[handle_permanent_cleaned], tbl_devices[[#This Row],[handle_permanent_cleaned]])</f>
        <v>1</v>
      </c>
    </row>
    <row r="13" spans="3:36" x14ac:dyDescent="0.25">
      <c r="C13" s="2">
        <v>9</v>
      </c>
      <c r="D13" s="4" cm="1">
        <f t="array" ref="D13">ROW() - ROW(tbl_devices[#Headers])</f>
        <v>9</v>
      </c>
      <c r="E13" s="28"/>
      <c r="F13" s="3"/>
      <c r="G13" s="3"/>
      <c r="H13" s="2" t="str">
        <f>"active"</f>
        <v>active</v>
      </c>
      <c r="I13" s="4" t="str" cm="1">
        <f t="array" ref="I13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3" s="4" t="str" cm="1">
        <f t="array" ref="J13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3" s="2" t="s">
        <v>81</v>
      </c>
      <c r="L13" s="4" t="str">
        <f>_xlfn.LET(_xlpm.raw,               tbl_devices[[#This Row],[handle_permanent_raw]],
     _xlpm.cleaned,           LOWER(SUBSTITUTE(CLEAN(TRIM(_xlpm.raw)), " ", "")),
     _xlpm.return,            _xlpm.cleaned,
     _xlpm.return)</f>
        <v>spine01</v>
      </c>
      <c r="M13" s="3"/>
      <c r="N13" s="3"/>
      <c r="O13" s="3"/>
      <c r="P13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3" s="3" t="s">
        <v>172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8"/>
      <c r="AG13" s="38"/>
      <c r="AH13" s="9" t="str">
        <f>"|"</f>
        <v>|</v>
      </c>
      <c r="AI13" s="4">
        <f>COUNTIFS(tbl_devices[manual_state], "active",
          tbl_devices[handle_permanent_cleaned], tbl_devices[[#This Row],[handle_permanent_cleaned]])</f>
        <v>1</v>
      </c>
      <c r="AJ13" s="4">
        <f>COUNTIF(tbl_devices[handle_permanent_cleaned], tbl_devices[[#This Row],[handle_permanent_cleaned]])</f>
        <v>1</v>
      </c>
    </row>
    <row r="14" spans="3:36" x14ac:dyDescent="0.25">
      <c r="C14" s="2">
        <v>10</v>
      </c>
      <c r="D14" s="4" cm="1">
        <f t="array" ref="D14">ROW() - ROW(tbl_devices[#Headers])</f>
        <v>10</v>
      </c>
      <c r="E14" s="28"/>
      <c r="F14" s="3"/>
      <c r="G14" s="3"/>
      <c r="H14" s="2" t="str">
        <f>"active"</f>
        <v>active</v>
      </c>
      <c r="I14" s="4" t="str" cm="1">
        <f t="array" ref="I14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4" s="4" t="str" cm="1">
        <f t="array" ref="J14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4" s="2" t="s">
        <v>82</v>
      </c>
      <c r="L14" s="4" t="str">
        <f>_xlfn.LET(_xlpm.raw,               tbl_devices[[#This Row],[handle_permanent_raw]],
     _xlpm.cleaned,           LOWER(SUBSTITUTE(CLEAN(TRIM(_xlpm.raw)), " ", "")),
     _xlpm.return,            _xlpm.cleaned,
     _xlpm.return)</f>
        <v>spine02</v>
      </c>
      <c r="M14" s="3"/>
      <c r="N14" s="3"/>
      <c r="O14" s="3"/>
      <c r="P14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4" s="3" t="s">
        <v>172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8"/>
      <c r="AG14" s="38"/>
      <c r="AH14" s="9" t="str">
        <f>"|"</f>
        <v>|</v>
      </c>
      <c r="AI14" s="4">
        <f>COUNTIFS(tbl_devices[manual_state], "active",
          tbl_devices[handle_permanent_cleaned], tbl_devices[[#This Row],[handle_permanent_cleaned]])</f>
        <v>1</v>
      </c>
      <c r="AJ14" s="4">
        <f>COUNTIF(tbl_devices[handle_permanent_cleaned], tbl_devices[[#This Row],[handle_permanent_cleaned]])</f>
        <v>1</v>
      </c>
    </row>
    <row r="15" spans="3:36" x14ac:dyDescent="0.25">
      <c r="C15" s="2">
        <v>11</v>
      </c>
      <c r="D15" s="4" cm="1">
        <f t="array" ref="D15">ROW() - ROW(tbl_devices[#Headers])</f>
        <v>11</v>
      </c>
      <c r="E15" s="28"/>
      <c r="F15" s="3"/>
      <c r="G15" s="3"/>
      <c r="H15" s="2" t="str">
        <f>"active"</f>
        <v>active</v>
      </c>
      <c r="I15" s="4" t="str" cm="1">
        <f t="array" ref="I1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5" s="4" t="str" cm="1">
        <f t="array" ref="J1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5" s="2" t="s">
        <v>83</v>
      </c>
      <c r="L15" s="4" t="str">
        <f>_xlfn.LET(_xlpm.raw,               tbl_devices[[#This Row],[handle_permanent_raw]],
     _xlpm.cleaned,           LOWER(SUBSTITUTE(CLEAN(TRIM(_xlpm.raw)), " ", "")),
     _xlpm.return,            _xlpm.cleaned,
     _xlpm.return)</f>
        <v>mgmtsw01</v>
      </c>
      <c r="M15" s="3"/>
      <c r="N15" s="3"/>
      <c r="O15" s="3"/>
      <c r="P15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Q15" s="3" t="s">
        <v>176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8"/>
      <c r="AG15" s="38"/>
      <c r="AH15" s="9" t="str">
        <f>"|"</f>
        <v>|</v>
      </c>
      <c r="AI15" s="4">
        <f>COUNTIFS(tbl_devices[manual_state], "active",
          tbl_devices[handle_permanent_cleaned], tbl_devices[[#This Row],[handle_permanent_cleaned]])</f>
        <v>1</v>
      </c>
      <c r="AJ15" s="4">
        <f>COUNTIF(tbl_devices[handle_permanent_cleaned], tbl_devices[[#This Row],[handle_permanent_cleaned]])</f>
        <v>1</v>
      </c>
    </row>
  </sheetData>
  <mergeCells count="1">
    <mergeCell ref="AI3:AJ3"/>
  </mergeCells>
  <phoneticPr fontId="4" type="noConversion"/>
  <dataValidations count="1">
    <dataValidation type="list" allowBlank="1" showInputMessage="1" showErrorMessage="1" sqref="H5:H15" xr:uid="{5EB17269-71D5-489E-AE90-5E119DD799E5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2A60-936C-42FB-87A8-BA43DA422740}">
  <dimension ref="C1:AF76"/>
  <sheetViews>
    <sheetView topLeftCell="M1" workbookViewId="0">
      <selection activeCell="T13" sqref="T13"/>
    </sheetView>
  </sheetViews>
  <sheetFormatPr defaultRowHeight="15" x14ac:dyDescent="0.25"/>
  <cols>
    <col min="3" max="3" width="16.85546875" customWidth="1"/>
    <col min="4" max="5" width="14.5703125" customWidth="1"/>
    <col min="6" max="7" width="13.42578125" customWidth="1"/>
    <col min="8" max="8" width="16.85546875" customWidth="1"/>
    <col min="9" max="9" width="24" customWidth="1"/>
    <col min="10" max="10" width="20.5703125" customWidth="1"/>
    <col min="11" max="11" width="43.7109375" customWidth="1"/>
    <col min="12" max="12" width="25.28515625" customWidth="1"/>
    <col min="13" max="13" width="25" customWidth="1"/>
    <col min="14" max="16" width="18.7109375" customWidth="1"/>
    <col min="17" max="17" width="22.28515625" customWidth="1"/>
    <col min="18" max="18" width="17.5703125" customWidth="1"/>
    <col min="19" max="22" width="22.28515625" customWidth="1"/>
    <col min="23" max="23" width="30.85546875" customWidth="1"/>
    <col min="24" max="28" width="22.28515625" customWidth="1"/>
    <col min="30" max="30" width="28.85546875" customWidth="1"/>
    <col min="31" max="31" width="24.85546875" customWidth="1"/>
    <col min="32" max="32" width="26.42578125" customWidth="1"/>
  </cols>
  <sheetData>
    <row r="1" spans="3:32" ht="15.75" thickBot="1" x14ac:dyDescent="0.3"/>
    <row r="2" spans="3:32" ht="15.75" thickBot="1" x14ac:dyDescent="0.3">
      <c r="AD2" s="45" t="s">
        <v>33</v>
      </c>
      <c r="AE2" s="46"/>
    </row>
    <row r="3" spans="3:32" x14ac:dyDescent="0.25">
      <c r="C3" s="5" t="s">
        <v>1</v>
      </c>
      <c r="D3" s="5" t="s">
        <v>2</v>
      </c>
      <c r="E3" s="5" t="s">
        <v>145</v>
      </c>
      <c r="F3" s="5" t="s">
        <v>3</v>
      </c>
      <c r="G3" s="5" t="s">
        <v>59</v>
      </c>
      <c r="H3" s="5" t="s">
        <v>4</v>
      </c>
      <c r="I3" s="5" t="s">
        <v>13</v>
      </c>
      <c r="J3" s="5" t="s">
        <v>58</v>
      </c>
      <c r="K3" s="5" t="s">
        <v>5</v>
      </c>
      <c r="L3" s="5" t="s">
        <v>6</v>
      </c>
      <c r="M3" s="5" t="s">
        <v>28</v>
      </c>
      <c r="N3" s="5" t="s">
        <v>24</v>
      </c>
      <c r="O3" s="5" t="s">
        <v>177</v>
      </c>
      <c r="P3" s="5" t="s">
        <v>178</v>
      </c>
      <c r="Q3" s="5" t="s">
        <v>27</v>
      </c>
      <c r="R3" s="5" t="s">
        <v>25</v>
      </c>
      <c r="S3" s="5" t="s">
        <v>26</v>
      </c>
      <c r="T3" s="5" t="s">
        <v>169</v>
      </c>
      <c r="U3" s="5" t="s">
        <v>206</v>
      </c>
      <c r="V3" s="5" t="s">
        <v>207</v>
      </c>
      <c r="W3" s="5" t="s">
        <v>170</v>
      </c>
      <c r="X3" s="5" t="s">
        <v>127</v>
      </c>
      <c r="Y3" s="5" t="s">
        <v>128</v>
      </c>
      <c r="Z3" s="5" t="s">
        <v>179</v>
      </c>
      <c r="AA3" s="5" t="s">
        <v>180</v>
      </c>
      <c r="AB3" s="5" t="s">
        <v>181</v>
      </c>
      <c r="AC3" s="5" t="s">
        <v>34</v>
      </c>
      <c r="AD3" s="5" t="s">
        <v>35</v>
      </c>
      <c r="AE3" s="5" t="s">
        <v>36</v>
      </c>
      <c r="AF3" s="5" t="s">
        <v>136</v>
      </c>
    </row>
    <row r="4" spans="3:32" x14ac:dyDescent="0.25">
      <c r="C4" s="6">
        <v>1</v>
      </c>
      <c r="D4" s="7" cm="1">
        <f t="array" ref="D4">ROW() - ROW(tbl_interfaces[#Headers])</f>
        <v>1</v>
      </c>
      <c r="E4" s="30"/>
      <c r="F4" s="15"/>
      <c r="G4" s="15"/>
      <c r="H4" s="6" t="s">
        <v>14</v>
      </c>
      <c r="I4" s="8" t="str" cm="1">
        <f t="array" ref="I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" s="8" t="str" cm="1">
        <f t="array" ref="J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" s="8" t="str" cm="1">
        <f t="array" ref="K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" s="7" t="str">
        <f>tbl_interfaces[[#This Row],[derived_state]]</f>
        <v>ok</v>
      </c>
      <c r="M4" s="2" t="s">
        <v>17</v>
      </c>
      <c r="N4" s="2" t="s">
        <v>60</v>
      </c>
      <c r="O4" s="2"/>
      <c r="P4" s="2"/>
      <c r="Q4" s="4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R4" s="4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S4" s="4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srv01;idrac</v>
      </c>
      <c r="T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;idrac</v>
      </c>
      <c r="U4" s="4"/>
      <c r="V4" s="4"/>
      <c r="W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//ru;idrac</v>
      </c>
      <c r="X4" s="3"/>
      <c r="Y4" s="3"/>
      <c r="Z4" s="3"/>
      <c r="AA4" s="38"/>
      <c r="AB4" s="38"/>
      <c r="AC4" s="9" t="str">
        <f t="shared" ref="AC4:AC6" si="0">"|"</f>
        <v>|</v>
      </c>
      <c r="AD4" s="4">
        <f>COUNTIFS(tbl_interfaces[manual_state], "active",
          tbl_interfaces[if_id], tbl_interfaces[[#This Row],[if_id]])</f>
        <v>1</v>
      </c>
      <c r="AE4" s="4">
        <f>COUNTIF(tbl_interfaces[if_id], tbl_interfaces[[#This Row],[if_id]])</f>
        <v>1</v>
      </c>
      <c r="AF4" s="4" t="str" cm="1">
        <f t="array" ref="AF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" spans="3:32" x14ac:dyDescent="0.25">
      <c r="C5" s="6">
        <v>2</v>
      </c>
      <c r="D5" s="7" cm="1">
        <f t="array" ref="D5">ROW() - ROW(tbl_interfaces[#Headers])</f>
        <v>2</v>
      </c>
      <c r="E5" s="30"/>
      <c r="F5" s="15"/>
      <c r="G5" s="15"/>
      <c r="H5" s="6" t="s">
        <v>14</v>
      </c>
      <c r="I5" s="8" t="str" cm="1">
        <f t="array" ref="I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" s="8" t="str" cm="1">
        <f t="array" ref="J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" s="8" t="str" cm="1">
        <f t="array" ref="K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" s="7" t="str">
        <f>tbl_interfaces[[#This Row],[derived_state]]</f>
        <v>ok</v>
      </c>
      <c r="M5" s="2" t="s">
        <v>17</v>
      </c>
      <c r="N5" s="6" t="s">
        <v>62</v>
      </c>
      <c r="O5" s="6"/>
      <c r="P5" s="6"/>
      <c r="Q5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R5" s="7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S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srv01;ob/1</v>
      </c>
      <c r="T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;ob/1</v>
      </c>
      <c r="U5" s="4"/>
      <c r="V5" s="4"/>
      <c r="W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//ru;ob/1</v>
      </c>
      <c r="X5" s="3"/>
      <c r="Y5" s="3"/>
      <c r="Z5" s="3"/>
      <c r="AA5" s="38"/>
      <c r="AB5" s="38"/>
      <c r="AC5" s="9" t="str">
        <f t="shared" si="0"/>
        <v>|</v>
      </c>
      <c r="AD5" s="4">
        <f>COUNTIFS(tbl_interfaces[manual_state], "active",
          tbl_interfaces[if_id], tbl_interfaces[[#This Row],[if_id]])</f>
        <v>1</v>
      </c>
      <c r="AE5" s="4">
        <f>COUNTIF(tbl_interfaces[if_id], tbl_interfaces[[#This Row],[if_id]])</f>
        <v>1</v>
      </c>
      <c r="AF5" s="4" cm="1">
        <f t="array" ref="AF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6" spans="3:32" x14ac:dyDescent="0.25">
      <c r="C6" s="6">
        <v>3</v>
      </c>
      <c r="D6" s="7" cm="1">
        <f t="array" ref="D6">ROW() - ROW(tbl_interfaces[#Headers])</f>
        <v>3</v>
      </c>
      <c r="E6" s="30"/>
      <c r="F6" s="15"/>
      <c r="G6" s="15"/>
      <c r="H6" s="6" t="str">
        <f>"active"</f>
        <v>active</v>
      </c>
      <c r="I6" s="8" t="str" cm="1">
        <f t="array" ref="I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" s="8" t="str" cm="1">
        <f t="array" ref="J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" s="8" t="str" cm="1">
        <f t="array" ref="K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" s="7" t="str">
        <f>tbl_interfaces[[#This Row],[derived_state]]</f>
        <v>ok</v>
      </c>
      <c r="M6" s="2" t="s">
        <v>17</v>
      </c>
      <c r="N6" s="6" t="s">
        <v>63</v>
      </c>
      <c r="O6" s="6"/>
      <c r="P6" s="6"/>
      <c r="Q6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R6" s="7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S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srv01;ob/2</v>
      </c>
      <c r="T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;ob/2</v>
      </c>
      <c r="U6" s="4"/>
      <c r="V6" s="4"/>
      <c r="W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//ru;ob/2</v>
      </c>
      <c r="X6" s="3"/>
      <c r="Y6" s="3"/>
      <c r="Z6" s="3"/>
      <c r="AA6" s="38"/>
      <c r="AB6" s="38"/>
      <c r="AC6" s="9" t="str">
        <f t="shared" si="0"/>
        <v>|</v>
      </c>
      <c r="AD6" s="4">
        <f>COUNTIFS(tbl_interfaces[manual_state], "active",
          tbl_interfaces[if_id], tbl_interfaces[[#This Row],[if_id]])</f>
        <v>1</v>
      </c>
      <c r="AE6" s="4">
        <f>COUNTIF(tbl_interfaces[if_id], tbl_interfaces[[#This Row],[if_id]])</f>
        <v>1</v>
      </c>
      <c r="AF6" s="4" cm="1">
        <f t="array" ref="AF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3</v>
      </c>
    </row>
    <row r="7" spans="3:32" x14ac:dyDescent="0.25">
      <c r="C7" s="6">
        <v>4</v>
      </c>
      <c r="D7" s="7" cm="1">
        <f t="array" ref="D7">ROW() - ROW(tbl_interfaces[#Headers])</f>
        <v>4</v>
      </c>
      <c r="E7" s="30"/>
      <c r="F7" s="15"/>
      <c r="G7" s="15"/>
      <c r="H7" s="6" t="str">
        <f>"active"</f>
        <v>active</v>
      </c>
      <c r="I7" s="8" t="str" cm="1">
        <f t="array" ref="I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" s="8" t="str" cm="1">
        <f t="array" ref="J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" s="8" t="str" cm="1">
        <f t="array" ref="K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" s="7" t="str">
        <f>tbl_interfaces[[#This Row],[derived_state]]</f>
        <v>ok</v>
      </c>
      <c r="M7" s="2" t="s">
        <v>17</v>
      </c>
      <c r="N7" s="6" t="s">
        <v>65</v>
      </c>
      <c r="O7" s="6"/>
      <c r="P7" s="6"/>
      <c r="Q7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R7" s="7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S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srv01;pcie_1/1</v>
      </c>
      <c r="T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;pcie_1/1</v>
      </c>
      <c r="U7" s="7"/>
      <c r="V7" s="7"/>
      <c r="W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//ru;pcie_1/1</v>
      </c>
      <c r="X7" s="15"/>
      <c r="Y7" s="15"/>
      <c r="Z7" s="15"/>
      <c r="AA7" s="39"/>
      <c r="AB7" s="39"/>
      <c r="AC7" s="16" t="str">
        <f>"|"</f>
        <v>|</v>
      </c>
      <c r="AD7" s="7">
        <f>COUNTIFS(tbl_interfaces[manual_state], "active",
          tbl_interfaces[if_id], tbl_interfaces[[#This Row],[if_id]])</f>
        <v>1</v>
      </c>
      <c r="AE7" s="7">
        <f>COUNTIF(tbl_interfaces[if_id], tbl_interfaces[[#This Row],[if_id]])</f>
        <v>1</v>
      </c>
      <c r="AF7" s="4" t="str" cm="1">
        <f t="array" ref="AF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8" spans="3:32" x14ac:dyDescent="0.25">
      <c r="C8" s="6">
        <v>5</v>
      </c>
      <c r="D8" s="7" cm="1">
        <f t="array" ref="D8">ROW() - ROW(tbl_interfaces[#Headers])</f>
        <v>5</v>
      </c>
      <c r="E8" s="30"/>
      <c r="F8" s="15"/>
      <c r="G8" s="15"/>
      <c r="H8" s="6" t="str">
        <f>"active"</f>
        <v>active</v>
      </c>
      <c r="I8" s="8" t="str" cm="1">
        <f t="array" ref="I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8" s="8" t="str" cm="1">
        <f t="array" ref="J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8" s="8" t="str" cm="1">
        <f t="array" ref="K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8" s="7" t="str">
        <f>tbl_interfaces[[#This Row],[derived_state]]</f>
        <v>ok</v>
      </c>
      <c r="M8" s="2" t="s">
        <v>17</v>
      </c>
      <c r="N8" s="17" t="s">
        <v>64</v>
      </c>
      <c r="O8" s="17"/>
      <c r="P8" s="17"/>
      <c r="Q8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R8" s="7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S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srv01;pcie_1/2</v>
      </c>
      <c r="T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;pcie_1/2</v>
      </c>
      <c r="U8" s="7"/>
      <c r="V8" s="7"/>
      <c r="W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//ru;pcie_1/2</v>
      </c>
      <c r="X8" s="15"/>
      <c r="Y8" s="15"/>
      <c r="Z8" s="15"/>
      <c r="AA8" s="39"/>
      <c r="AB8" s="39"/>
      <c r="AC8" s="16" t="str">
        <f>"|"</f>
        <v>|</v>
      </c>
      <c r="AD8" s="7">
        <f>COUNTIFS(tbl_interfaces[manual_state], "active",
          tbl_interfaces[if_id], tbl_interfaces[[#This Row],[if_id]])</f>
        <v>1</v>
      </c>
      <c r="AE8" s="7">
        <f>COUNTIF(tbl_interfaces[if_id], tbl_interfaces[[#This Row],[if_id]])</f>
        <v>1</v>
      </c>
      <c r="AF8" s="4" t="str" cm="1">
        <f t="array" ref="AF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9" spans="3:32" x14ac:dyDescent="0.25">
      <c r="C9" s="6">
        <v>6</v>
      </c>
      <c r="D9" s="7" cm="1">
        <f t="array" ref="D9">ROW() - ROW(tbl_interfaces[#Headers])</f>
        <v>6</v>
      </c>
      <c r="E9" s="30"/>
      <c r="F9" s="15"/>
      <c r="G9" s="15"/>
      <c r="H9" s="6" t="str">
        <f t="shared" ref="H9:H13" si="1">"active"</f>
        <v>active</v>
      </c>
      <c r="I9" s="8" t="str" cm="1">
        <f t="array" ref="I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9" s="8" t="str" cm="1">
        <f t="array" ref="J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9" s="8" t="str" cm="1">
        <f t="array" ref="K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9" s="7" t="str">
        <f>tbl_interfaces[[#This Row],[derived_state]]</f>
        <v>ok</v>
      </c>
      <c r="M9" s="2" t="s">
        <v>18</v>
      </c>
      <c r="N9" s="6" t="s">
        <v>60</v>
      </c>
      <c r="O9" s="6"/>
      <c r="P9" s="6"/>
      <c r="Q9" s="7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R9" s="7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S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srv02;idrac</v>
      </c>
      <c r="T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;idrac</v>
      </c>
      <c r="U9" s="7"/>
      <c r="V9" s="7"/>
      <c r="W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//ru;idrac</v>
      </c>
      <c r="X9" s="15"/>
      <c r="Y9" s="15"/>
      <c r="Z9" s="15"/>
      <c r="AA9" s="39"/>
      <c r="AB9" s="39"/>
      <c r="AC9" s="16" t="str">
        <f t="shared" ref="AC9:AC13" si="2">"|"</f>
        <v>|</v>
      </c>
      <c r="AD9" s="7">
        <f>COUNTIFS(tbl_interfaces[manual_state], "active",
          tbl_interfaces[if_id], tbl_interfaces[[#This Row],[if_id]])</f>
        <v>1</v>
      </c>
      <c r="AE9" s="7">
        <f>COUNTIF(tbl_interfaces[if_id], tbl_interfaces[[#This Row],[if_id]])</f>
        <v>1</v>
      </c>
      <c r="AF9" s="4" cm="1">
        <f t="array" ref="AF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4</v>
      </c>
    </row>
    <row r="10" spans="3:32" x14ac:dyDescent="0.25">
      <c r="C10" s="6">
        <v>7</v>
      </c>
      <c r="D10" s="7" cm="1">
        <f t="array" ref="D10">ROW() - ROW(tbl_interfaces[#Headers])</f>
        <v>7</v>
      </c>
      <c r="E10" s="30"/>
      <c r="F10" s="15"/>
      <c r="G10" s="3"/>
      <c r="H10" s="6" t="str">
        <f t="shared" si="1"/>
        <v>active</v>
      </c>
      <c r="I10" s="18" t="str" cm="1">
        <f t="array" ref="I1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0" s="18" t="str" cm="1">
        <f t="array" ref="J1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0" s="18" t="str" cm="1">
        <f t="array" ref="K1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0" s="4" t="str">
        <f>tbl_interfaces[[#This Row],[derived_state]]</f>
        <v>ok</v>
      </c>
      <c r="M10" s="2" t="s">
        <v>18</v>
      </c>
      <c r="N10" s="6" t="s">
        <v>62</v>
      </c>
      <c r="O10" s="2"/>
      <c r="P10" s="2"/>
      <c r="Q10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R10" s="4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S1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srv02;ob/1</v>
      </c>
      <c r="T1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;ob/1</v>
      </c>
      <c r="U10" s="4"/>
      <c r="V10" s="4"/>
      <c r="W1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//ru;ob/1</v>
      </c>
      <c r="X10" s="3"/>
      <c r="Y10" s="3"/>
      <c r="Z10" s="3"/>
      <c r="AA10" s="38"/>
      <c r="AB10" s="38"/>
      <c r="AC10" s="9" t="str">
        <f t="shared" si="2"/>
        <v>|</v>
      </c>
      <c r="AD10" s="4">
        <f>COUNTIFS(tbl_interfaces[manual_state], "active",
          tbl_interfaces[if_id], tbl_interfaces[[#This Row],[if_id]])</f>
        <v>1</v>
      </c>
      <c r="AE10" s="4">
        <f>COUNTIF(tbl_interfaces[if_id], tbl_interfaces[[#This Row],[if_id]])</f>
        <v>1</v>
      </c>
      <c r="AF10" s="4" t="str" cm="1">
        <f t="array" ref="AF1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1" spans="3:32" x14ac:dyDescent="0.25">
      <c r="C11" s="6">
        <v>8</v>
      </c>
      <c r="D11" s="7" cm="1">
        <f t="array" ref="D11">ROW() - ROW(tbl_interfaces[#Headers])</f>
        <v>8</v>
      </c>
      <c r="E11" s="30"/>
      <c r="F11" s="15"/>
      <c r="G11" s="3"/>
      <c r="H11" s="6" t="str">
        <f t="shared" si="1"/>
        <v>active</v>
      </c>
      <c r="I11" s="18" t="str" cm="1">
        <f t="array" ref="I1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1" s="18" t="str" cm="1">
        <f t="array" ref="J1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1" s="18" t="str" cm="1">
        <f t="array" ref="K1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1" s="4" t="str">
        <f>tbl_interfaces[[#This Row],[derived_state]]</f>
        <v>ok</v>
      </c>
      <c r="M11" s="2" t="s">
        <v>18</v>
      </c>
      <c r="N11" s="6" t="s">
        <v>63</v>
      </c>
      <c r="O11" s="2"/>
      <c r="P11" s="2"/>
      <c r="Q11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R11" s="4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S1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srv02;ob/2</v>
      </c>
      <c r="T1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;ob/2</v>
      </c>
      <c r="U11" s="4"/>
      <c r="V11" s="4"/>
      <c r="W1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//ru;ob/2</v>
      </c>
      <c r="X11" s="3"/>
      <c r="Y11" s="3"/>
      <c r="Z11" s="3"/>
      <c r="AA11" s="38"/>
      <c r="AB11" s="38"/>
      <c r="AC11" s="9" t="str">
        <f t="shared" si="2"/>
        <v>|</v>
      </c>
      <c r="AD11" s="4">
        <f>COUNTIFS(tbl_interfaces[manual_state], "active",
          tbl_interfaces[if_id], tbl_interfaces[[#This Row],[if_id]])</f>
        <v>1</v>
      </c>
      <c r="AE11" s="4">
        <f>COUNTIF(tbl_interfaces[if_id], tbl_interfaces[[#This Row],[if_id]])</f>
        <v>1</v>
      </c>
      <c r="AF11" s="4" t="str" cm="1">
        <f t="array" ref="AF1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2" spans="3:32" x14ac:dyDescent="0.25">
      <c r="C12" s="6">
        <v>9</v>
      </c>
      <c r="D12" s="7" cm="1">
        <f t="array" ref="D12">ROW() - ROW(tbl_interfaces[#Headers])</f>
        <v>9</v>
      </c>
      <c r="E12" s="30"/>
      <c r="F12" s="15"/>
      <c r="G12" s="3"/>
      <c r="H12" s="6" t="str">
        <f t="shared" si="1"/>
        <v>active</v>
      </c>
      <c r="I12" s="18" t="str" cm="1">
        <f t="array" ref="I1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2" s="18" t="str" cm="1">
        <f t="array" ref="J1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2" s="18" t="str" cm="1">
        <f t="array" ref="K1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2" s="4" t="str">
        <f>tbl_interfaces[[#This Row],[derived_state]]</f>
        <v>ok</v>
      </c>
      <c r="M12" s="2" t="s">
        <v>18</v>
      </c>
      <c r="N12" s="6" t="s">
        <v>65</v>
      </c>
      <c r="O12" s="2"/>
      <c r="P12" s="2"/>
      <c r="Q12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R12" s="4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S1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srv02;pcie_1/1</v>
      </c>
      <c r="T1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;pcie_1/1</v>
      </c>
      <c r="U12" s="4"/>
      <c r="V12" s="4"/>
      <c r="W1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//ru;pcie_1/1</v>
      </c>
      <c r="X12" s="3"/>
      <c r="Y12" s="3"/>
      <c r="Z12" s="3"/>
      <c r="AA12" s="38"/>
      <c r="AB12" s="38"/>
      <c r="AC12" s="9" t="str">
        <f t="shared" si="2"/>
        <v>|</v>
      </c>
      <c r="AD12" s="4">
        <f>COUNTIFS(tbl_interfaces[manual_state], "active",
          tbl_interfaces[if_id], tbl_interfaces[[#This Row],[if_id]])</f>
        <v>1</v>
      </c>
      <c r="AE12" s="4">
        <f>COUNTIF(tbl_interfaces[if_id], tbl_interfaces[[#This Row],[if_id]])</f>
        <v>1</v>
      </c>
      <c r="AF12" s="4" cm="1">
        <f t="array" ref="AF1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13" spans="3:32" x14ac:dyDescent="0.25">
      <c r="C13" s="6">
        <v>10</v>
      </c>
      <c r="D13" s="7" cm="1">
        <f t="array" ref="D13">ROW() - ROW(tbl_interfaces[#Headers])</f>
        <v>10</v>
      </c>
      <c r="E13" s="30"/>
      <c r="F13" s="15"/>
      <c r="G13" s="3"/>
      <c r="H13" s="6" t="str">
        <f t="shared" si="1"/>
        <v>active</v>
      </c>
      <c r="I13" s="18" t="str" cm="1">
        <f t="array" ref="I1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3" s="18" t="str" cm="1">
        <f t="array" ref="J1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3" s="18" t="str" cm="1">
        <f t="array" ref="K1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3" s="4" t="str">
        <f>tbl_interfaces[[#This Row],[derived_state]]</f>
        <v>ok</v>
      </c>
      <c r="M13" s="2" t="s">
        <v>18</v>
      </c>
      <c r="N13" s="17" t="s">
        <v>64</v>
      </c>
      <c r="O13" s="37"/>
      <c r="P13" s="37"/>
      <c r="Q13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R13" s="4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S1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srv02;pcie_1/2</v>
      </c>
      <c r="T1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;pcie_1/2</v>
      </c>
      <c r="U13" s="4"/>
      <c r="V13" s="4"/>
      <c r="W1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//ru;pcie_1/2</v>
      </c>
      <c r="X13" s="3"/>
      <c r="Y13" s="3"/>
      <c r="Z13" s="3"/>
      <c r="AA13" s="38"/>
      <c r="AB13" s="38"/>
      <c r="AC13" s="9" t="str">
        <f t="shared" si="2"/>
        <v>|</v>
      </c>
      <c r="AD13" s="4">
        <f>COUNTIFS(tbl_interfaces[manual_state], "active",
          tbl_interfaces[if_id], tbl_interfaces[[#This Row],[if_id]])</f>
        <v>1</v>
      </c>
      <c r="AE13" s="4">
        <f>COUNTIF(tbl_interfaces[if_id], tbl_interfaces[[#This Row],[if_id]])</f>
        <v>1</v>
      </c>
      <c r="AF13" s="4" t="str" cm="1">
        <f t="array" ref="AF1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4" spans="3:32" x14ac:dyDescent="0.25">
      <c r="C14" s="6">
        <v>11</v>
      </c>
      <c r="D14" s="7" cm="1">
        <f t="array" ref="D14">ROW() - ROW(tbl_interfaces[#Headers])</f>
        <v>11</v>
      </c>
      <c r="E14" s="30"/>
      <c r="F14" s="15"/>
      <c r="G14" s="15"/>
      <c r="H14" s="6" t="str">
        <f>"active"</f>
        <v>active</v>
      </c>
      <c r="I14" s="8" t="str" cm="1">
        <f t="array" ref="I1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4" s="8" t="str" cm="1">
        <f t="array" ref="J1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4" s="8" t="str" cm="1">
        <f t="array" ref="K1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4" s="7" t="str">
        <f>tbl_interfaces[[#This Row],[derived_state]]</f>
        <v>ok</v>
      </c>
      <c r="M14" s="2" t="s">
        <v>79</v>
      </c>
      <c r="N14" s="6" t="s">
        <v>37</v>
      </c>
      <c r="O14" s="6"/>
      <c r="P14" s="6"/>
      <c r="Q14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1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leaf01;console</v>
      </c>
      <c r="T1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farts;console</v>
      </c>
      <c r="U14" s="7"/>
      <c r="V14" s="7"/>
      <c r="W1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dc69/420/ru42;console</v>
      </c>
      <c r="X14" s="15"/>
      <c r="Y14" s="15"/>
      <c r="Z14" s="15"/>
      <c r="AA14" s="39"/>
      <c r="AB14" s="39"/>
      <c r="AC14" s="16" t="str">
        <f>"|"</f>
        <v>|</v>
      </c>
      <c r="AD14" s="7">
        <f>COUNTIFS(tbl_interfaces[manual_state], "active",
          tbl_interfaces[if_id], tbl_interfaces[[#This Row],[if_id]])</f>
        <v>1</v>
      </c>
      <c r="AE14" s="7">
        <f>COUNTIF(tbl_interfaces[if_id], tbl_interfaces[[#This Row],[if_id]])</f>
        <v>1</v>
      </c>
      <c r="AF14" s="4" t="str" cm="1">
        <f t="array" ref="AF1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5" spans="3:32" x14ac:dyDescent="0.25">
      <c r="C15" s="6">
        <v>12</v>
      </c>
      <c r="D15" s="7" cm="1">
        <f t="array" ref="D15">ROW() - ROW(tbl_interfaces[#Headers])</f>
        <v>12</v>
      </c>
      <c r="E15" s="30"/>
      <c r="F15" s="15"/>
      <c r="G15" s="15"/>
      <c r="H15" s="6" t="str">
        <f>"active"</f>
        <v>active</v>
      </c>
      <c r="I15" s="8" t="str" cm="1">
        <f t="array" ref="I1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5" s="8" t="str" cm="1">
        <f t="array" ref="J1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5" s="8" t="str" cm="1">
        <f t="array" ref="K1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5" s="7" t="str">
        <f>tbl_interfaces[[#This Row],[derived_state]]</f>
        <v>ok</v>
      </c>
      <c r="M15" s="2" t="s">
        <v>79</v>
      </c>
      <c r="N15" s="6" t="s">
        <v>66</v>
      </c>
      <c r="O15" s="6"/>
      <c r="P15" s="6"/>
      <c r="Q15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1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leaf01;mgmt</v>
      </c>
      <c r="T1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farts;mgmt</v>
      </c>
      <c r="U15" s="7"/>
      <c r="V15" s="7"/>
      <c r="W1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dc69/420/ru42;mgmt</v>
      </c>
      <c r="X15" s="15"/>
      <c r="Y15" s="15"/>
      <c r="Z15" s="15"/>
      <c r="AA15" s="39"/>
      <c r="AB15" s="39"/>
      <c r="AC15" s="16" t="str">
        <f>"|"</f>
        <v>|</v>
      </c>
      <c r="AD15" s="7">
        <f>COUNTIFS(tbl_interfaces[manual_state], "active",
          tbl_interfaces[if_id], tbl_interfaces[[#This Row],[if_id]])</f>
        <v>1</v>
      </c>
      <c r="AE15" s="7">
        <f>COUNTIF(tbl_interfaces[if_id], tbl_interfaces[[#This Row],[if_id]])</f>
        <v>1</v>
      </c>
      <c r="AF15" s="4" cm="1">
        <f t="array" ref="AF1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7</v>
      </c>
    </row>
    <row r="16" spans="3:32" x14ac:dyDescent="0.25">
      <c r="C16" s="6">
        <v>13</v>
      </c>
      <c r="D16" s="7" cm="1">
        <f t="array" ref="D16">ROW() - ROW(tbl_interfaces[#Headers])</f>
        <v>13</v>
      </c>
      <c r="E16" s="30"/>
      <c r="F16" s="15"/>
      <c r="G16" s="15"/>
      <c r="H16" s="6" t="str">
        <f>"active"</f>
        <v>active</v>
      </c>
      <c r="I16" s="8" t="str" cm="1">
        <f t="array" ref="I1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6" s="8" t="str" cm="1">
        <f t="array" ref="J1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6" s="8" t="str" cm="1">
        <f t="array" ref="K1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6" s="7" t="str">
        <f>tbl_interfaces[[#This Row],[derived_state]]</f>
        <v>ok</v>
      </c>
      <c r="M16" s="2" t="s">
        <v>79</v>
      </c>
      <c r="N16" s="17" t="s">
        <v>61</v>
      </c>
      <c r="O16" s="17"/>
      <c r="P16" s="17"/>
      <c r="Q16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6" s="7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S1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leaf01;01</v>
      </c>
      <c r="T1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farts;01</v>
      </c>
      <c r="U16" s="7"/>
      <c r="V16" s="7"/>
      <c r="W1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dc69/420/ru42;01</v>
      </c>
      <c r="X16" s="15"/>
      <c r="Y16" s="15"/>
      <c r="Z16" s="15"/>
      <c r="AA16" s="39"/>
      <c r="AB16" s="39"/>
      <c r="AC16" s="16" t="str">
        <f>"|"</f>
        <v>|</v>
      </c>
      <c r="AD16" s="7">
        <f>COUNTIFS(tbl_interfaces[manual_state], "active",
          tbl_interfaces[if_id], tbl_interfaces[[#This Row],[if_id]])</f>
        <v>1</v>
      </c>
      <c r="AE16" s="7">
        <f>COUNTIF(tbl_interfaces[if_id], tbl_interfaces[[#This Row],[if_id]])</f>
        <v>1</v>
      </c>
      <c r="AF16" s="4" cm="1">
        <f t="array" ref="AF1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17" spans="3:32" x14ac:dyDescent="0.25">
      <c r="C17" s="6">
        <v>14</v>
      </c>
      <c r="D17" s="7" cm="1">
        <f t="array" ref="D17">ROW() - ROW(tbl_interfaces[#Headers])</f>
        <v>14</v>
      </c>
      <c r="E17" s="30"/>
      <c r="F17" s="15"/>
      <c r="G17" s="15"/>
      <c r="H17" s="6" t="str">
        <f>"active"</f>
        <v>active</v>
      </c>
      <c r="I17" s="8" t="str" cm="1">
        <f t="array" ref="I1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7" s="8" t="str" cm="1">
        <f t="array" ref="J1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7" s="8" t="str" cm="1">
        <f t="array" ref="K1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7" s="7" t="str">
        <f>tbl_interfaces[[#This Row],[derived_state]]</f>
        <v>ok</v>
      </c>
      <c r="M17" s="2" t="s">
        <v>79</v>
      </c>
      <c r="N17" s="17" t="s">
        <v>67</v>
      </c>
      <c r="O17" s="17"/>
      <c r="P17" s="17"/>
      <c r="Q17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7" s="7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S1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leaf01;02</v>
      </c>
      <c r="T1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farts;02</v>
      </c>
      <c r="U17" s="7"/>
      <c r="V17" s="7"/>
      <c r="W1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dc69/420/ru42;02</v>
      </c>
      <c r="X17" s="15"/>
      <c r="Y17" s="15"/>
      <c r="Z17" s="15"/>
      <c r="AA17" s="39"/>
      <c r="AB17" s="39"/>
      <c r="AC17" s="16" t="str">
        <f>"|"</f>
        <v>|</v>
      </c>
      <c r="AD17" s="7">
        <f>COUNTIFS(tbl_interfaces[manual_state], "active",
          tbl_interfaces[if_id], tbl_interfaces[[#This Row],[if_id]])</f>
        <v>1</v>
      </c>
      <c r="AE17" s="7">
        <f>COUNTIF(tbl_interfaces[if_id], tbl_interfaces[[#This Row],[if_id]])</f>
        <v>1</v>
      </c>
      <c r="AF17" s="4" cm="1">
        <f t="array" ref="AF1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3</v>
      </c>
    </row>
    <row r="18" spans="3:32" x14ac:dyDescent="0.25">
      <c r="C18" s="6">
        <v>15</v>
      </c>
      <c r="D18" s="7" cm="1">
        <f t="array" ref="D18">ROW() - ROW(tbl_interfaces[#Headers])</f>
        <v>15</v>
      </c>
      <c r="E18" s="30"/>
      <c r="F18" s="15"/>
      <c r="G18" s="15"/>
      <c r="H18" s="6" t="str">
        <f t="shared" ref="H18:H23" si="3">"active"</f>
        <v>active</v>
      </c>
      <c r="I18" s="8" t="str" cm="1">
        <f t="array" ref="I1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8" s="8" t="str" cm="1">
        <f t="array" ref="J1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8" s="8" t="str" cm="1">
        <f t="array" ref="K1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8" s="7" t="str">
        <f>tbl_interfaces[[#This Row],[derived_state]]</f>
        <v>ok</v>
      </c>
      <c r="M18" s="2" t="s">
        <v>79</v>
      </c>
      <c r="N18" s="17" t="s">
        <v>68</v>
      </c>
      <c r="O18" s="17"/>
      <c r="P18" s="17"/>
      <c r="Q18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8" s="7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S1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leaf01;03</v>
      </c>
      <c r="T1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farts;03</v>
      </c>
      <c r="U18" s="7"/>
      <c r="V18" s="7"/>
      <c r="W1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dc69/420/ru42;03</v>
      </c>
      <c r="X18" s="15"/>
      <c r="Y18" s="15"/>
      <c r="Z18" s="15"/>
      <c r="AA18" s="39"/>
      <c r="AB18" s="39"/>
      <c r="AC18" s="16" t="str">
        <f t="shared" ref="AC18:AC23" si="4">"|"</f>
        <v>|</v>
      </c>
      <c r="AD18" s="7">
        <f>COUNTIFS(tbl_interfaces[manual_state], "active",
          tbl_interfaces[if_id], tbl_interfaces[[#This Row],[if_id]])</f>
        <v>1</v>
      </c>
      <c r="AE18" s="7">
        <f>COUNTIF(tbl_interfaces[if_id], tbl_interfaces[[#This Row],[if_id]])</f>
        <v>1</v>
      </c>
      <c r="AF18" s="4" t="str" cm="1">
        <f t="array" ref="AF1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9" spans="3:32" x14ac:dyDescent="0.25">
      <c r="C19" s="6">
        <v>16</v>
      </c>
      <c r="D19" s="7" cm="1">
        <f t="array" ref="D19">ROW() - ROW(tbl_interfaces[#Headers])</f>
        <v>16</v>
      </c>
      <c r="E19" s="30"/>
      <c r="F19" s="15"/>
      <c r="G19" s="3"/>
      <c r="H19" s="6" t="str">
        <f t="shared" si="3"/>
        <v>active</v>
      </c>
      <c r="I19" s="18" t="str" cm="1">
        <f t="array" ref="I1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9" s="18" t="str" cm="1">
        <f t="array" ref="J1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9" s="18" t="str" cm="1">
        <f t="array" ref="K1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9" s="4" t="str">
        <f>tbl_interfaces[[#This Row],[derived_state]]</f>
        <v>ok</v>
      </c>
      <c r="M19" s="2" t="s">
        <v>79</v>
      </c>
      <c r="N19" s="17" t="s">
        <v>69</v>
      </c>
      <c r="O19" s="37"/>
      <c r="P19" s="37"/>
      <c r="Q19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1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S1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leaf01;04</v>
      </c>
      <c r="T1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farts;04</v>
      </c>
      <c r="U19" s="4"/>
      <c r="V19" s="4"/>
      <c r="W1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dc69/420/ru42;04</v>
      </c>
      <c r="X19" s="3"/>
      <c r="Y19" s="3"/>
      <c r="Z19" s="3"/>
      <c r="AA19" s="38"/>
      <c r="AB19" s="38"/>
      <c r="AC19" s="9" t="str">
        <f t="shared" si="4"/>
        <v>|</v>
      </c>
      <c r="AD19" s="4">
        <f>COUNTIFS(tbl_interfaces[manual_state], "active",
          tbl_interfaces[if_id], tbl_interfaces[[#This Row],[if_id]])</f>
        <v>1</v>
      </c>
      <c r="AE19" s="4">
        <f>COUNTIF(tbl_interfaces[if_id], tbl_interfaces[[#This Row],[if_id]])</f>
        <v>1</v>
      </c>
      <c r="AF19" s="4" cm="1">
        <f t="array" ref="AF1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20" spans="3:32" x14ac:dyDescent="0.25">
      <c r="C20" s="6">
        <v>17</v>
      </c>
      <c r="D20" s="7" cm="1">
        <f t="array" ref="D20">ROW() - ROW(tbl_interfaces[#Headers])</f>
        <v>17</v>
      </c>
      <c r="E20" s="30"/>
      <c r="F20" s="15"/>
      <c r="G20" s="3"/>
      <c r="H20" s="6" t="str">
        <f t="shared" si="3"/>
        <v>active</v>
      </c>
      <c r="I20" s="18" t="str" cm="1">
        <f t="array" ref="I2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0" s="18" t="str" cm="1">
        <f t="array" ref="J2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0" s="18" t="str" cm="1">
        <f t="array" ref="K2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0" s="4" t="str">
        <f>tbl_interfaces[[#This Row],[derived_state]]</f>
        <v>ok</v>
      </c>
      <c r="M20" s="2" t="s">
        <v>79</v>
      </c>
      <c r="N20" s="17" t="s">
        <v>70</v>
      </c>
      <c r="O20" s="37"/>
      <c r="P20" s="37"/>
      <c r="Q20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2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S2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leaf01;05</v>
      </c>
      <c r="T2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farts;05</v>
      </c>
      <c r="U20" s="4"/>
      <c r="V20" s="4"/>
      <c r="W2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dc69/420/ru42;05</v>
      </c>
      <c r="X20" s="3"/>
      <c r="Y20" s="3"/>
      <c r="Z20" s="3"/>
      <c r="AA20" s="38"/>
      <c r="AB20" s="38"/>
      <c r="AC20" s="9" t="str">
        <f t="shared" si="4"/>
        <v>|</v>
      </c>
      <c r="AD20" s="4">
        <f>COUNTIFS(tbl_interfaces[manual_state], "active",
          tbl_interfaces[if_id], tbl_interfaces[[#This Row],[if_id]])</f>
        <v>1</v>
      </c>
      <c r="AE20" s="4">
        <f>COUNTIF(tbl_interfaces[if_id], tbl_interfaces[[#This Row],[if_id]])</f>
        <v>1</v>
      </c>
      <c r="AF20" s="4" t="str" cm="1">
        <f t="array" ref="AF2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1" spans="3:32" x14ac:dyDescent="0.25">
      <c r="C21" s="6">
        <v>18</v>
      </c>
      <c r="D21" s="7" cm="1">
        <f t="array" ref="D21">ROW() - ROW(tbl_interfaces[#Headers])</f>
        <v>18</v>
      </c>
      <c r="E21" s="30"/>
      <c r="F21" s="15"/>
      <c r="G21" s="3"/>
      <c r="H21" s="6" t="str">
        <f t="shared" si="3"/>
        <v>active</v>
      </c>
      <c r="I21" s="18" t="str" cm="1">
        <f t="array" ref="I2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1" s="18" t="str" cm="1">
        <f t="array" ref="J2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1" s="18" t="str" cm="1">
        <f t="array" ref="K2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1" s="4" t="str">
        <f>tbl_interfaces[[#This Row],[derived_state]]</f>
        <v>ok</v>
      </c>
      <c r="M21" s="2" t="s">
        <v>79</v>
      </c>
      <c r="N21" s="17" t="s">
        <v>71</v>
      </c>
      <c r="O21" s="37"/>
      <c r="P21" s="37"/>
      <c r="Q21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2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S2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leaf01;06</v>
      </c>
      <c r="T2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farts;06</v>
      </c>
      <c r="U21" s="4"/>
      <c r="V21" s="4"/>
      <c r="W2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dc69/420/ru42;06</v>
      </c>
      <c r="X21" s="3"/>
      <c r="Y21" s="3"/>
      <c r="Z21" s="3"/>
      <c r="AA21" s="38"/>
      <c r="AB21" s="38"/>
      <c r="AC21" s="9" t="str">
        <f t="shared" si="4"/>
        <v>|</v>
      </c>
      <c r="AD21" s="4">
        <f>COUNTIFS(tbl_interfaces[manual_state], "active",
          tbl_interfaces[if_id], tbl_interfaces[[#This Row],[if_id]])</f>
        <v>1</v>
      </c>
      <c r="AE21" s="4">
        <f>COUNTIF(tbl_interfaces[if_id], tbl_interfaces[[#This Row],[if_id]])</f>
        <v>1</v>
      </c>
      <c r="AF21" s="4" t="str" cm="1">
        <f t="array" ref="AF2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2" spans="3:32" x14ac:dyDescent="0.25">
      <c r="C22" s="6">
        <v>19</v>
      </c>
      <c r="D22" s="7" cm="1">
        <f t="array" ref="D22">ROW() - ROW(tbl_interfaces[#Headers])</f>
        <v>19</v>
      </c>
      <c r="E22" s="30"/>
      <c r="F22" s="15"/>
      <c r="G22" s="3"/>
      <c r="H22" s="6" t="str">
        <f t="shared" si="3"/>
        <v>active</v>
      </c>
      <c r="I22" s="18" t="str" cm="1">
        <f t="array" ref="I2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2" s="18" t="str" cm="1">
        <f t="array" ref="J2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2" s="18" t="str" cm="1">
        <f t="array" ref="K2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2" s="4" t="str">
        <f>tbl_interfaces[[#This Row],[derived_state]]</f>
        <v>ok</v>
      </c>
      <c r="M22" s="2" t="s">
        <v>79</v>
      </c>
      <c r="N22" s="17" t="s">
        <v>72</v>
      </c>
      <c r="O22" s="37"/>
      <c r="P22" s="37"/>
      <c r="Q22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2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S2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leaf01;07</v>
      </c>
      <c r="T2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farts;07</v>
      </c>
      <c r="U22" s="4"/>
      <c r="V22" s="4"/>
      <c r="W2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dc69/420/ru42;07</v>
      </c>
      <c r="X22" s="3"/>
      <c r="Y22" s="3"/>
      <c r="Z22" s="3"/>
      <c r="AA22" s="38"/>
      <c r="AB22" s="38"/>
      <c r="AC22" s="9" t="str">
        <f t="shared" si="4"/>
        <v>|</v>
      </c>
      <c r="AD22" s="4">
        <f>COUNTIFS(tbl_interfaces[manual_state], "active",
          tbl_interfaces[if_id], tbl_interfaces[[#This Row],[if_id]])</f>
        <v>1</v>
      </c>
      <c r="AE22" s="4">
        <f>COUNTIF(tbl_interfaces[if_id], tbl_interfaces[[#This Row],[if_id]])</f>
        <v>1</v>
      </c>
      <c r="AF22" s="4" cm="1">
        <f t="array" ref="AF2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23" spans="3:32" x14ac:dyDescent="0.25">
      <c r="C23" s="6">
        <v>20</v>
      </c>
      <c r="D23" s="7" cm="1">
        <f t="array" ref="D23">ROW() - ROW(tbl_interfaces[#Headers])</f>
        <v>20</v>
      </c>
      <c r="E23" s="30"/>
      <c r="F23" s="15"/>
      <c r="G23" s="3"/>
      <c r="H23" s="6" t="str">
        <f t="shared" si="3"/>
        <v>active</v>
      </c>
      <c r="I23" s="18" t="str" cm="1">
        <f t="array" ref="I2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3" s="18" t="str" cm="1">
        <f t="array" ref="J2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3" s="18" t="str" cm="1">
        <f t="array" ref="K2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3" s="4" t="str">
        <f>tbl_interfaces[[#This Row],[derived_state]]</f>
        <v>ok</v>
      </c>
      <c r="M23" s="2" t="s">
        <v>79</v>
      </c>
      <c r="N23" s="17" t="s">
        <v>73</v>
      </c>
      <c r="O23" s="37"/>
      <c r="P23" s="37"/>
      <c r="Q23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R2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S2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leaf01;08</v>
      </c>
      <c r="T2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farts;08</v>
      </c>
      <c r="U23" s="4"/>
      <c r="V23" s="4"/>
      <c r="W2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dc69/420/ru42;08</v>
      </c>
      <c r="X23" s="3"/>
      <c r="Y23" s="3"/>
      <c r="Z23" s="3"/>
      <c r="AA23" s="38"/>
      <c r="AB23" s="38"/>
      <c r="AC23" s="9" t="str">
        <f t="shared" si="4"/>
        <v>|</v>
      </c>
      <c r="AD23" s="4">
        <f>COUNTIFS(tbl_interfaces[manual_state], "active",
          tbl_interfaces[if_id], tbl_interfaces[[#This Row],[if_id]])</f>
        <v>1</v>
      </c>
      <c r="AE23" s="4">
        <f>COUNTIF(tbl_interfaces[if_id], tbl_interfaces[[#This Row],[if_id]])</f>
        <v>1</v>
      </c>
      <c r="AF23" s="4" cm="1">
        <f t="array" ref="AF2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6</v>
      </c>
    </row>
    <row r="24" spans="3:32" x14ac:dyDescent="0.25">
      <c r="C24" s="6">
        <v>21</v>
      </c>
      <c r="D24" s="7" cm="1">
        <f t="array" ref="D24">ROW() - ROW(tbl_interfaces[#Headers])</f>
        <v>21</v>
      </c>
      <c r="E24" s="30"/>
      <c r="F24" s="15"/>
      <c r="G24" s="15"/>
      <c r="H24" s="6" t="str">
        <f t="shared" ref="H24:H33" si="5">"active"</f>
        <v>active</v>
      </c>
      <c r="I24" s="8" t="str" cm="1">
        <f t="array" ref="I2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4" s="8" t="str" cm="1">
        <f t="array" ref="J2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4" s="8" t="str" cm="1">
        <f t="array" ref="K2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4" s="7" t="str">
        <f>tbl_interfaces[[#This Row],[derived_state]]</f>
        <v>ok</v>
      </c>
      <c r="M24" s="2" t="s">
        <v>78</v>
      </c>
      <c r="N24" s="6" t="s">
        <v>37</v>
      </c>
      <c r="O24" s="6"/>
      <c r="P24" s="6"/>
      <c r="Q24" s="7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2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leaf02;console</v>
      </c>
      <c r="T2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poops;console</v>
      </c>
      <c r="U24" s="7"/>
      <c r="V24" s="7"/>
      <c r="W2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24" s="15"/>
      <c r="Y24" s="15"/>
      <c r="Z24" s="15"/>
      <c r="AA24" s="39"/>
      <c r="AB24" s="39"/>
      <c r="AC24" s="16" t="str">
        <f t="shared" ref="AC24:AC33" si="6">"|"</f>
        <v>|</v>
      </c>
      <c r="AD24" s="7">
        <f>COUNTIFS(tbl_interfaces[manual_state], "active",
          tbl_interfaces[if_id], tbl_interfaces[[#This Row],[if_id]])</f>
        <v>1</v>
      </c>
      <c r="AE24" s="7">
        <f>COUNTIF(tbl_interfaces[if_id], tbl_interfaces[[#This Row],[if_id]])</f>
        <v>1</v>
      </c>
      <c r="AF24" s="4" t="str" cm="1">
        <f t="array" ref="AF2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5" spans="3:32" x14ac:dyDescent="0.25">
      <c r="C25" s="6">
        <v>22</v>
      </c>
      <c r="D25" s="7" cm="1">
        <f t="array" ref="D25">ROW() - ROW(tbl_interfaces[#Headers])</f>
        <v>22</v>
      </c>
      <c r="E25" s="30"/>
      <c r="F25" s="15"/>
      <c r="G25" s="3"/>
      <c r="H25" s="6" t="str">
        <f t="shared" si="5"/>
        <v>active</v>
      </c>
      <c r="I25" s="18" t="str" cm="1">
        <f t="array" ref="I2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5" s="18" t="str" cm="1">
        <f t="array" ref="J2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5" s="18" t="str" cm="1">
        <f t="array" ref="K2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5" s="4" t="str">
        <f>tbl_interfaces[[#This Row],[derived_state]]</f>
        <v>ok</v>
      </c>
      <c r="M25" s="2" t="s">
        <v>78</v>
      </c>
      <c r="N25" s="6" t="s">
        <v>66</v>
      </c>
      <c r="O25" s="2"/>
      <c r="P25" s="2"/>
      <c r="Q25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5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2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leaf02;mgmt</v>
      </c>
      <c r="T2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poops;mgmt</v>
      </c>
      <c r="U25" s="4"/>
      <c r="V25" s="4"/>
      <c r="W2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25" s="3"/>
      <c r="Y25" s="3"/>
      <c r="Z25" s="3"/>
      <c r="AA25" s="38"/>
      <c r="AB25" s="38"/>
      <c r="AC25" s="9" t="str">
        <f t="shared" si="6"/>
        <v>|</v>
      </c>
      <c r="AD25" s="4">
        <f>COUNTIFS(tbl_interfaces[manual_state], "active",
          tbl_interfaces[if_id], tbl_interfaces[[#This Row],[if_id]])</f>
        <v>1</v>
      </c>
      <c r="AE25" s="4">
        <f>COUNTIF(tbl_interfaces[if_id], tbl_interfaces[[#This Row],[if_id]])</f>
        <v>1</v>
      </c>
      <c r="AF25" s="4" t="str" cm="1">
        <f t="array" ref="AF2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6" spans="3:32" x14ac:dyDescent="0.25">
      <c r="C26" s="6">
        <v>23</v>
      </c>
      <c r="D26" s="7" cm="1">
        <f t="array" ref="D26">ROW() - ROW(tbl_interfaces[#Headers])</f>
        <v>23</v>
      </c>
      <c r="E26" s="30"/>
      <c r="F26" s="15"/>
      <c r="G26" s="3"/>
      <c r="H26" s="6" t="str">
        <f t="shared" si="5"/>
        <v>active</v>
      </c>
      <c r="I26" s="18" t="str" cm="1">
        <f t="array" ref="I2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6" s="18" t="str" cm="1">
        <f t="array" ref="J2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6" s="18" t="str" cm="1">
        <f t="array" ref="K2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6" s="4" t="str">
        <f>tbl_interfaces[[#This Row],[derived_state]]</f>
        <v>ok</v>
      </c>
      <c r="M26" s="2" t="s">
        <v>78</v>
      </c>
      <c r="N26" s="17" t="s">
        <v>61</v>
      </c>
      <c r="O26" s="37"/>
      <c r="P26" s="37"/>
      <c r="Q26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6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S2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leaf02;01</v>
      </c>
      <c r="T2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poops;01</v>
      </c>
      <c r="U26" s="4"/>
      <c r="V26" s="4"/>
      <c r="W2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X26" s="3"/>
      <c r="Y26" s="3"/>
      <c r="Z26" s="3"/>
      <c r="AA26" s="38"/>
      <c r="AB26" s="38"/>
      <c r="AC26" s="9" t="str">
        <f t="shared" si="6"/>
        <v>|</v>
      </c>
      <c r="AD26" s="4">
        <f>COUNTIFS(tbl_interfaces[manual_state], "active",
          tbl_interfaces[if_id], tbl_interfaces[[#This Row],[if_id]])</f>
        <v>1</v>
      </c>
      <c r="AE26" s="4">
        <f>COUNTIF(tbl_interfaces[if_id], tbl_interfaces[[#This Row],[if_id]])</f>
        <v>1</v>
      </c>
      <c r="AF26" s="4" t="str" cm="1">
        <f t="array" ref="AF2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7" spans="3:32" x14ac:dyDescent="0.25">
      <c r="C27" s="6">
        <v>24</v>
      </c>
      <c r="D27" s="7" cm="1">
        <f t="array" ref="D27">ROW() - ROW(tbl_interfaces[#Headers])</f>
        <v>24</v>
      </c>
      <c r="E27" s="30"/>
      <c r="F27" s="15"/>
      <c r="G27" s="3"/>
      <c r="H27" s="6" t="str">
        <f t="shared" si="5"/>
        <v>active</v>
      </c>
      <c r="I27" s="18" t="str" cm="1">
        <f t="array" ref="I2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7" s="18" t="str" cm="1">
        <f t="array" ref="J2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7" s="18" t="str" cm="1">
        <f t="array" ref="K2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7" s="4" t="str">
        <f>tbl_interfaces[[#This Row],[derived_state]]</f>
        <v>ok</v>
      </c>
      <c r="M27" s="2" t="s">
        <v>78</v>
      </c>
      <c r="N27" s="17" t="s">
        <v>67</v>
      </c>
      <c r="O27" s="37"/>
      <c r="P27" s="37"/>
      <c r="Q27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7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S2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leaf02;02</v>
      </c>
      <c r="T2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poops;02</v>
      </c>
      <c r="U27" s="4"/>
      <c r="V27" s="4"/>
      <c r="W2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X27" s="3"/>
      <c r="Y27" s="3"/>
      <c r="Z27" s="3"/>
      <c r="AA27" s="38"/>
      <c r="AB27" s="38"/>
      <c r="AC27" s="9" t="str">
        <f t="shared" si="6"/>
        <v>|</v>
      </c>
      <c r="AD27" s="4">
        <f>COUNTIFS(tbl_interfaces[manual_state], "active",
          tbl_interfaces[if_id], tbl_interfaces[[#This Row],[if_id]])</f>
        <v>1</v>
      </c>
      <c r="AE27" s="4">
        <f>COUNTIF(tbl_interfaces[if_id], tbl_interfaces[[#This Row],[if_id]])</f>
        <v>1</v>
      </c>
      <c r="AF27" s="4" t="str" cm="1">
        <f t="array" ref="AF2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8" spans="3:32" x14ac:dyDescent="0.25">
      <c r="C28" s="6">
        <v>25</v>
      </c>
      <c r="D28" s="7" cm="1">
        <f t="array" ref="D28">ROW() - ROW(tbl_interfaces[#Headers])</f>
        <v>25</v>
      </c>
      <c r="E28" s="30"/>
      <c r="F28" s="15"/>
      <c r="G28" s="3"/>
      <c r="H28" s="6" t="str">
        <f t="shared" si="5"/>
        <v>active</v>
      </c>
      <c r="I28" s="18" t="str" cm="1">
        <f t="array" ref="I2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8" s="18" t="str" cm="1">
        <f t="array" ref="J2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8" s="18" t="str" cm="1">
        <f t="array" ref="K2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8" s="4" t="str">
        <f>tbl_interfaces[[#This Row],[derived_state]]</f>
        <v>ok</v>
      </c>
      <c r="M28" s="2" t="s">
        <v>78</v>
      </c>
      <c r="N28" s="17" t="s">
        <v>68</v>
      </c>
      <c r="O28" s="37"/>
      <c r="P28" s="37"/>
      <c r="Q28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8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S2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leaf02;03</v>
      </c>
      <c r="T2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poops;03</v>
      </c>
      <c r="U28" s="4"/>
      <c r="V28" s="4"/>
      <c r="W2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X28" s="3"/>
      <c r="Y28" s="3"/>
      <c r="Z28" s="3"/>
      <c r="AA28" s="38"/>
      <c r="AB28" s="38"/>
      <c r="AC28" s="9" t="str">
        <f t="shared" si="6"/>
        <v>|</v>
      </c>
      <c r="AD28" s="4">
        <f>COUNTIFS(tbl_interfaces[manual_state], "active",
          tbl_interfaces[if_id], tbl_interfaces[[#This Row],[if_id]])</f>
        <v>1</v>
      </c>
      <c r="AE28" s="4">
        <f>COUNTIF(tbl_interfaces[if_id], tbl_interfaces[[#This Row],[if_id]])</f>
        <v>1</v>
      </c>
      <c r="AF28" s="4" t="str" cm="1">
        <f t="array" ref="AF2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9" spans="3:32" x14ac:dyDescent="0.25">
      <c r="C29" s="6">
        <v>26</v>
      </c>
      <c r="D29" s="7" cm="1">
        <f t="array" ref="D29">ROW() - ROW(tbl_interfaces[#Headers])</f>
        <v>26</v>
      </c>
      <c r="E29" s="30"/>
      <c r="F29" s="15"/>
      <c r="G29" s="3"/>
      <c r="H29" s="6" t="str">
        <f t="shared" si="5"/>
        <v>active</v>
      </c>
      <c r="I29" s="18" t="str" cm="1">
        <f t="array" ref="I2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9" s="18" t="str" cm="1">
        <f t="array" ref="J2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9" s="18" t="str" cm="1">
        <f t="array" ref="K2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9" s="4" t="str">
        <f>tbl_interfaces[[#This Row],[derived_state]]</f>
        <v>ok</v>
      </c>
      <c r="M29" s="2" t="s">
        <v>78</v>
      </c>
      <c r="N29" s="17" t="s">
        <v>69</v>
      </c>
      <c r="O29" s="37"/>
      <c r="P29" s="37"/>
      <c r="Q29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2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S2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leaf02;04</v>
      </c>
      <c r="T2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poops;04</v>
      </c>
      <c r="U29" s="4"/>
      <c r="V29" s="4"/>
      <c r="W2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X29" s="3"/>
      <c r="Y29" s="3"/>
      <c r="Z29" s="3"/>
      <c r="AA29" s="38"/>
      <c r="AB29" s="38"/>
      <c r="AC29" s="9" t="str">
        <f t="shared" si="6"/>
        <v>|</v>
      </c>
      <c r="AD29" s="4">
        <f>COUNTIFS(tbl_interfaces[manual_state], "active",
          tbl_interfaces[if_id], tbl_interfaces[[#This Row],[if_id]])</f>
        <v>1</v>
      </c>
      <c r="AE29" s="4">
        <f>COUNTIF(tbl_interfaces[if_id], tbl_interfaces[[#This Row],[if_id]])</f>
        <v>1</v>
      </c>
      <c r="AF29" s="4" t="str" cm="1">
        <f t="array" ref="AF2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0" spans="3:32" x14ac:dyDescent="0.25">
      <c r="C30" s="6">
        <v>27</v>
      </c>
      <c r="D30" s="7" cm="1">
        <f t="array" ref="D30">ROW() - ROW(tbl_interfaces[#Headers])</f>
        <v>27</v>
      </c>
      <c r="E30" s="30"/>
      <c r="F30" s="15"/>
      <c r="G30" s="3"/>
      <c r="H30" s="6" t="str">
        <f t="shared" si="5"/>
        <v>active</v>
      </c>
      <c r="I30" s="18" t="str" cm="1">
        <f t="array" ref="I3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0" s="18" t="str" cm="1">
        <f t="array" ref="J3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0" s="18" t="str" cm="1">
        <f t="array" ref="K3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0" s="4" t="str">
        <f>tbl_interfaces[[#This Row],[derived_state]]</f>
        <v>ok</v>
      </c>
      <c r="M30" s="2" t="s">
        <v>78</v>
      </c>
      <c r="N30" s="17" t="s">
        <v>70</v>
      </c>
      <c r="O30" s="37"/>
      <c r="P30" s="37"/>
      <c r="Q30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3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S3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leaf02;05</v>
      </c>
      <c r="T3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poops;05</v>
      </c>
      <c r="U30" s="4"/>
      <c r="V30" s="4"/>
      <c r="W3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X30" s="3"/>
      <c r="Y30" s="3"/>
      <c r="Z30" s="3"/>
      <c r="AA30" s="38"/>
      <c r="AB30" s="38"/>
      <c r="AC30" s="9" t="str">
        <f t="shared" si="6"/>
        <v>|</v>
      </c>
      <c r="AD30" s="4">
        <f>COUNTIFS(tbl_interfaces[manual_state], "active",
          tbl_interfaces[if_id], tbl_interfaces[[#This Row],[if_id]])</f>
        <v>1</v>
      </c>
      <c r="AE30" s="4">
        <f>COUNTIF(tbl_interfaces[if_id], tbl_interfaces[[#This Row],[if_id]])</f>
        <v>1</v>
      </c>
      <c r="AF30" s="4" t="str" cm="1">
        <f t="array" ref="AF3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1" spans="3:32" x14ac:dyDescent="0.25">
      <c r="C31" s="6">
        <v>28</v>
      </c>
      <c r="D31" s="7" cm="1">
        <f t="array" ref="D31">ROW() - ROW(tbl_interfaces[#Headers])</f>
        <v>28</v>
      </c>
      <c r="E31" s="30"/>
      <c r="F31" s="15"/>
      <c r="G31" s="3"/>
      <c r="H31" s="6" t="str">
        <f t="shared" si="5"/>
        <v>active</v>
      </c>
      <c r="I31" s="18" t="str" cm="1">
        <f t="array" ref="I3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1" s="18" t="str" cm="1">
        <f t="array" ref="J3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1" s="18" t="str" cm="1">
        <f t="array" ref="K3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1" s="4" t="str">
        <f>tbl_interfaces[[#This Row],[derived_state]]</f>
        <v>ok</v>
      </c>
      <c r="M31" s="2" t="s">
        <v>78</v>
      </c>
      <c r="N31" s="17" t="s">
        <v>71</v>
      </c>
      <c r="O31" s="37"/>
      <c r="P31" s="37"/>
      <c r="Q31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3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S3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leaf02;06</v>
      </c>
      <c r="T3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poops;06</v>
      </c>
      <c r="U31" s="4"/>
      <c r="V31" s="4"/>
      <c r="W3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X31" s="3"/>
      <c r="Y31" s="3"/>
      <c r="Z31" s="3"/>
      <c r="AA31" s="38"/>
      <c r="AB31" s="38"/>
      <c r="AC31" s="9" t="str">
        <f t="shared" si="6"/>
        <v>|</v>
      </c>
      <c r="AD31" s="4">
        <f>COUNTIFS(tbl_interfaces[manual_state], "active",
          tbl_interfaces[if_id], tbl_interfaces[[#This Row],[if_id]])</f>
        <v>1</v>
      </c>
      <c r="AE31" s="4">
        <f>COUNTIF(tbl_interfaces[if_id], tbl_interfaces[[#This Row],[if_id]])</f>
        <v>1</v>
      </c>
      <c r="AF31" s="4" t="str" cm="1">
        <f t="array" ref="AF3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2" spans="3:32" x14ac:dyDescent="0.25">
      <c r="C32" s="6">
        <v>29</v>
      </c>
      <c r="D32" s="7" cm="1">
        <f t="array" ref="D32">ROW() - ROW(tbl_interfaces[#Headers])</f>
        <v>29</v>
      </c>
      <c r="E32" s="30"/>
      <c r="F32" s="15"/>
      <c r="G32" s="3"/>
      <c r="H32" s="6" t="str">
        <f t="shared" si="5"/>
        <v>active</v>
      </c>
      <c r="I32" s="18" t="str" cm="1">
        <f t="array" ref="I3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2" s="18" t="str" cm="1">
        <f t="array" ref="J3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2" s="18" t="str" cm="1">
        <f t="array" ref="K3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2" s="4" t="str">
        <f>tbl_interfaces[[#This Row],[derived_state]]</f>
        <v>ok</v>
      </c>
      <c r="M32" s="2" t="s">
        <v>78</v>
      </c>
      <c r="N32" s="17" t="s">
        <v>72</v>
      </c>
      <c r="O32" s="37"/>
      <c r="P32" s="37"/>
      <c r="Q32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3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S3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leaf02;07</v>
      </c>
      <c r="T3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poops;07</v>
      </c>
      <c r="U32" s="4"/>
      <c r="V32" s="4"/>
      <c r="W3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X32" s="3"/>
      <c r="Y32" s="3"/>
      <c r="Z32" s="3"/>
      <c r="AA32" s="38"/>
      <c r="AB32" s="38"/>
      <c r="AC32" s="9" t="str">
        <f t="shared" si="6"/>
        <v>|</v>
      </c>
      <c r="AD32" s="4">
        <f>COUNTIFS(tbl_interfaces[manual_state], "active",
          tbl_interfaces[if_id], tbl_interfaces[[#This Row],[if_id]])</f>
        <v>1</v>
      </c>
      <c r="AE32" s="4">
        <f>COUNTIF(tbl_interfaces[if_id], tbl_interfaces[[#This Row],[if_id]])</f>
        <v>1</v>
      </c>
      <c r="AF32" s="4" t="str" cm="1">
        <f t="array" ref="AF3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3" spans="3:32" x14ac:dyDescent="0.25">
      <c r="C33" s="6">
        <v>30</v>
      </c>
      <c r="D33" s="7" cm="1">
        <f t="array" ref="D33">ROW() - ROW(tbl_interfaces[#Headers])</f>
        <v>30</v>
      </c>
      <c r="E33" s="30"/>
      <c r="F33" s="15"/>
      <c r="G33" s="3"/>
      <c r="H33" s="6" t="str">
        <f t="shared" si="5"/>
        <v>active</v>
      </c>
      <c r="I33" s="18" t="str" cm="1">
        <f t="array" ref="I3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3" s="18" t="str" cm="1">
        <f t="array" ref="J3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3" s="18" t="str" cm="1">
        <f t="array" ref="K3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3" s="4" t="str">
        <f>tbl_interfaces[[#This Row],[derived_state]]</f>
        <v>ok</v>
      </c>
      <c r="M33" s="2" t="s">
        <v>78</v>
      </c>
      <c r="N33" s="17" t="s">
        <v>73</v>
      </c>
      <c r="O33" s="37"/>
      <c r="P33" s="37"/>
      <c r="Q33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R3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S3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leaf02;08</v>
      </c>
      <c r="T3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poops;08</v>
      </c>
      <c r="U33" s="4"/>
      <c r="V33" s="4"/>
      <c r="W3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X33" s="3"/>
      <c r="Y33" s="3"/>
      <c r="Z33" s="3"/>
      <c r="AA33" s="38"/>
      <c r="AB33" s="38"/>
      <c r="AC33" s="9" t="str">
        <f t="shared" si="6"/>
        <v>|</v>
      </c>
      <c r="AD33" s="4">
        <f>COUNTIFS(tbl_interfaces[manual_state], "active",
          tbl_interfaces[if_id], tbl_interfaces[[#This Row],[if_id]])</f>
        <v>1</v>
      </c>
      <c r="AE33" s="4">
        <f>COUNTIF(tbl_interfaces[if_id], tbl_interfaces[[#This Row],[if_id]])</f>
        <v>1</v>
      </c>
      <c r="AF33" s="4" t="str" cm="1">
        <f t="array" ref="AF3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4" spans="3:32" x14ac:dyDescent="0.25">
      <c r="C34" s="6">
        <v>31</v>
      </c>
      <c r="D34" s="7" cm="1">
        <f t="array" ref="D34">ROW() - ROW(tbl_interfaces[#Headers])</f>
        <v>31</v>
      </c>
      <c r="E34" s="30"/>
      <c r="F34" s="15"/>
      <c r="G34" s="15"/>
      <c r="H34" s="6" t="str">
        <f t="shared" ref="H34:H39" si="7">"active"</f>
        <v>active</v>
      </c>
      <c r="I34" s="8" t="str" cm="1">
        <f t="array" ref="I3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4" s="8" t="str" cm="1">
        <f t="array" ref="J3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4" s="8" t="str" cm="1">
        <f t="array" ref="K3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4" s="7" t="str">
        <f>tbl_interfaces[[#This Row],[derived_state]]</f>
        <v>ok</v>
      </c>
      <c r="M34" s="2" t="s">
        <v>29</v>
      </c>
      <c r="N34" s="6" t="s">
        <v>37</v>
      </c>
      <c r="O34" s="6"/>
      <c r="P34" s="6"/>
      <c r="Q34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3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rtr01;console</v>
      </c>
      <c r="T3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U34" s="7"/>
      <c r="V34" s="7"/>
      <c r="W3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34" s="15"/>
      <c r="Y34" s="15"/>
      <c r="Z34" s="15"/>
      <c r="AA34" s="39"/>
      <c r="AB34" s="39"/>
      <c r="AC34" s="16" t="str">
        <f t="shared" ref="AC34:AC39" si="8">"|"</f>
        <v>|</v>
      </c>
      <c r="AD34" s="7">
        <f>COUNTIFS(tbl_interfaces[manual_state], "active",
          tbl_interfaces[if_id], tbl_interfaces[[#This Row],[if_id]])</f>
        <v>1</v>
      </c>
      <c r="AE34" s="7">
        <f>COUNTIF(tbl_interfaces[if_id], tbl_interfaces[[#This Row],[if_id]])</f>
        <v>1</v>
      </c>
      <c r="AF34" s="4" t="str" cm="1">
        <f t="array" ref="AF3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5" spans="3:32" x14ac:dyDescent="0.25">
      <c r="C35" s="6">
        <v>32</v>
      </c>
      <c r="D35" s="7" cm="1">
        <f t="array" ref="D35">ROW() - ROW(tbl_interfaces[#Headers])</f>
        <v>32</v>
      </c>
      <c r="E35" s="30"/>
      <c r="F35" s="15"/>
      <c r="G35" s="15"/>
      <c r="H35" s="6" t="str">
        <f t="shared" si="7"/>
        <v>active</v>
      </c>
      <c r="I35" s="8" t="str" cm="1">
        <f t="array" ref="I3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5" s="8" t="str" cm="1">
        <f t="array" ref="J3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5" s="8" t="str" cm="1">
        <f t="array" ref="K3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5" s="7" t="str">
        <f>tbl_interfaces[[#This Row],[derived_state]]</f>
        <v>ok</v>
      </c>
      <c r="M35" s="2" t="s">
        <v>29</v>
      </c>
      <c r="N35" s="6" t="s">
        <v>66</v>
      </c>
      <c r="O35" s="6"/>
      <c r="P35" s="6"/>
      <c r="Q35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3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rtr01;mgmt</v>
      </c>
      <c r="T3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35" s="7"/>
      <c r="V35" s="7"/>
      <c r="W3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35" s="15"/>
      <c r="Y35" s="15"/>
      <c r="Z35" s="15"/>
      <c r="AA35" s="39"/>
      <c r="AB35" s="39"/>
      <c r="AC35" s="16" t="str">
        <f t="shared" si="8"/>
        <v>|</v>
      </c>
      <c r="AD35" s="7">
        <f>COUNTIFS(tbl_interfaces[manual_state], "active",
          tbl_interfaces[if_id], tbl_interfaces[[#This Row],[if_id]])</f>
        <v>1</v>
      </c>
      <c r="AE35" s="7">
        <f>COUNTIF(tbl_interfaces[if_id], tbl_interfaces[[#This Row],[if_id]])</f>
        <v>1</v>
      </c>
      <c r="AF35" s="4" t="str" cm="1">
        <f t="array" ref="AF3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6" spans="3:32" x14ac:dyDescent="0.25">
      <c r="C36" s="6">
        <v>33</v>
      </c>
      <c r="D36" s="7" cm="1">
        <f t="array" ref="D36">ROW() - ROW(tbl_interfaces[#Headers])</f>
        <v>33</v>
      </c>
      <c r="E36" s="30"/>
      <c r="F36" s="15"/>
      <c r="G36" s="15"/>
      <c r="H36" s="6" t="str">
        <f t="shared" si="7"/>
        <v>active</v>
      </c>
      <c r="I36" s="8" t="str" cm="1">
        <f t="array" ref="I3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6" s="8" t="str" cm="1">
        <f t="array" ref="J3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6" s="8" t="str" cm="1">
        <f t="array" ref="K3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6" s="7" t="str">
        <f>tbl_interfaces[[#This Row],[derived_state]]</f>
        <v>ok</v>
      </c>
      <c r="M36" s="2" t="s">
        <v>29</v>
      </c>
      <c r="N36" s="6" t="s">
        <v>74</v>
      </c>
      <c r="O36" s="6"/>
      <c r="P36" s="6"/>
      <c r="Q36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6" s="7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S3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rtr01;g_0/0/0</v>
      </c>
      <c r="T3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;g_0/0/0</v>
      </c>
      <c r="U36" s="7"/>
      <c r="V36" s="7"/>
      <c r="W3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//ru;g_0/0/0</v>
      </c>
      <c r="X36" s="15"/>
      <c r="Y36" s="15"/>
      <c r="Z36" s="15"/>
      <c r="AA36" s="39"/>
      <c r="AB36" s="39"/>
      <c r="AC36" s="16" t="str">
        <f t="shared" si="8"/>
        <v>|</v>
      </c>
      <c r="AD36" s="7">
        <f>COUNTIFS(tbl_interfaces[manual_state], "active",
          tbl_interfaces[if_id], tbl_interfaces[[#This Row],[if_id]])</f>
        <v>1</v>
      </c>
      <c r="AE36" s="7">
        <f>COUNTIF(tbl_interfaces[if_id], tbl_interfaces[[#This Row],[if_id]])</f>
        <v>1</v>
      </c>
      <c r="AF36" s="4" t="str" cm="1">
        <f t="array" ref="AF3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7" spans="3:32" x14ac:dyDescent="0.25">
      <c r="C37" s="6">
        <v>34</v>
      </c>
      <c r="D37" s="7" cm="1">
        <f t="array" ref="D37">ROW() - ROW(tbl_interfaces[#Headers])</f>
        <v>34</v>
      </c>
      <c r="E37" s="30"/>
      <c r="F37" s="15"/>
      <c r="G37" s="15"/>
      <c r="H37" s="6" t="str">
        <f t="shared" si="7"/>
        <v>active</v>
      </c>
      <c r="I37" s="8" t="str" cm="1">
        <f t="array" ref="I3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7" s="8" t="str" cm="1">
        <f t="array" ref="J3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7" s="8" t="str" cm="1">
        <f t="array" ref="K3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7" s="7" t="str">
        <f>tbl_interfaces[[#This Row],[derived_state]]</f>
        <v>ok</v>
      </c>
      <c r="M37" s="2" t="s">
        <v>29</v>
      </c>
      <c r="N37" s="6" t="s">
        <v>75</v>
      </c>
      <c r="O37" s="6"/>
      <c r="P37" s="6"/>
      <c r="Q37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7" s="7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S3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rtr01;g_0/0/1</v>
      </c>
      <c r="T3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;g_0/0/1</v>
      </c>
      <c r="U37" s="7"/>
      <c r="V37" s="7"/>
      <c r="W3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//ru;g_0/0/1</v>
      </c>
      <c r="X37" s="15"/>
      <c r="Y37" s="15"/>
      <c r="Z37" s="15"/>
      <c r="AA37" s="39"/>
      <c r="AB37" s="39"/>
      <c r="AC37" s="16" t="str">
        <f t="shared" si="8"/>
        <v>|</v>
      </c>
      <c r="AD37" s="7">
        <f>COUNTIFS(tbl_interfaces[manual_state], "active",
          tbl_interfaces[if_id], tbl_interfaces[[#This Row],[if_id]])</f>
        <v>1</v>
      </c>
      <c r="AE37" s="7">
        <f>COUNTIF(tbl_interfaces[if_id], tbl_interfaces[[#This Row],[if_id]])</f>
        <v>1</v>
      </c>
      <c r="AF37" s="4" cm="1">
        <f t="array" ref="AF3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38" spans="3:32" x14ac:dyDescent="0.25">
      <c r="C38" s="6">
        <v>35</v>
      </c>
      <c r="D38" s="7" cm="1">
        <f t="array" ref="D38">ROW() - ROW(tbl_interfaces[#Headers])</f>
        <v>35</v>
      </c>
      <c r="E38" s="30"/>
      <c r="F38" s="15"/>
      <c r="G38" s="15"/>
      <c r="H38" s="6" t="str">
        <f t="shared" si="7"/>
        <v>active</v>
      </c>
      <c r="I38" s="8" t="str" cm="1">
        <f t="array" ref="I3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8" s="8" t="str" cm="1">
        <f t="array" ref="J3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8" s="8" t="str" cm="1">
        <f t="array" ref="K3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8" s="7" t="str">
        <f>tbl_interfaces[[#This Row],[derived_state]]</f>
        <v>ok</v>
      </c>
      <c r="M38" s="2" t="s">
        <v>29</v>
      </c>
      <c r="N38" s="6" t="s">
        <v>76</v>
      </c>
      <c r="O38" s="6"/>
      <c r="P38" s="6"/>
      <c r="Q38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8" s="7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S3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rtr01;g_1/0/0</v>
      </c>
      <c r="T3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;g_1/0/0</v>
      </c>
      <c r="U38" s="7"/>
      <c r="V38" s="7"/>
      <c r="W3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//ru;g_1/0/0</v>
      </c>
      <c r="X38" s="15"/>
      <c r="Y38" s="15"/>
      <c r="Z38" s="15"/>
      <c r="AA38" s="39"/>
      <c r="AB38" s="39"/>
      <c r="AC38" s="16" t="str">
        <f t="shared" si="8"/>
        <v>|</v>
      </c>
      <c r="AD38" s="7">
        <f>COUNTIFS(tbl_interfaces[manual_state], "active",
          tbl_interfaces[if_id], tbl_interfaces[[#This Row],[if_id]])</f>
        <v>1</v>
      </c>
      <c r="AE38" s="7">
        <f>COUNTIF(tbl_interfaces[if_id], tbl_interfaces[[#This Row],[if_id]])</f>
        <v>1</v>
      </c>
      <c r="AF38" s="4" t="str" cm="1">
        <f t="array" ref="AF3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9" spans="3:32" x14ac:dyDescent="0.25">
      <c r="C39" s="6">
        <v>36</v>
      </c>
      <c r="D39" s="7" cm="1">
        <f t="array" ref="D39">ROW() - ROW(tbl_interfaces[#Headers])</f>
        <v>36</v>
      </c>
      <c r="E39" s="30"/>
      <c r="F39" s="15"/>
      <c r="G39" s="15"/>
      <c r="H39" s="6" t="str">
        <f t="shared" si="7"/>
        <v>active</v>
      </c>
      <c r="I39" s="8" t="str" cm="1">
        <f t="array" ref="I3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9" s="8" t="str" cm="1">
        <f t="array" ref="J3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9" s="8" t="str" cm="1">
        <f t="array" ref="K3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9" s="7" t="str">
        <f>tbl_interfaces[[#This Row],[derived_state]]</f>
        <v>ok</v>
      </c>
      <c r="M39" s="2" t="s">
        <v>29</v>
      </c>
      <c r="N39" s="6" t="s">
        <v>77</v>
      </c>
      <c r="O39" s="6"/>
      <c r="P39" s="6"/>
      <c r="Q39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R39" s="7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S3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rtr01;g_1/0/1</v>
      </c>
      <c r="T3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;g_1/0/1</v>
      </c>
      <c r="U39" s="7"/>
      <c r="V39" s="7"/>
      <c r="W3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//ru;g_1/0/1</v>
      </c>
      <c r="X39" s="15"/>
      <c r="Y39" s="15"/>
      <c r="Z39" s="15"/>
      <c r="AA39" s="39"/>
      <c r="AB39" s="39"/>
      <c r="AC39" s="16" t="str">
        <f t="shared" si="8"/>
        <v>|</v>
      </c>
      <c r="AD39" s="7">
        <f>COUNTIFS(tbl_interfaces[manual_state], "active",
          tbl_interfaces[if_id], tbl_interfaces[[#This Row],[if_id]])</f>
        <v>1</v>
      </c>
      <c r="AE39" s="7">
        <f>COUNTIF(tbl_interfaces[if_id], tbl_interfaces[[#This Row],[if_id]])</f>
        <v>1</v>
      </c>
      <c r="AF39" s="4" t="str" cm="1">
        <f t="array" ref="AF3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0" spans="3:32" x14ac:dyDescent="0.25">
      <c r="C40" s="6">
        <v>37</v>
      </c>
      <c r="D40" s="7" cm="1">
        <f t="array" ref="D40">ROW() - ROW(tbl_interfaces[#Headers])</f>
        <v>37</v>
      </c>
      <c r="E40" s="30"/>
      <c r="F40" s="15"/>
      <c r="G40" s="15"/>
      <c r="H40" s="6" t="str">
        <f t="shared" ref="H40:H45" si="9">"active"</f>
        <v>active</v>
      </c>
      <c r="I40" s="8" t="str" cm="1">
        <f t="array" ref="I4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0" s="8" t="str" cm="1">
        <f t="array" ref="J4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0" s="8" t="str" cm="1">
        <f t="array" ref="K4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0" s="7" t="str">
        <f>tbl_interfaces[[#This Row],[derived_state]]</f>
        <v>ok</v>
      </c>
      <c r="M40" s="2" t="s">
        <v>80</v>
      </c>
      <c r="N40" s="6" t="s">
        <v>37</v>
      </c>
      <c r="O40" s="6"/>
      <c r="P40" s="6"/>
      <c r="Q40" s="7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0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4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rtr02;console</v>
      </c>
      <c r="T40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U40" s="7"/>
      <c r="V40" s="7"/>
      <c r="W40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40" s="15"/>
      <c r="Y40" s="15"/>
      <c r="Z40" s="15"/>
      <c r="AA40" s="39"/>
      <c r="AB40" s="39"/>
      <c r="AC40" s="16" t="str">
        <f t="shared" ref="AC40:AC45" si="10">"|"</f>
        <v>|</v>
      </c>
      <c r="AD40" s="7">
        <f>COUNTIFS(tbl_interfaces[manual_state], "active",
          tbl_interfaces[if_id], tbl_interfaces[[#This Row],[if_id]])</f>
        <v>1</v>
      </c>
      <c r="AE40" s="7">
        <f>COUNTIF(tbl_interfaces[if_id], tbl_interfaces[[#This Row],[if_id]])</f>
        <v>1</v>
      </c>
      <c r="AF40" s="4" t="str" cm="1">
        <f t="array" ref="AF4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1" spans="3:32" x14ac:dyDescent="0.25">
      <c r="C41" s="6">
        <v>38</v>
      </c>
      <c r="D41" s="7" cm="1">
        <f t="array" ref="D41">ROW() - ROW(tbl_interfaces[#Headers])</f>
        <v>38</v>
      </c>
      <c r="E41" s="30"/>
      <c r="F41" s="15"/>
      <c r="G41" s="3"/>
      <c r="H41" s="6" t="str">
        <f t="shared" si="9"/>
        <v>active</v>
      </c>
      <c r="I41" s="18" t="str" cm="1">
        <f t="array" ref="I4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1" s="18" t="str" cm="1">
        <f t="array" ref="J4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1" s="18" t="str" cm="1">
        <f t="array" ref="K4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1" s="4" t="str">
        <f>tbl_interfaces[[#This Row],[derived_state]]</f>
        <v>ok</v>
      </c>
      <c r="M41" s="2" t="s">
        <v>80</v>
      </c>
      <c r="N41" s="6" t="s">
        <v>66</v>
      </c>
      <c r="O41" s="2"/>
      <c r="P41" s="2"/>
      <c r="Q41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1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4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rtr02;mgmt</v>
      </c>
      <c r="T4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41" s="4"/>
      <c r="V41" s="4"/>
      <c r="W4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41" s="3"/>
      <c r="Y41" s="3"/>
      <c r="Z41" s="3"/>
      <c r="AA41" s="38"/>
      <c r="AB41" s="38"/>
      <c r="AC41" s="9" t="str">
        <f t="shared" si="10"/>
        <v>|</v>
      </c>
      <c r="AD41" s="4">
        <f>COUNTIFS(tbl_interfaces[manual_state], "active",
          tbl_interfaces[if_id], tbl_interfaces[[#This Row],[if_id]])</f>
        <v>1</v>
      </c>
      <c r="AE41" s="4">
        <f>COUNTIF(tbl_interfaces[if_id], tbl_interfaces[[#This Row],[if_id]])</f>
        <v>1</v>
      </c>
      <c r="AF41" s="4" t="str" cm="1">
        <f t="array" ref="AF4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2" spans="3:32" x14ac:dyDescent="0.25">
      <c r="C42" s="6">
        <v>39</v>
      </c>
      <c r="D42" s="7" cm="1">
        <f t="array" ref="D42">ROW() - ROW(tbl_interfaces[#Headers])</f>
        <v>39</v>
      </c>
      <c r="E42" s="30"/>
      <c r="F42" s="15"/>
      <c r="G42" s="3"/>
      <c r="H42" s="6" t="str">
        <f t="shared" si="9"/>
        <v>active</v>
      </c>
      <c r="I42" s="18" t="str" cm="1">
        <f t="array" ref="I4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2" s="18" t="str" cm="1">
        <f t="array" ref="J4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2" s="18" t="str" cm="1">
        <f t="array" ref="K4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2" s="4" t="str">
        <f>tbl_interfaces[[#This Row],[derived_state]]</f>
        <v>ok</v>
      </c>
      <c r="M42" s="2" t="s">
        <v>80</v>
      </c>
      <c r="N42" s="6" t="s">
        <v>74</v>
      </c>
      <c r="O42" s="2"/>
      <c r="P42" s="2"/>
      <c r="Q42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2" s="4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S4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rtr02;g_0/0/0</v>
      </c>
      <c r="T4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;g_0/0/0</v>
      </c>
      <c r="U42" s="4"/>
      <c r="V42" s="4"/>
      <c r="W4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//ru;g_0/0/0</v>
      </c>
      <c r="X42" s="3"/>
      <c r="Y42" s="3"/>
      <c r="Z42" s="3"/>
      <c r="AA42" s="38"/>
      <c r="AB42" s="38"/>
      <c r="AC42" s="9" t="str">
        <f t="shared" si="10"/>
        <v>|</v>
      </c>
      <c r="AD42" s="4">
        <f>COUNTIFS(tbl_interfaces[manual_state], "active",
          tbl_interfaces[if_id], tbl_interfaces[[#This Row],[if_id]])</f>
        <v>1</v>
      </c>
      <c r="AE42" s="4">
        <f>COUNTIF(tbl_interfaces[if_id], tbl_interfaces[[#This Row],[if_id]])</f>
        <v>1</v>
      </c>
      <c r="AF42" s="4" t="str" cm="1">
        <f t="array" ref="AF4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3" spans="3:32" x14ac:dyDescent="0.25">
      <c r="C43" s="6">
        <v>40</v>
      </c>
      <c r="D43" s="7" cm="1">
        <f t="array" ref="D43">ROW() - ROW(tbl_interfaces[#Headers])</f>
        <v>40</v>
      </c>
      <c r="E43" s="30"/>
      <c r="F43" s="15"/>
      <c r="G43" s="3"/>
      <c r="H43" s="6" t="str">
        <f t="shared" si="9"/>
        <v>active</v>
      </c>
      <c r="I43" s="18" t="str" cm="1">
        <f t="array" ref="I4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3" s="18" t="str" cm="1">
        <f t="array" ref="J4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3" s="18" t="str" cm="1">
        <f t="array" ref="K4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3" s="4" t="str">
        <f>tbl_interfaces[[#This Row],[derived_state]]</f>
        <v>ok</v>
      </c>
      <c r="M43" s="2" t="s">
        <v>80</v>
      </c>
      <c r="N43" s="6" t="s">
        <v>75</v>
      </c>
      <c r="O43" s="2"/>
      <c r="P43" s="2"/>
      <c r="Q43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3" s="4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S4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rtr02;g_0/0/1</v>
      </c>
      <c r="T4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;g_0/0/1</v>
      </c>
      <c r="U43" s="4"/>
      <c r="V43" s="4"/>
      <c r="W4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//ru;g_0/0/1</v>
      </c>
      <c r="X43" s="3"/>
      <c r="Y43" s="3"/>
      <c r="Z43" s="3"/>
      <c r="AA43" s="38"/>
      <c r="AB43" s="38"/>
      <c r="AC43" s="9" t="str">
        <f t="shared" si="10"/>
        <v>|</v>
      </c>
      <c r="AD43" s="4">
        <f>COUNTIFS(tbl_interfaces[manual_state], "active",
          tbl_interfaces[if_id], tbl_interfaces[[#This Row],[if_id]])</f>
        <v>1</v>
      </c>
      <c r="AE43" s="4">
        <f>COUNTIF(tbl_interfaces[if_id], tbl_interfaces[[#This Row],[if_id]])</f>
        <v>1</v>
      </c>
      <c r="AF43" s="4" t="str" cm="1">
        <f t="array" ref="AF4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4" spans="3:32" x14ac:dyDescent="0.25">
      <c r="C44" s="6">
        <v>41</v>
      </c>
      <c r="D44" s="7" cm="1">
        <f t="array" ref="D44">ROW() - ROW(tbl_interfaces[#Headers])</f>
        <v>41</v>
      </c>
      <c r="E44" s="30"/>
      <c r="F44" s="15"/>
      <c r="G44" s="3"/>
      <c r="H44" s="6" t="str">
        <f t="shared" si="9"/>
        <v>active</v>
      </c>
      <c r="I44" s="18" t="str" cm="1">
        <f t="array" ref="I4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4" s="18" t="str" cm="1">
        <f t="array" ref="J4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4" s="18" t="str" cm="1">
        <f t="array" ref="K4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4" s="4" t="str">
        <f>tbl_interfaces[[#This Row],[derived_state]]</f>
        <v>ok</v>
      </c>
      <c r="M44" s="2" t="s">
        <v>80</v>
      </c>
      <c r="N44" s="6" t="s">
        <v>76</v>
      </c>
      <c r="O44" s="2"/>
      <c r="P44" s="2"/>
      <c r="Q44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4" s="4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S4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rtr02;g_1/0/0</v>
      </c>
      <c r="T4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;g_1/0/0</v>
      </c>
      <c r="U44" s="4"/>
      <c r="V44" s="4"/>
      <c r="W4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//ru;g_1/0/0</v>
      </c>
      <c r="X44" s="3"/>
      <c r="Y44" s="3"/>
      <c r="Z44" s="3"/>
      <c r="AA44" s="38"/>
      <c r="AB44" s="38"/>
      <c r="AC44" s="9" t="str">
        <f t="shared" si="10"/>
        <v>|</v>
      </c>
      <c r="AD44" s="4">
        <f>COUNTIFS(tbl_interfaces[manual_state], "active",
          tbl_interfaces[if_id], tbl_interfaces[[#This Row],[if_id]])</f>
        <v>1</v>
      </c>
      <c r="AE44" s="4">
        <f>COUNTIF(tbl_interfaces[if_id], tbl_interfaces[[#This Row],[if_id]])</f>
        <v>1</v>
      </c>
      <c r="AF44" s="4" t="str" cm="1">
        <f t="array" ref="AF4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5" spans="3:32" x14ac:dyDescent="0.25">
      <c r="C45" s="6">
        <v>42</v>
      </c>
      <c r="D45" s="7" cm="1">
        <f t="array" ref="D45">ROW() - ROW(tbl_interfaces[#Headers])</f>
        <v>42</v>
      </c>
      <c r="E45" s="30"/>
      <c r="F45" s="15"/>
      <c r="G45" s="3"/>
      <c r="H45" s="6" t="str">
        <f t="shared" si="9"/>
        <v>active</v>
      </c>
      <c r="I45" s="18" t="str" cm="1">
        <f t="array" ref="I4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5" s="18" t="str" cm="1">
        <f t="array" ref="J4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5" s="18" t="str" cm="1">
        <f t="array" ref="K4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5" s="4" t="str">
        <f>tbl_interfaces[[#This Row],[derived_state]]</f>
        <v>ok</v>
      </c>
      <c r="M45" s="2" t="s">
        <v>80</v>
      </c>
      <c r="N45" s="6" t="s">
        <v>77</v>
      </c>
      <c r="O45" s="2"/>
      <c r="P45" s="2"/>
      <c r="Q45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R45" s="4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S4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rtr02;g_1/0/1</v>
      </c>
      <c r="T4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;g_1/0/1</v>
      </c>
      <c r="U45" s="4"/>
      <c r="V45" s="4"/>
      <c r="W4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//ru;g_1/0/1</v>
      </c>
      <c r="X45" s="3"/>
      <c r="Y45" s="3"/>
      <c r="Z45" s="3"/>
      <c r="AA45" s="38"/>
      <c r="AB45" s="38"/>
      <c r="AC45" s="9" t="str">
        <f t="shared" si="10"/>
        <v>|</v>
      </c>
      <c r="AD45" s="4">
        <f>COUNTIFS(tbl_interfaces[manual_state], "active",
          tbl_interfaces[if_id], tbl_interfaces[[#This Row],[if_id]])</f>
        <v>1</v>
      </c>
      <c r="AE45" s="4">
        <f>COUNTIF(tbl_interfaces[if_id], tbl_interfaces[[#This Row],[if_id]])</f>
        <v>1</v>
      </c>
      <c r="AF45" s="4" t="str" cm="1">
        <f t="array" ref="AF4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6" spans="3:32" x14ac:dyDescent="0.25">
      <c r="C46" s="6">
        <v>43</v>
      </c>
      <c r="D46" s="7" cm="1">
        <f t="array" ref="D46">ROW() - ROW(tbl_interfaces[#Headers])</f>
        <v>43</v>
      </c>
      <c r="E46" s="30"/>
      <c r="F46" s="15"/>
      <c r="G46" s="15"/>
      <c r="H46" s="6" t="str">
        <f t="shared" ref="H46:H55" si="11">"active"</f>
        <v>active</v>
      </c>
      <c r="I46" s="8" t="str" cm="1">
        <f t="array" ref="I4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6" s="8" t="str" cm="1">
        <f t="array" ref="J4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6" s="8" t="str" cm="1">
        <f t="array" ref="K4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6" s="7" t="str">
        <f>tbl_interfaces[[#This Row],[derived_state]]</f>
        <v>ok</v>
      </c>
      <c r="M46" s="2" t="s">
        <v>81</v>
      </c>
      <c r="N46" s="6" t="s">
        <v>37</v>
      </c>
      <c r="O46" s="6"/>
      <c r="P46" s="6"/>
      <c r="Q4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4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4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spine01;console</v>
      </c>
      <c r="T4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U46" s="7"/>
      <c r="V46" s="7"/>
      <c r="W4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46" s="15"/>
      <c r="Y46" s="15"/>
      <c r="Z46" s="15"/>
      <c r="AA46" s="39"/>
      <c r="AB46" s="39"/>
      <c r="AC46" s="16" t="str">
        <f t="shared" ref="AC46:AC55" si="12">"|"</f>
        <v>|</v>
      </c>
      <c r="AD46" s="7">
        <f>COUNTIFS(tbl_interfaces[manual_state], "active",
          tbl_interfaces[if_id], tbl_interfaces[[#This Row],[if_id]])</f>
        <v>1</v>
      </c>
      <c r="AE46" s="7">
        <f>COUNTIF(tbl_interfaces[if_id], tbl_interfaces[[#This Row],[if_id]])</f>
        <v>1</v>
      </c>
      <c r="AF46" s="4" t="str" cm="1">
        <f t="array" ref="AF4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7" spans="3:32" x14ac:dyDescent="0.25">
      <c r="C47" s="6">
        <v>44</v>
      </c>
      <c r="D47" s="7" cm="1">
        <f t="array" ref="D47">ROW() - ROW(tbl_interfaces[#Headers])</f>
        <v>44</v>
      </c>
      <c r="E47" s="30"/>
      <c r="F47" s="15"/>
      <c r="G47" s="3"/>
      <c r="H47" s="6" t="str">
        <f t="shared" si="11"/>
        <v>active</v>
      </c>
      <c r="I47" s="18" t="str" cm="1">
        <f t="array" ref="I4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7" s="18" t="str" cm="1">
        <f t="array" ref="J4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7" s="18" t="str" cm="1">
        <f t="array" ref="K4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7" s="4" t="str">
        <f>tbl_interfaces[[#This Row],[derived_state]]</f>
        <v>ok</v>
      </c>
      <c r="M47" s="2" t="s">
        <v>81</v>
      </c>
      <c r="N47" s="6" t="s">
        <v>66</v>
      </c>
      <c r="O47" s="2"/>
      <c r="P47" s="2"/>
      <c r="Q4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4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4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spine01;mgmt</v>
      </c>
      <c r="T4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47" s="4"/>
      <c r="V47" s="4"/>
      <c r="W4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47" s="3"/>
      <c r="Y47" s="3"/>
      <c r="Z47" s="3"/>
      <c r="AA47" s="38"/>
      <c r="AB47" s="38"/>
      <c r="AC47" s="9" t="str">
        <f t="shared" si="12"/>
        <v>|</v>
      </c>
      <c r="AD47" s="4">
        <f>COUNTIFS(tbl_interfaces[manual_state], "active",
          tbl_interfaces[if_id], tbl_interfaces[[#This Row],[if_id]])</f>
        <v>1</v>
      </c>
      <c r="AE47" s="4">
        <f>COUNTIF(tbl_interfaces[if_id], tbl_interfaces[[#This Row],[if_id]])</f>
        <v>1</v>
      </c>
      <c r="AF47" s="4" t="str" cm="1">
        <f t="array" ref="AF4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8" spans="3:32" x14ac:dyDescent="0.25">
      <c r="C48" s="6">
        <v>45</v>
      </c>
      <c r="D48" s="7" cm="1">
        <f t="array" ref="D48">ROW() - ROW(tbl_interfaces[#Headers])</f>
        <v>45</v>
      </c>
      <c r="E48" s="30"/>
      <c r="F48" s="15"/>
      <c r="G48" s="3"/>
      <c r="H48" s="6" t="str">
        <f t="shared" si="11"/>
        <v>active</v>
      </c>
      <c r="I48" s="18" t="str" cm="1">
        <f t="array" ref="I4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8" s="18" t="str" cm="1">
        <f t="array" ref="J4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8" s="18" t="str" cm="1">
        <f t="array" ref="K4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8" s="4" t="str">
        <f>tbl_interfaces[[#This Row],[derived_state]]</f>
        <v>ok</v>
      </c>
      <c r="M48" s="2" t="s">
        <v>81</v>
      </c>
      <c r="N48" s="17" t="s">
        <v>61</v>
      </c>
      <c r="O48" s="37"/>
      <c r="P48" s="37"/>
      <c r="Q4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4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S4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spine01;01</v>
      </c>
      <c r="T4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U48" s="4"/>
      <c r="V48" s="4"/>
      <c r="W4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X48" s="3"/>
      <c r="Y48" s="3"/>
      <c r="Z48" s="3"/>
      <c r="AA48" s="38"/>
      <c r="AB48" s="38"/>
      <c r="AC48" s="9" t="str">
        <f t="shared" si="12"/>
        <v>|</v>
      </c>
      <c r="AD48" s="4">
        <f>COUNTIFS(tbl_interfaces[manual_state], "active",
          tbl_interfaces[if_id], tbl_interfaces[[#This Row],[if_id]])</f>
        <v>1</v>
      </c>
      <c r="AE48" s="4">
        <f>COUNTIF(tbl_interfaces[if_id], tbl_interfaces[[#This Row],[if_id]])</f>
        <v>1</v>
      </c>
      <c r="AF48" s="4" cm="1">
        <f t="array" ref="AF4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49" spans="3:32" x14ac:dyDescent="0.25">
      <c r="C49" s="6">
        <v>46</v>
      </c>
      <c r="D49" s="7" cm="1">
        <f t="array" ref="D49">ROW() - ROW(tbl_interfaces[#Headers])</f>
        <v>46</v>
      </c>
      <c r="E49" s="30"/>
      <c r="F49" s="15"/>
      <c r="G49" s="3"/>
      <c r="H49" s="6" t="str">
        <f t="shared" si="11"/>
        <v>active</v>
      </c>
      <c r="I49" s="18" t="str" cm="1">
        <f t="array" ref="I4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9" s="18" t="str" cm="1">
        <f t="array" ref="J4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9" s="18" t="str" cm="1">
        <f t="array" ref="K4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9" s="4" t="str">
        <f>tbl_interfaces[[#This Row],[derived_state]]</f>
        <v>ok</v>
      </c>
      <c r="M49" s="2" t="s">
        <v>81</v>
      </c>
      <c r="N49" s="17" t="s">
        <v>67</v>
      </c>
      <c r="O49" s="37"/>
      <c r="P49" s="37"/>
      <c r="Q4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4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S4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spine01;02</v>
      </c>
      <c r="T4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U49" s="4"/>
      <c r="V49" s="4"/>
      <c r="W4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X49" s="3"/>
      <c r="Y49" s="3"/>
      <c r="Z49" s="3"/>
      <c r="AA49" s="38"/>
      <c r="AB49" s="38"/>
      <c r="AC49" s="9" t="str">
        <f t="shared" si="12"/>
        <v>|</v>
      </c>
      <c r="AD49" s="4">
        <f>COUNTIFS(tbl_interfaces[manual_state], "active",
          tbl_interfaces[if_id], tbl_interfaces[[#This Row],[if_id]])</f>
        <v>1</v>
      </c>
      <c r="AE49" s="4">
        <f>COUNTIF(tbl_interfaces[if_id], tbl_interfaces[[#This Row],[if_id]])</f>
        <v>1</v>
      </c>
      <c r="AF49" s="4" t="str" cm="1">
        <f t="array" ref="AF4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0" spans="3:32" x14ac:dyDescent="0.25">
      <c r="C50" s="6">
        <v>47</v>
      </c>
      <c r="D50" s="7" cm="1">
        <f t="array" ref="D50">ROW() - ROW(tbl_interfaces[#Headers])</f>
        <v>47</v>
      </c>
      <c r="E50" s="30"/>
      <c r="F50" s="15"/>
      <c r="G50" s="3"/>
      <c r="H50" s="6" t="str">
        <f t="shared" si="11"/>
        <v>active</v>
      </c>
      <c r="I50" s="18" t="str" cm="1">
        <f t="array" ref="I5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0" s="18" t="str" cm="1">
        <f t="array" ref="J5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0" s="18" t="str" cm="1">
        <f t="array" ref="K5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0" s="4" t="str">
        <f>tbl_interfaces[[#This Row],[derived_state]]</f>
        <v>ok</v>
      </c>
      <c r="M50" s="2" t="s">
        <v>81</v>
      </c>
      <c r="N50" s="17" t="s">
        <v>68</v>
      </c>
      <c r="O50" s="37"/>
      <c r="P50" s="37"/>
      <c r="Q5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S5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spine01;03</v>
      </c>
      <c r="T5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U50" s="4"/>
      <c r="V50" s="4"/>
      <c r="W5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X50" s="3"/>
      <c r="Y50" s="3"/>
      <c r="Z50" s="3"/>
      <c r="AA50" s="38"/>
      <c r="AB50" s="38"/>
      <c r="AC50" s="9" t="str">
        <f t="shared" si="12"/>
        <v>|</v>
      </c>
      <c r="AD50" s="4">
        <f>COUNTIFS(tbl_interfaces[manual_state], "active",
          tbl_interfaces[if_id], tbl_interfaces[[#This Row],[if_id]])</f>
        <v>1</v>
      </c>
      <c r="AE50" s="4">
        <f>COUNTIF(tbl_interfaces[if_id], tbl_interfaces[[#This Row],[if_id]])</f>
        <v>1</v>
      </c>
      <c r="AF50" s="4" cm="1">
        <f t="array" ref="AF5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51" spans="3:32" x14ac:dyDescent="0.25">
      <c r="C51" s="6">
        <v>48</v>
      </c>
      <c r="D51" s="7" cm="1">
        <f t="array" ref="D51">ROW() - ROW(tbl_interfaces[#Headers])</f>
        <v>48</v>
      </c>
      <c r="E51" s="30"/>
      <c r="F51" s="15"/>
      <c r="G51" s="3"/>
      <c r="H51" s="6" t="str">
        <f t="shared" si="11"/>
        <v>active</v>
      </c>
      <c r="I51" s="18" t="str" cm="1">
        <f t="array" ref="I5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1" s="18" t="str" cm="1">
        <f t="array" ref="J5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1" s="18" t="str" cm="1">
        <f t="array" ref="K5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1" s="4" t="str">
        <f>tbl_interfaces[[#This Row],[derived_state]]</f>
        <v>ok</v>
      </c>
      <c r="M51" s="2" t="s">
        <v>81</v>
      </c>
      <c r="N51" s="17" t="s">
        <v>69</v>
      </c>
      <c r="O51" s="37"/>
      <c r="P51" s="37"/>
      <c r="Q5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S5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spine01;04</v>
      </c>
      <c r="T5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U51" s="4"/>
      <c r="V51" s="4"/>
      <c r="W5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X51" s="3"/>
      <c r="Y51" s="3"/>
      <c r="Z51" s="3"/>
      <c r="AA51" s="38"/>
      <c r="AB51" s="38"/>
      <c r="AC51" s="9" t="str">
        <f t="shared" si="12"/>
        <v>|</v>
      </c>
      <c r="AD51" s="4">
        <f>COUNTIFS(tbl_interfaces[manual_state], "active",
          tbl_interfaces[if_id], tbl_interfaces[[#This Row],[if_id]])</f>
        <v>1</v>
      </c>
      <c r="AE51" s="4">
        <f>COUNTIF(tbl_interfaces[if_id], tbl_interfaces[[#This Row],[if_id]])</f>
        <v>1</v>
      </c>
      <c r="AF51" s="4" t="str" cm="1">
        <f t="array" ref="AF5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2" spans="3:32" x14ac:dyDescent="0.25">
      <c r="C52" s="6">
        <v>49</v>
      </c>
      <c r="D52" s="7" cm="1">
        <f t="array" ref="D52">ROW() - ROW(tbl_interfaces[#Headers])</f>
        <v>49</v>
      </c>
      <c r="E52" s="30"/>
      <c r="F52" s="15"/>
      <c r="G52" s="3"/>
      <c r="H52" s="6" t="str">
        <f t="shared" si="11"/>
        <v>active</v>
      </c>
      <c r="I52" s="18" t="str" cm="1">
        <f t="array" ref="I5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2" s="18" t="str" cm="1">
        <f t="array" ref="J5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2" s="18" t="str" cm="1">
        <f t="array" ref="K5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2" s="4" t="str">
        <f>tbl_interfaces[[#This Row],[derived_state]]</f>
        <v>ok</v>
      </c>
      <c r="M52" s="2" t="s">
        <v>81</v>
      </c>
      <c r="N52" s="17" t="s">
        <v>70</v>
      </c>
      <c r="O52" s="37"/>
      <c r="P52" s="37"/>
      <c r="Q5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S5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spine01;05</v>
      </c>
      <c r="T5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U52" s="4"/>
      <c r="V52" s="4"/>
      <c r="W5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X52" s="3"/>
      <c r="Y52" s="3"/>
      <c r="Z52" s="3"/>
      <c r="AA52" s="38"/>
      <c r="AB52" s="38"/>
      <c r="AC52" s="9" t="str">
        <f t="shared" si="12"/>
        <v>|</v>
      </c>
      <c r="AD52" s="4">
        <f>COUNTIFS(tbl_interfaces[manual_state], "active",
          tbl_interfaces[if_id], tbl_interfaces[[#This Row],[if_id]])</f>
        <v>1</v>
      </c>
      <c r="AE52" s="4">
        <f>COUNTIF(tbl_interfaces[if_id], tbl_interfaces[[#This Row],[if_id]])</f>
        <v>1</v>
      </c>
      <c r="AF52" s="4" t="str" cm="1">
        <f t="array" ref="AF5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3" spans="3:32" x14ac:dyDescent="0.25">
      <c r="C53" s="6">
        <v>50</v>
      </c>
      <c r="D53" s="7" cm="1">
        <f t="array" ref="D53">ROW() - ROW(tbl_interfaces[#Headers])</f>
        <v>50</v>
      </c>
      <c r="E53" s="30"/>
      <c r="F53" s="15"/>
      <c r="G53" s="3"/>
      <c r="H53" s="6" t="str">
        <f t="shared" si="11"/>
        <v>active</v>
      </c>
      <c r="I53" s="18" t="str" cm="1">
        <f t="array" ref="I5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3" s="18" t="str" cm="1">
        <f t="array" ref="J5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3" s="18" t="str" cm="1">
        <f t="array" ref="K5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3" s="4" t="str">
        <f>tbl_interfaces[[#This Row],[derived_state]]</f>
        <v>ok</v>
      </c>
      <c r="M53" s="2" t="s">
        <v>81</v>
      </c>
      <c r="N53" s="17" t="s">
        <v>71</v>
      </c>
      <c r="O53" s="37"/>
      <c r="P53" s="37"/>
      <c r="Q5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S5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spine01;06</v>
      </c>
      <c r="T5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U53" s="4"/>
      <c r="V53" s="4"/>
      <c r="W5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X53" s="3"/>
      <c r="Y53" s="3"/>
      <c r="Z53" s="3"/>
      <c r="AA53" s="38"/>
      <c r="AB53" s="38"/>
      <c r="AC53" s="9" t="str">
        <f t="shared" si="12"/>
        <v>|</v>
      </c>
      <c r="AD53" s="4">
        <f>COUNTIFS(tbl_interfaces[manual_state], "active",
          tbl_interfaces[if_id], tbl_interfaces[[#This Row],[if_id]])</f>
        <v>1</v>
      </c>
      <c r="AE53" s="4">
        <f>COUNTIF(tbl_interfaces[if_id], tbl_interfaces[[#This Row],[if_id]])</f>
        <v>1</v>
      </c>
      <c r="AF53" s="4" t="str" cm="1">
        <f t="array" ref="AF5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4" spans="3:32" x14ac:dyDescent="0.25">
      <c r="C54" s="6">
        <v>51</v>
      </c>
      <c r="D54" s="7" cm="1">
        <f t="array" ref="D54">ROW() - ROW(tbl_interfaces[#Headers])</f>
        <v>51</v>
      </c>
      <c r="E54" s="30"/>
      <c r="F54" s="15"/>
      <c r="G54" s="3"/>
      <c r="H54" s="6" t="str">
        <f t="shared" si="11"/>
        <v>active</v>
      </c>
      <c r="I54" s="18" t="str" cm="1">
        <f t="array" ref="I5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4" s="18" t="str" cm="1">
        <f t="array" ref="J5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4" s="18" t="str" cm="1">
        <f t="array" ref="K5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4" s="4" t="str">
        <f>tbl_interfaces[[#This Row],[derived_state]]</f>
        <v>ok</v>
      </c>
      <c r="M54" s="2" t="s">
        <v>81</v>
      </c>
      <c r="N54" s="17" t="s">
        <v>72</v>
      </c>
      <c r="O54" s="37"/>
      <c r="P54" s="37"/>
      <c r="Q5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S5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spine01;07</v>
      </c>
      <c r="T5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U54" s="4"/>
      <c r="V54" s="4"/>
      <c r="W5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X54" s="3"/>
      <c r="Y54" s="3"/>
      <c r="Z54" s="3"/>
      <c r="AA54" s="38"/>
      <c r="AB54" s="38"/>
      <c r="AC54" s="9" t="str">
        <f t="shared" si="12"/>
        <v>|</v>
      </c>
      <c r="AD54" s="4">
        <f>COUNTIFS(tbl_interfaces[manual_state], "active",
          tbl_interfaces[if_id], tbl_interfaces[[#This Row],[if_id]])</f>
        <v>1</v>
      </c>
      <c r="AE54" s="4">
        <f>COUNTIF(tbl_interfaces[if_id], tbl_interfaces[[#This Row],[if_id]])</f>
        <v>1</v>
      </c>
      <c r="AF54" s="4" t="str" cm="1">
        <f t="array" ref="AF5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5" spans="3:32" x14ac:dyDescent="0.25">
      <c r="C55" s="6">
        <v>52</v>
      </c>
      <c r="D55" s="7" cm="1">
        <f t="array" ref="D55">ROW() - ROW(tbl_interfaces[#Headers])</f>
        <v>52</v>
      </c>
      <c r="E55" s="30"/>
      <c r="F55" s="15"/>
      <c r="G55" s="3"/>
      <c r="H55" s="6" t="str">
        <f t="shared" si="11"/>
        <v>active</v>
      </c>
      <c r="I55" s="18" t="str" cm="1">
        <f t="array" ref="I5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5" s="18" t="str" cm="1">
        <f t="array" ref="J5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5" s="18" t="str" cm="1">
        <f t="array" ref="K5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5" s="4" t="str">
        <f>tbl_interfaces[[#This Row],[derived_state]]</f>
        <v>ok</v>
      </c>
      <c r="M55" s="2" t="s">
        <v>81</v>
      </c>
      <c r="N55" s="17" t="s">
        <v>73</v>
      </c>
      <c r="O55" s="37"/>
      <c r="P55" s="37"/>
      <c r="Q5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R5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S5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spine01;08</v>
      </c>
      <c r="T5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U55" s="4"/>
      <c r="V55" s="4"/>
      <c r="W5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X55" s="3"/>
      <c r="Y55" s="3"/>
      <c r="Z55" s="3"/>
      <c r="AA55" s="38"/>
      <c r="AB55" s="38"/>
      <c r="AC55" s="9" t="str">
        <f t="shared" si="12"/>
        <v>|</v>
      </c>
      <c r="AD55" s="4">
        <f>COUNTIFS(tbl_interfaces[manual_state], "active",
          tbl_interfaces[if_id], tbl_interfaces[[#This Row],[if_id]])</f>
        <v>1</v>
      </c>
      <c r="AE55" s="4">
        <f>COUNTIF(tbl_interfaces[if_id], tbl_interfaces[[#This Row],[if_id]])</f>
        <v>1</v>
      </c>
      <c r="AF55" s="4" t="str" cm="1">
        <f t="array" ref="AF5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6" spans="3:32" x14ac:dyDescent="0.25">
      <c r="C56" s="6">
        <v>53</v>
      </c>
      <c r="D56" s="7" cm="1">
        <f t="array" ref="D56">ROW() - ROW(tbl_interfaces[#Headers])</f>
        <v>53</v>
      </c>
      <c r="E56" s="30"/>
      <c r="F56" s="15"/>
      <c r="G56" s="15"/>
      <c r="H56" s="6" t="str">
        <f t="shared" ref="H56:H65" si="13">"active"</f>
        <v>active</v>
      </c>
      <c r="I56" s="8" t="str" cm="1">
        <f t="array" ref="I5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6" s="8" t="str" cm="1">
        <f t="array" ref="J5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6" s="8" t="str" cm="1">
        <f t="array" ref="K5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6" s="7" t="str">
        <f>tbl_interfaces[[#This Row],[derived_state]]</f>
        <v>ok</v>
      </c>
      <c r="M56" s="2" t="s">
        <v>82</v>
      </c>
      <c r="N56" s="6" t="s">
        <v>37</v>
      </c>
      <c r="O56" s="6"/>
      <c r="P56" s="6"/>
      <c r="Q5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5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5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spine02;console</v>
      </c>
      <c r="T5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U56" s="7"/>
      <c r="V56" s="7"/>
      <c r="W5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56" s="15"/>
      <c r="Y56" s="15"/>
      <c r="Z56" s="15"/>
      <c r="AA56" s="39"/>
      <c r="AB56" s="39"/>
      <c r="AC56" s="16" t="str">
        <f t="shared" ref="AC56:AC65" si="14">"|"</f>
        <v>|</v>
      </c>
      <c r="AD56" s="7">
        <f>COUNTIFS(tbl_interfaces[manual_state], "active",
          tbl_interfaces[if_id], tbl_interfaces[[#This Row],[if_id]])</f>
        <v>1</v>
      </c>
      <c r="AE56" s="7">
        <f>COUNTIF(tbl_interfaces[if_id], tbl_interfaces[[#This Row],[if_id]])</f>
        <v>1</v>
      </c>
      <c r="AF56" s="4" t="str" cm="1">
        <f t="array" ref="AF5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7" spans="3:32" x14ac:dyDescent="0.25">
      <c r="C57" s="6">
        <v>54</v>
      </c>
      <c r="D57" s="7" cm="1">
        <f t="array" ref="D57">ROW() - ROW(tbl_interfaces[#Headers])</f>
        <v>54</v>
      </c>
      <c r="E57" s="30"/>
      <c r="F57" s="15"/>
      <c r="G57" s="3"/>
      <c r="H57" s="6" t="str">
        <f t="shared" si="13"/>
        <v>active</v>
      </c>
      <c r="I57" s="18" t="str" cm="1">
        <f t="array" ref="I5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7" s="18" t="str" cm="1">
        <f t="array" ref="J5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7" s="18" t="str" cm="1">
        <f t="array" ref="K5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7" s="4" t="str">
        <f>tbl_interfaces[[#This Row],[derived_state]]</f>
        <v>ok</v>
      </c>
      <c r="M57" s="2" t="s">
        <v>82</v>
      </c>
      <c r="N57" s="6" t="s">
        <v>66</v>
      </c>
      <c r="O57" s="2"/>
      <c r="P57" s="2"/>
      <c r="Q5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5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5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spine02;mgmt</v>
      </c>
      <c r="T5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57" s="4"/>
      <c r="V57" s="4"/>
      <c r="W5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57" s="3"/>
      <c r="Y57" s="3"/>
      <c r="Z57" s="3"/>
      <c r="AA57" s="38"/>
      <c r="AB57" s="38"/>
      <c r="AC57" s="9" t="str">
        <f t="shared" si="14"/>
        <v>|</v>
      </c>
      <c r="AD57" s="4">
        <f>COUNTIFS(tbl_interfaces[manual_state], "active",
          tbl_interfaces[if_id], tbl_interfaces[[#This Row],[if_id]])</f>
        <v>1</v>
      </c>
      <c r="AE57" s="4">
        <f>COUNTIF(tbl_interfaces[if_id], tbl_interfaces[[#This Row],[if_id]])</f>
        <v>1</v>
      </c>
      <c r="AF57" s="4" t="str" cm="1">
        <f t="array" ref="AF5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8" spans="3:32" x14ac:dyDescent="0.25">
      <c r="C58" s="6">
        <v>55</v>
      </c>
      <c r="D58" s="7" cm="1">
        <f t="array" ref="D58">ROW() - ROW(tbl_interfaces[#Headers])</f>
        <v>55</v>
      </c>
      <c r="E58" s="30"/>
      <c r="F58" s="15"/>
      <c r="G58" s="3"/>
      <c r="H58" s="6" t="str">
        <f t="shared" si="13"/>
        <v>active</v>
      </c>
      <c r="I58" s="18" t="str" cm="1">
        <f t="array" ref="I5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8" s="18" t="str" cm="1">
        <f t="array" ref="J5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8" s="18" t="str" cm="1">
        <f t="array" ref="K5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8" s="4" t="str">
        <f>tbl_interfaces[[#This Row],[derived_state]]</f>
        <v>ok</v>
      </c>
      <c r="M58" s="2" t="s">
        <v>82</v>
      </c>
      <c r="N58" s="17" t="s">
        <v>61</v>
      </c>
      <c r="O58" s="37"/>
      <c r="P58" s="37"/>
      <c r="Q5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5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S5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spine02;01</v>
      </c>
      <c r="T5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U58" s="4"/>
      <c r="V58" s="4"/>
      <c r="W5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X58" s="3"/>
      <c r="Y58" s="3"/>
      <c r="Z58" s="3"/>
      <c r="AA58" s="38"/>
      <c r="AB58" s="38"/>
      <c r="AC58" s="9" t="str">
        <f t="shared" si="14"/>
        <v>|</v>
      </c>
      <c r="AD58" s="4">
        <f>COUNTIFS(tbl_interfaces[manual_state], "active",
          tbl_interfaces[if_id], tbl_interfaces[[#This Row],[if_id]])</f>
        <v>1</v>
      </c>
      <c r="AE58" s="4">
        <f>COUNTIF(tbl_interfaces[if_id], tbl_interfaces[[#This Row],[if_id]])</f>
        <v>1</v>
      </c>
      <c r="AF58" s="4" cm="1">
        <f t="array" ref="AF5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6</v>
      </c>
    </row>
    <row r="59" spans="3:32" x14ac:dyDescent="0.25">
      <c r="C59" s="6">
        <v>56</v>
      </c>
      <c r="D59" s="7" cm="1">
        <f t="array" ref="D59">ROW() - ROW(tbl_interfaces[#Headers])</f>
        <v>56</v>
      </c>
      <c r="E59" s="30"/>
      <c r="F59" s="15"/>
      <c r="G59" s="3"/>
      <c r="H59" s="6" t="str">
        <f t="shared" si="13"/>
        <v>active</v>
      </c>
      <c r="I59" s="18" t="str" cm="1">
        <f t="array" ref="I5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9" s="18" t="str" cm="1">
        <f t="array" ref="J5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9" s="18" t="str" cm="1">
        <f t="array" ref="K5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9" s="4" t="str">
        <f>tbl_interfaces[[#This Row],[derived_state]]</f>
        <v>ok</v>
      </c>
      <c r="M59" s="2" t="s">
        <v>82</v>
      </c>
      <c r="N59" s="17" t="s">
        <v>67</v>
      </c>
      <c r="O59" s="37"/>
      <c r="P59" s="37"/>
      <c r="Q5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5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S5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spine02;02</v>
      </c>
      <c r="T5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U59" s="4"/>
      <c r="V59" s="4"/>
      <c r="W5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X59" s="3"/>
      <c r="Y59" s="3"/>
      <c r="Z59" s="3"/>
      <c r="AA59" s="38"/>
      <c r="AB59" s="38"/>
      <c r="AC59" s="9" t="str">
        <f t="shared" si="14"/>
        <v>|</v>
      </c>
      <c r="AD59" s="4">
        <f>COUNTIFS(tbl_interfaces[manual_state], "active",
          tbl_interfaces[if_id], tbl_interfaces[[#This Row],[if_id]])</f>
        <v>1</v>
      </c>
      <c r="AE59" s="4">
        <f>COUNTIF(tbl_interfaces[if_id], tbl_interfaces[[#This Row],[if_id]])</f>
        <v>1</v>
      </c>
      <c r="AF59" s="4" t="str" cm="1">
        <f t="array" ref="AF5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0" spans="3:32" x14ac:dyDescent="0.25">
      <c r="C60" s="6">
        <v>57</v>
      </c>
      <c r="D60" s="7" cm="1">
        <f t="array" ref="D60">ROW() - ROW(tbl_interfaces[#Headers])</f>
        <v>57</v>
      </c>
      <c r="E60" s="30"/>
      <c r="F60" s="15"/>
      <c r="G60" s="3"/>
      <c r="H60" s="6" t="str">
        <f t="shared" si="13"/>
        <v>active</v>
      </c>
      <c r="I60" s="18" t="str" cm="1">
        <f t="array" ref="I6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0" s="18" t="str" cm="1">
        <f t="array" ref="J6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0" s="18" t="str" cm="1">
        <f t="array" ref="K6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0" s="4" t="str">
        <f>tbl_interfaces[[#This Row],[derived_state]]</f>
        <v>ok</v>
      </c>
      <c r="M60" s="2" t="s">
        <v>82</v>
      </c>
      <c r="N60" s="17" t="s">
        <v>68</v>
      </c>
      <c r="O60" s="37"/>
      <c r="P60" s="37"/>
      <c r="Q6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S6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spine02;03</v>
      </c>
      <c r="T6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U60" s="4"/>
      <c r="V60" s="4"/>
      <c r="W6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X60" s="3"/>
      <c r="Y60" s="3"/>
      <c r="Z60" s="3"/>
      <c r="AA60" s="38"/>
      <c r="AB60" s="38"/>
      <c r="AC60" s="9" t="str">
        <f t="shared" si="14"/>
        <v>|</v>
      </c>
      <c r="AD60" s="4">
        <f>COUNTIFS(tbl_interfaces[manual_state], "active",
          tbl_interfaces[if_id], tbl_interfaces[[#This Row],[if_id]])</f>
        <v>1</v>
      </c>
      <c r="AE60" s="4">
        <f>COUNTIF(tbl_interfaces[if_id], tbl_interfaces[[#This Row],[if_id]])</f>
        <v>1</v>
      </c>
      <c r="AF60" s="4" t="str" cm="1">
        <f t="array" ref="AF6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1" spans="3:32" x14ac:dyDescent="0.25">
      <c r="C61" s="6">
        <v>58</v>
      </c>
      <c r="D61" s="7" cm="1">
        <f t="array" ref="D61">ROW() - ROW(tbl_interfaces[#Headers])</f>
        <v>58</v>
      </c>
      <c r="E61" s="30"/>
      <c r="F61" s="15"/>
      <c r="G61" s="3"/>
      <c r="H61" s="6" t="str">
        <f t="shared" si="13"/>
        <v>active</v>
      </c>
      <c r="I61" s="18" t="str" cm="1">
        <f t="array" ref="I6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1" s="18" t="str" cm="1">
        <f t="array" ref="J6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1" s="18" t="str" cm="1">
        <f t="array" ref="K6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1" s="4" t="str">
        <f>tbl_interfaces[[#This Row],[derived_state]]</f>
        <v>ok</v>
      </c>
      <c r="M61" s="2" t="s">
        <v>82</v>
      </c>
      <c r="N61" s="17" t="s">
        <v>69</v>
      </c>
      <c r="O61" s="37"/>
      <c r="P61" s="37"/>
      <c r="Q6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S6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spine02;04</v>
      </c>
      <c r="T6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U61" s="4"/>
      <c r="V61" s="4"/>
      <c r="W6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X61" s="3"/>
      <c r="Y61" s="3"/>
      <c r="Z61" s="3"/>
      <c r="AA61" s="38"/>
      <c r="AB61" s="38"/>
      <c r="AC61" s="9" t="str">
        <f t="shared" si="14"/>
        <v>|</v>
      </c>
      <c r="AD61" s="4">
        <f>COUNTIFS(tbl_interfaces[manual_state], "active",
          tbl_interfaces[if_id], tbl_interfaces[[#This Row],[if_id]])</f>
        <v>1</v>
      </c>
      <c r="AE61" s="4">
        <f>COUNTIF(tbl_interfaces[if_id], tbl_interfaces[[#This Row],[if_id]])</f>
        <v>1</v>
      </c>
      <c r="AF61" s="4" t="str" cm="1">
        <f t="array" ref="AF6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2" spans="3:32" x14ac:dyDescent="0.25">
      <c r="C62" s="6">
        <v>59</v>
      </c>
      <c r="D62" s="7" cm="1">
        <f t="array" ref="D62">ROW() - ROW(tbl_interfaces[#Headers])</f>
        <v>59</v>
      </c>
      <c r="E62" s="30"/>
      <c r="F62" s="15"/>
      <c r="G62" s="3"/>
      <c r="H62" s="6" t="str">
        <f t="shared" si="13"/>
        <v>active</v>
      </c>
      <c r="I62" s="18" t="str" cm="1">
        <f t="array" ref="I6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2" s="18" t="str" cm="1">
        <f t="array" ref="J6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2" s="18" t="str" cm="1">
        <f t="array" ref="K6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2" s="4" t="str">
        <f>tbl_interfaces[[#This Row],[derived_state]]</f>
        <v>ok</v>
      </c>
      <c r="M62" s="2" t="s">
        <v>82</v>
      </c>
      <c r="N62" s="17" t="s">
        <v>70</v>
      </c>
      <c r="O62" s="37"/>
      <c r="P62" s="37"/>
      <c r="Q6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S6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spine02;05</v>
      </c>
      <c r="T6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U62" s="4"/>
      <c r="V62" s="4"/>
      <c r="W6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X62" s="3"/>
      <c r="Y62" s="3"/>
      <c r="Z62" s="3"/>
      <c r="AA62" s="38"/>
      <c r="AB62" s="38"/>
      <c r="AC62" s="9" t="str">
        <f t="shared" si="14"/>
        <v>|</v>
      </c>
      <c r="AD62" s="4">
        <f>COUNTIFS(tbl_interfaces[manual_state], "active",
          tbl_interfaces[if_id], tbl_interfaces[[#This Row],[if_id]])</f>
        <v>1</v>
      </c>
      <c r="AE62" s="4">
        <f>COUNTIF(tbl_interfaces[if_id], tbl_interfaces[[#This Row],[if_id]])</f>
        <v>1</v>
      </c>
      <c r="AF62" s="4" cm="1">
        <f t="array" ref="AF6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63" spans="3:32" x14ac:dyDescent="0.25">
      <c r="C63" s="6">
        <v>60</v>
      </c>
      <c r="D63" s="7" cm="1">
        <f t="array" ref="D63">ROW() - ROW(tbl_interfaces[#Headers])</f>
        <v>60</v>
      </c>
      <c r="E63" s="30"/>
      <c r="F63" s="15"/>
      <c r="G63" s="3"/>
      <c r="H63" s="6" t="str">
        <f t="shared" si="13"/>
        <v>active</v>
      </c>
      <c r="I63" s="18" t="str" cm="1">
        <f t="array" ref="I6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3" s="18" t="str" cm="1">
        <f t="array" ref="J6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3" s="18" t="str" cm="1">
        <f t="array" ref="K6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3" s="4" t="str">
        <f>tbl_interfaces[[#This Row],[derived_state]]</f>
        <v>ok</v>
      </c>
      <c r="M63" s="2" t="s">
        <v>82</v>
      </c>
      <c r="N63" s="17" t="s">
        <v>71</v>
      </c>
      <c r="O63" s="37"/>
      <c r="P63" s="37"/>
      <c r="Q6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S6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spine02;06</v>
      </c>
      <c r="T6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U63" s="4"/>
      <c r="V63" s="4"/>
      <c r="W6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X63" s="3"/>
      <c r="Y63" s="3"/>
      <c r="Z63" s="3"/>
      <c r="AA63" s="38"/>
      <c r="AB63" s="38"/>
      <c r="AC63" s="9" t="str">
        <f t="shared" si="14"/>
        <v>|</v>
      </c>
      <c r="AD63" s="4">
        <f>COUNTIFS(tbl_interfaces[manual_state], "active",
          tbl_interfaces[if_id], tbl_interfaces[[#This Row],[if_id]])</f>
        <v>1</v>
      </c>
      <c r="AE63" s="4">
        <f>COUNTIF(tbl_interfaces[if_id], tbl_interfaces[[#This Row],[if_id]])</f>
        <v>1</v>
      </c>
      <c r="AF63" s="4" t="str" cm="1">
        <f t="array" ref="AF6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4" spans="3:32" x14ac:dyDescent="0.25">
      <c r="C64" s="6">
        <v>61</v>
      </c>
      <c r="D64" s="7" cm="1">
        <f t="array" ref="D64">ROW() - ROW(tbl_interfaces[#Headers])</f>
        <v>61</v>
      </c>
      <c r="E64" s="30"/>
      <c r="F64" s="15"/>
      <c r="G64" s="3"/>
      <c r="H64" s="6" t="str">
        <f t="shared" si="13"/>
        <v>active</v>
      </c>
      <c r="I64" s="18" t="str" cm="1">
        <f t="array" ref="I6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4" s="18" t="str" cm="1">
        <f t="array" ref="J6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4" s="18" t="str" cm="1">
        <f t="array" ref="K6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4" s="4" t="str">
        <f>tbl_interfaces[[#This Row],[derived_state]]</f>
        <v>ok</v>
      </c>
      <c r="M64" s="2" t="s">
        <v>82</v>
      </c>
      <c r="N64" s="17" t="s">
        <v>72</v>
      </c>
      <c r="O64" s="37"/>
      <c r="P64" s="37"/>
      <c r="Q6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S6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spine02;07</v>
      </c>
      <c r="T6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U64" s="4"/>
      <c r="V64" s="4"/>
      <c r="W6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X64" s="3"/>
      <c r="Y64" s="3"/>
      <c r="Z64" s="3"/>
      <c r="AA64" s="38"/>
      <c r="AB64" s="38"/>
      <c r="AC64" s="9" t="str">
        <f t="shared" si="14"/>
        <v>|</v>
      </c>
      <c r="AD64" s="4">
        <f>COUNTIFS(tbl_interfaces[manual_state], "active",
          tbl_interfaces[if_id], tbl_interfaces[[#This Row],[if_id]])</f>
        <v>1</v>
      </c>
      <c r="AE64" s="4">
        <f>COUNTIF(tbl_interfaces[if_id], tbl_interfaces[[#This Row],[if_id]])</f>
        <v>1</v>
      </c>
      <c r="AF64" s="4" t="str" cm="1">
        <f t="array" ref="AF6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5" spans="3:32" x14ac:dyDescent="0.25">
      <c r="C65" s="6">
        <v>62</v>
      </c>
      <c r="D65" s="7" cm="1">
        <f t="array" ref="D65">ROW() - ROW(tbl_interfaces[#Headers])</f>
        <v>62</v>
      </c>
      <c r="E65" s="30"/>
      <c r="F65" s="15"/>
      <c r="G65" s="3"/>
      <c r="H65" s="6" t="str">
        <f t="shared" si="13"/>
        <v>active</v>
      </c>
      <c r="I65" s="18" t="str" cm="1">
        <f t="array" ref="I6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5" s="18" t="str" cm="1">
        <f t="array" ref="J6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5" s="18" t="str" cm="1">
        <f t="array" ref="K6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5" s="4" t="str">
        <f>tbl_interfaces[[#This Row],[derived_state]]</f>
        <v>ok</v>
      </c>
      <c r="M65" s="2" t="s">
        <v>82</v>
      </c>
      <c r="N65" s="17" t="s">
        <v>73</v>
      </c>
      <c r="O65" s="37"/>
      <c r="P65" s="37"/>
      <c r="Q6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R6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S6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spine02;08</v>
      </c>
      <c r="T6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U65" s="4"/>
      <c r="V65" s="4"/>
      <c r="W6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X65" s="3"/>
      <c r="Y65" s="3"/>
      <c r="Z65" s="3"/>
      <c r="AA65" s="38"/>
      <c r="AB65" s="38"/>
      <c r="AC65" s="9" t="str">
        <f t="shared" si="14"/>
        <v>|</v>
      </c>
      <c r="AD65" s="4">
        <f>COUNTIFS(tbl_interfaces[manual_state], "active",
          tbl_interfaces[if_id], tbl_interfaces[[#This Row],[if_id]])</f>
        <v>1</v>
      </c>
      <c r="AE65" s="4">
        <f>COUNTIF(tbl_interfaces[if_id], tbl_interfaces[[#This Row],[if_id]])</f>
        <v>1</v>
      </c>
      <c r="AF65" s="4" t="str" cm="1">
        <f t="array" ref="AF6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6" spans="3:32" x14ac:dyDescent="0.25">
      <c r="C66" s="6">
        <v>63</v>
      </c>
      <c r="D66" s="7" cm="1">
        <f t="array" ref="D66">ROW() - ROW(tbl_interfaces[#Headers])</f>
        <v>63</v>
      </c>
      <c r="E66" s="30"/>
      <c r="F66" s="15"/>
      <c r="G66" s="15"/>
      <c r="H66" s="6" t="str">
        <f t="shared" ref="H66:H75" si="15">"active"</f>
        <v>active</v>
      </c>
      <c r="I66" s="8" t="str" cm="1">
        <f t="array" ref="I6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6" s="8" t="str" cm="1">
        <f t="array" ref="J6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6" s="8" t="str" cm="1">
        <f t="array" ref="K6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6" s="7" t="str">
        <f>tbl_interfaces[[#This Row],[derived_state]]</f>
        <v>ok</v>
      </c>
      <c r="M66" s="2" t="s">
        <v>83</v>
      </c>
      <c r="N66" s="6" t="s">
        <v>37</v>
      </c>
      <c r="O66" s="6"/>
      <c r="P66" s="6"/>
      <c r="Q66" s="7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6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S6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mgmtsw01;console</v>
      </c>
      <c r="T6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U66" s="7"/>
      <c r="V66" s="7"/>
      <c r="W6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X66" s="15"/>
      <c r="Y66" s="15"/>
      <c r="Z66" s="15"/>
      <c r="AA66" s="39"/>
      <c r="AB66" s="39"/>
      <c r="AC66" s="16" t="str">
        <f t="shared" ref="AC66:AC75" si="16">"|"</f>
        <v>|</v>
      </c>
      <c r="AD66" s="7">
        <f>COUNTIFS(tbl_interfaces[manual_state], "active",
          tbl_interfaces[if_id], tbl_interfaces[[#This Row],[if_id]])</f>
        <v>1</v>
      </c>
      <c r="AE66" s="7">
        <f>COUNTIF(tbl_interfaces[if_id], tbl_interfaces[[#This Row],[if_id]])</f>
        <v>1</v>
      </c>
      <c r="AF66" s="4" t="str" cm="1">
        <f t="array" ref="AF6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7" spans="3:32" x14ac:dyDescent="0.25">
      <c r="C67" s="6">
        <v>64</v>
      </c>
      <c r="D67" s="7" cm="1">
        <f t="array" ref="D67">ROW() - ROW(tbl_interfaces[#Headers])</f>
        <v>64</v>
      </c>
      <c r="E67" s="30"/>
      <c r="F67" s="15"/>
      <c r="G67" s="3"/>
      <c r="H67" s="6" t="str">
        <f t="shared" si="15"/>
        <v>active</v>
      </c>
      <c r="I67" s="18" t="str" cm="1">
        <f t="array" ref="I6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7" s="18" t="str" cm="1">
        <f t="array" ref="J6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7" s="18" t="str" cm="1">
        <f t="array" ref="K6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7" s="4" t="str">
        <f>tbl_interfaces[[#This Row],[derived_state]]</f>
        <v>ok</v>
      </c>
      <c r="M67" s="2" t="s">
        <v>83</v>
      </c>
      <c r="N67" s="6" t="s">
        <v>66</v>
      </c>
      <c r="O67" s="2"/>
      <c r="P67" s="2"/>
      <c r="Q67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6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6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mgmtsw01;mgmt</v>
      </c>
      <c r="T6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67" s="4"/>
      <c r="V67" s="4"/>
      <c r="W6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67" s="3"/>
      <c r="Y67" s="3"/>
      <c r="Z67" s="3"/>
      <c r="AA67" s="38"/>
      <c r="AB67" s="38"/>
      <c r="AC67" s="9" t="str">
        <f t="shared" si="16"/>
        <v>|</v>
      </c>
      <c r="AD67" s="4">
        <f>COUNTIFS(tbl_interfaces[manual_state], "active",
          tbl_interfaces[if_id], tbl_interfaces[[#This Row],[if_id]])</f>
        <v>1</v>
      </c>
      <c r="AE67" s="4">
        <f>COUNTIF(tbl_interfaces[if_id], tbl_interfaces[[#This Row],[if_id]])</f>
        <v>1</v>
      </c>
      <c r="AF67" s="4" t="str" cm="1">
        <f t="array" ref="AF6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8" spans="3:32" x14ac:dyDescent="0.25">
      <c r="C68" s="6">
        <v>65</v>
      </c>
      <c r="D68" s="7" cm="1">
        <f t="array" ref="D68">ROW() - ROW(tbl_interfaces[#Headers])</f>
        <v>65</v>
      </c>
      <c r="E68" s="30"/>
      <c r="F68" s="15"/>
      <c r="G68" s="3"/>
      <c r="H68" s="6" t="str">
        <f t="shared" si="15"/>
        <v>active</v>
      </c>
      <c r="I68" s="18" t="str" cm="1">
        <f t="array" ref="I6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8" s="18" t="str" cm="1">
        <f t="array" ref="J6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8" s="18" t="str" cm="1">
        <f t="array" ref="K6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8" s="4" t="str">
        <f>tbl_interfaces[[#This Row],[derived_state]]</f>
        <v>ok</v>
      </c>
      <c r="M68" s="2" t="s">
        <v>83</v>
      </c>
      <c r="N68" s="17" t="s">
        <v>61</v>
      </c>
      <c r="O68" s="37"/>
      <c r="P68" s="37"/>
      <c r="Q68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6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S6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mgmtsw01;01</v>
      </c>
      <c r="T6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U68" s="4"/>
      <c r="V68" s="4"/>
      <c r="W6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X68" s="3"/>
      <c r="Y68" s="3"/>
      <c r="Z68" s="3"/>
      <c r="AA68" s="38"/>
      <c r="AB68" s="38"/>
      <c r="AC68" s="9" t="str">
        <f t="shared" si="16"/>
        <v>|</v>
      </c>
      <c r="AD68" s="4">
        <f>COUNTIFS(tbl_interfaces[manual_state], "active",
          tbl_interfaces[if_id], tbl_interfaces[[#This Row],[if_id]])</f>
        <v>1</v>
      </c>
      <c r="AE68" s="4">
        <f>COUNTIF(tbl_interfaces[if_id], tbl_interfaces[[#This Row],[if_id]])</f>
        <v>1</v>
      </c>
      <c r="AF68" s="4" cm="1">
        <f t="array" ref="AF6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69" spans="3:32" x14ac:dyDescent="0.25">
      <c r="C69" s="6">
        <v>66</v>
      </c>
      <c r="D69" s="7" cm="1">
        <f t="array" ref="D69">ROW() - ROW(tbl_interfaces[#Headers])</f>
        <v>66</v>
      </c>
      <c r="E69" s="30"/>
      <c r="F69" s="15"/>
      <c r="G69" s="3"/>
      <c r="H69" s="6" t="str">
        <f t="shared" si="15"/>
        <v>active</v>
      </c>
      <c r="I69" s="18" t="str" cm="1">
        <f t="array" ref="I6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9" s="18" t="str" cm="1">
        <f t="array" ref="J6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9" s="18" t="str" cm="1">
        <f t="array" ref="K6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9" s="4" t="str">
        <f>tbl_interfaces[[#This Row],[derived_state]]</f>
        <v>ok</v>
      </c>
      <c r="M69" s="2" t="s">
        <v>83</v>
      </c>
      <c r="N69" s="17" t="s">
        <v>67</v>
      </c>
      <c r="O69" s="37"/>
      <c r="P69" s="37"/>
      <c r="Q69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6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S6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mgmtsw01;02</v>
      </c>
      <c r="T6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U69" s="4"/>
      <c r="V69" s="4"/>
      <c r="W6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X69" s="3"/>
      <c r="Y69" s="3"/>
      <c r="Z69" s="3"/>
      <c r="AA69" s="38"/>
      <c r="AB69" s="38"/>
      <c r="AC69" s="9" t="str">
        <f t="shared" si="16"/>
        <v>|</v>
      </c>
      <c r="AD69" s="4">
        <f>COUNTIFS(tbl_interfaces[manual_state], "active",
          tbl_interfaces[if_id], tbl_interfaces[[#This Row],[if_id]])</f>
        <v>1</v>
      </c>
      <c r="AE69" s="4">
        <f>COUNTIF(tbl_interfaces[if_id], tbl_interfaces[[#This Row],[if_id]])</f>
        <v>1</v>
      </c>
      <c r="AF69" s="4" cm="1">
        <f t="array" ref="AF6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4</v>
      </c>
    </row>
    <row r="70" spans="3:32" x14ac:dyDescent="0.25">
      <c r="C70" s="6">
        <v>67</v>
      </c>
      <c r="D70" s="7" cm="1">
        <f t="array" ref="D70">ROW() - ROW(tbl_interfaces[#Headers])</f>
        <v>67</v>
      </c>
      <c r="E70" s="30"/>
      <c r="F70" s="15"/>
      <c r="G70" s="3"/>
      <c r="H70" s="6" t="str">
        <f t="shared" si="15"/>
        <v>active</v>
      </c>
      <c r="I70" s="18" t="str" cm="1">
        <f t="array" ref="I7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0" s="18" t="str" cm="1">
        <f t="array" ref="J7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0" s="18" t="str" cm="1">
        <f t="array" ref="K7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0" s="4" t="str">
        <f>tbl_interfaces[[#This Row],[derived_state]]</f>
        <v>ok</v>
      </c>
      <c r="M70" s="2" t="s">
        <v>83</v>
      </c>
      <c r="N70" s="17" t="s">
        <v>68</v>
      </c>
      <c r="O70" s="37"/>
      <c r="P70" s="37"/>
      <c r="Q70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S7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mgmtsw01;03</v>
      </c>
      <c r="T7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U70" s="4"/>
      <c r="V70" s="4"/>
      <c r="W7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X70" s="3"/>
      <c r="Y70" s="3"/>
      <c r="Z70" s="3"/>
      <c r="AA70" s="38"/>
      <c r="AB70" s="38"/>
      <c r="AC70" s="9" t="str">
        <f t="shared" si="16"/>
        <v>|</v>
      </c>
      <c r="AD70" s="4">
        <f>COUNTIFS(tbl_interfaces[manual_state], "active",
          tbl_interfaces[if_id], tbl_interfaces[[#This Row],[if_id]])</f>
        <v>1</v>
      </c>
      <c r="AE70" s="4">
        <f>COUNTIF(tbl_interfaces[if_id], tbl_interfaces[[#This Row],[if_id]])</f>
        <v>1</v>
      </c>
      <c r="AF70" s="4" t="str" cm="1">
        <f t="array" ref="AF7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1" spans="3:32" x14ac:dyDescent="0.25">
      <c r="C71" s="6">
        <v>68</v>
      </c>
      <c r="D71" s="7" cm="1">
        <f t="array" ref="D71">ROW() - ROW(tbl_interfaces[#Headers])</f>
        <v>68</v>
      </c>
      <c r="E71" s="30"/>
      <c r="F71" s="15"/>
      <c r="G71" s="3"/>
      <c r="H71" s="6" t="str">
        <f t="shared" si="15"/>
        <v>active</v>
      </c>
      <c r="I71" s="18" t="str" cm="1">
        <f t="array" ref="I7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1" s="18" t="str" cm="1">
        <f t="array" ref="J7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1" s="18" t="str" cm="1">
        <f t="array" ref="K7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1" s="4" t="str">
        <f>tbl_interfaces[[#This Row],[derived_state]]</f>
        <v>ok</v>
      </c>
      <c r="M71" s="2" t="s">
        <v>83</v>
      </c>
      <c r="N71" s="17" t="s">
        <v>69</v>
      </c>
      <c r="O71" s="37"/>
      <c r="P71" s="37"/>
      <c r="Q71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S7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mgmtsw01;04</v>
      </c>
      <c r="T7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U71" s="4"/>
      <c r="V71" s="4"/>
      <c r="W7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X71" s="3"/>
      <c r="Y71" s="3"/>
      <c r="Z71" s="3"/>
      <c r="AA71" s="38"/>
      <c r="AB71" s="38"/>
      <c r="AC71" s="9" t="str">
        <f t="shared" si="16"/>
        <v>|</v>
      </c>
      <c r="AD71" s="4">
        <f>COUNTIFS(tbl_interfaces[manual_state], "active",
          tbl_interfaces[if_id], tbl_interfaces[[#This Row],[if_id]])</f>
        <v>1</v>
      </c>
      <c r="AE71" s="4">
        <f>COUNTIF(tbl_interfaces[if_id], tbl_interfaces[[#This Row],[if_id]])</f>
        <v>1</v>
      </c>
      <c r="AF71" s="4" t="str" cm="1">
        <f t="array" ref="AF7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2" spans="3:32" x14ac:dyDescent="0.25">
      <c r="C72" s="6">
        <v>69</v>
      </c>
      <c r="D72" s="7" cm="1">
        <f t="array" ref="D72">ROW() - ROW(tbl_interfaces[#Headers])</f>
        <v>69</v>
      </c>
      <c r="E72" s="30"/>
      <c r="F72" s="15"/>
      <c r="G72" s="3"/>
      <c r="H72" s="6" t="str">
        <f t="shared" si="15"/>
        <v>active</v>
      </c>
      <c r="I72" s="18" t="str" cm="1">
        <f t="array" ref="I7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2" s="18" t="str" cm="1">
        <f t="array" ref="J7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2" s="18" t="str" cm="1">
        <f t="array" ref="K7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2" s="4" t="str">
        <f>tbl_interfaces[[#This Row],[derived_state]]</f>
        <v>ok</v>
      </c>
      <c r="M72" s="2" t="s">
        <v>83</v>
      </c>
      <c r="N72" s="17" t="s">
        <v>70</v>
      </c>
      <c r="O72" s="37"/>
      <c r="P72" s="37"/>
      <c r="Q72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S7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mgmtsw01;05</v>
      </c>
      <c r="T7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U72" s="4"/>
      <c r="V72" s="4"/>
      <c r="W7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X72" s="3"/>
      <c r="Y72" s="3"/>
      <c r="Z72" s="3"/>
      <c r="AA72" s="38"/>
      <c r="AB72" s="38"/>
      <c r="AC72" s="9" t="str">
        <f t="shared" si="16"/>
        <v>|</v>
      </c>
      <c r="AD72" s="4">
        <f>COUNTIFS(tbl_interfaces[manual_state], "active",
          tbl_interfaces[if_id], tbl_interfaces[[#This Row],[if_id]])</f>
        <v>1</v>
      </c>
      <c r="AE72" s="4">
        <f>COUNTIF(tbl_interfaces[if_id], tbl_interfaces[[#This Row],[if_id]])</f>
        <v>1</v>
      </c>
      <c r="AF72" s="4" t="str" cm="1">
        <f t="array" ref="AF7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3" spans="3:32" x14ac:dyDescent="0.25">
      <c r="C73" s="6">
        <v>70</v>
      </c>
      <c r="D73" s="7" cm="1">
        <f t="array" ref="D73">ROW() - ROW(tbl_interfaces[#Headers])</f>
        <v>70</v>
      </c>
      <c r="E73" s="30"/>
      <c r="F73" s="15"/>
      <c r="G73" s="3"/>
      <c r="H73" s="6" t="str">
        <f t="shared" si="15"/>
        <v>active</v>
      </c>
      <c r="I73" s="18" t="str" cm="1">
        <f t="array" ref="I7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3" s="18" t="str" cm="1">
        <f t="array" ref="J7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3" s="18" t="str" cm="1">
        <f t="array" ref="K7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3" s="4" t="str">
        <f>tbl_interfaces[[#This Row],[derived_state]]</f>
        <v>ok</v>
      </c>
      <c r="M73" s="2" t="s">
        <v>83</v>
      </c>
      <c r="N73" s="17" t="s">
        <v>71</v>
      </c>
      <c r="O73" s="37"/>
      <c r="P73" s="37"/>
      <c r="Q73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S7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mgmtsw01;06</v>
      </c>
      <c r="T7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U73" s="4"/>
      <c r="V73" s="4"/>
      <c r="W7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X73" s="3"/>
      <c r="Y73" s="3"/>
      <c r="Z73" s="3"/>
      <c r="AA73" s="38"/>
      <c r="AB73" s="38"/>
      <c r="AC73" s="9" t="str">
        <f t="shared" si="16"/>
        <v>|</v>
      </c>
      <c r="AD73" s="4">
        <f>COUNTIFS(tbl_interfaces[manual_state], "active",
          tbl_interfaces[if_id], tbl_interfaces[[#This Row],[if_id]])</f>
        <v>1</v>
      </c>
      <c r="AE73" s="4">
        <f>COUNTIF(tbl_interfaces[if_id], tbl_interfaces[[#This Row],[if_id]])</f>
        <v>1</v>
      </c>
      <c r="AF73" s="4" t="str" cm="1">
        <f t="array" ref="AF7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4" spans="3:32" x14ac:dyDescent="0.25">
      <c r="C74" s="6">
        <v>71</v>
      </c>
      <c r="D74" s="7" cm="1">
        <f t="array" ref="D74">ROW() - ROW(tbl_interfaces[#Headers])</f>
        <v>71</v>
      </c>
      <c r="E74" s="30"/>
      <c r="F74" s="15"/>
      <c r="G74" s="3"/>
      <c r="H74" s="6" t="str">
        <f t="shared" si="15"/>
        <v>active</v>
      </c>
      <c r="I74" s="18" t="str" cm="1">
        <f t="array" ref="I7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4" s="18" t="str" cm="1">
        <f t="array" ref="J7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4" s="18" t="str" cm="1">
        <f t="array" ref="K7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4" s="4" t="str">
        <f>tbl_interfaces[[#This Row],[derived_state]]</f>
        <v>ok</v>
      </c>
      <c r="M74" s="2" t="s">
        <v>83</v>
      </c>
      <c r="N74" s="17" t="s">
        <v>72</v>
      </c>
      <c r="O74" s="37"/>
      <c r="P74" s="37"/>
      <c r="Q74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S7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mgmtsw01;07</v>
      </c>
      <c r="T7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U74" s="4"/>
      <c r="V74" s="4"/>
      <c r="W7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X74" s="3"/>
      <c r="Y74" s="3"/>
      <c r="Z74" s="3"/>
      <c r="AA74" s="38"/>
      <c r="AB74" s="38"/>
      <c r="AC74" s="9" t="str">
        <f t="shared" si="16"/>
        <v>|</v>
      </c>
      <c r="AD74" s="4">
        <f>COUNTIFS(tbl_interfaces[manual_state], "active",
          tbl_interfaces[if_id], tbl_interfaces[[#This Row],[if_id]])</f>
        <v>1</v>
      </c>
      <c r="AE74" s="4">
        <f>COUNTIF(tbl_interfaces[if_id], tbl_interfaces[[#This Row],[if_id]])</f>
        <v>1</v>
      </c>
      <c r="AF74" s="4" cm="1">
        <f t="array" ref="AF7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7</v>
      </c>
    </row>
    <row r="75" spans="3:32" x14ac:dyDescent="0.25">
      <c r="C75" s="6">
        <v>72</v>
      </c>
      <c r="D75" s="7" cm="1">
        <f t="array" ref="D75">ROW() - ROW(tbl_interfaces[#Headers])</f>
        <v>72</v>
      </c>
      <c r="E75" s="30"/>
      <c r="F75" s="15"/>
      <c r="G75" s="3"/>
      <c r="H75" s="6" t="str">
        <f t="shared" si="15"/>
        <v>active</v>
      </c>
      <c r="I75" s="18" t="str" cm="1">
        <f t="array" ref="I7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5" s="18" t="str" cm="1">
        <f t="array" ref="J7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5" s="18" t="str" cm="1">
        <f t="array" ref="K7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5" s="4" t="str">
        <f>tbl_interfaces[[#This Row],[derived_state]]</f>
        <v>ok</v>
      </c>
      <c r="M75" s="2" t="s">
        <v>83</v>
      </c>
      <c r="N75" s="17" t="s">
        <v>73</v>
      </c>
      <c r="O75" s="37"/>
      <c r="P75" s="37"/>
      <c r="Q75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R7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S7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mgmtsw01;08</v>
      </c>
      <c r="T7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U75" s="4"/>
      <c r="V75" s="4"/>
      <c r="W7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X75" s="3"/>
      <c r="Y75" s="3"/>
      <c r="Z75" s="3"/>
      <c r="AA75" s="38"/>
      <c r="AB75" s="38"/>
      <c r="AC75" s="9" t="str">
        <f t="shared" si="16"/>
        <v>|</v>
      </c>
      <c r="AD75" s="4">
        <f>COUNTIFS(tbl_interfaces[manual_state], "active",
          tbl_interfaces[if_id], tbl_interfaces[[#This Row],[if_id]])</f>
        <v>1</v>
      </c>
      <c r="AE75" s="4">
        <f>COUNTIF(tbl_interfaces[if_id], tbl_interfaces[[#This Row],[if_id]])</f>
        <v>1</v>
      </c>
      <c r="AF75" s="4" t="str" cm="1">
        <f t="array" ref="AF7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6" spans="3:32" ht="45" x14ac:dyDescent="0.25">
      <c r="C76" s="6">
        <v>73</v>
      </c>
      <c r="D76" s="7" cm="1">
        <f t="array" ref="D76">ROW() - ROW(tbl_interfaces[#Headers])</f>
        <v>73</v>
      </c>
      <c r="E76" s="30"/>
      <c r="F76" s="15"/>
      <c r="G76" s="15"/>
      <c r="H76" s="6" t="str">
        <f>"active"</f>
        <v>active</v>
      </c>
      <c r="I76" s="8" t="str" cm="1">
        <f t="array" ref="I7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ERROR::::ok_device_not_found_in_device_table</v>
      </c>
      <c r="J76" s="8" t="str" cm="1">
        <f t="array" ref="J7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6" s="8" t="str" cm="1">
        <f t="array" ref="K7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ERROR::::ok_device_not_found_in_device_table</v>
      </c>
      <c r="L76" s="7" t="str">
        <f>tbl_interfaces[[#This Row],[derived_state]]</f>
        <v>ERROR::::ok_device_not_found_in_device_table</v>
      </c>
      <c r="M76" s="2" t="s">
        <v>106</v>
      </c>
      <c r="N76" s="6" t="s">
        <v>66</v>
      </c>
      <c r="O76" s="6"/>
      <c r="P76" s="6"/>
      <c r="Q76" s="7" t="str">
        <f>_xlfn.LET(_xlpm.raw,               tbl_interfaces[[#This Row],[device_handle_raw]],
     _xlpm.cleaned,           LOWER(SUBSTITUTE(CLEAN(TRIM(_xlpm.raw)), " ", "")),
     _xlpm.return,            _xlpm.cleaned,
     _xlpm.return)</f>
        <v>fw02</v>
      </c>
      <c r="R76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S7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fw02;mgmt</v>
      </c>
      <c r="T7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U76" s="7"/>
      <c r="V76" s="7"/>
      <c r="W7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X76" s="15"/>
      <c r="Y76" s="15"/>
      <c r="Z76" s="15"/>
      <c r="AA76" s="39"/>
      <c r="AB76" s="39"/>
      <c r="AC76" s="16" t="str">
        <f>"|"</f>
        <v>|</v>
      </c>
      <c r="AD76" s="7">
        <f>COUNTIFS(tbl_interfaces[manual_state], "active",
          tbl_interfaces[if_id], tbl_interfaces[[#This Row],[if_id]])</f>
        <v>1</v>
      </c>
      <c r="AE76" s="7">
        <f>COUNTIF(tbl_interfaces[if_id], tbl_interfaces[[#This Row],[if_id]])</f>
        <v>1</v>
      </c>
      <c r="AF76" s="4" t="str" cm="1">
        <f t="array" ref="AF7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</sheetData>
  <mergeCells count="1">
    <mergeCell ref="AD2:AE2"/>
  </mergeCells>
  <phoneticPr fontId="4" type="noConversion"/>
  <dataValidations count="1">
    <dataValidation type="list" allowBlank="1" showInputMessage="1" showErrorMessage="1" sqref="H4:H76" xr:uid="{D54171E1-769B-4A15-B99C-C33B18410C08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790D95-CEF0-4A48-B370-240FA5D8F7D7}">
          <x14:formula1>
            <xm:f>devices!$L$5:$L$1048576</xm:f>
          </x14:formula1>
          <xm:sqref>M4:M76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A180-6A00-4540-9B91-DA7B3990AFB6}">
  <dimension ref="C1:AD11"/>
  <sheetViews>
    <sheetView topLeftCell="L1" workbookViewId="0">
      <selection activeCell="O12" sqref="O12"/>
    </sheetView>
  </sheetViews>
  <sheetFormatPr defaultRowHeight="15" x14ac:dyDescent="0.25"/>
  <cols>
    <col min="1" max="2" width="9.140625" style="10"/>
    <col min="3" max="3" width="16.85546875" style="10" customWidth="1"/>
    <col min="4" max="5" width="14.5703125" style="10" customWidth="1"/>
    <col min="6" max="7" width="13.42578125" style="10" customWidth="1"/>
    <col min="8" max="8" width="16.85546875" style="10" customWidth="1"/>
    <col min="9" max="9" width="27.42578125" style="10" customWidth="1"/>
    <col min="10" max="11" width="30.5703125" style="10" customWidth="1"/>
    <col min="12" max="12" width="27.5703125" style="10" customWidth="1"/>
    <col min="13" max="13" width="29.5703125" style="10" customWidth="1"/>
    <col min="14" max="14" width="30.85546875" customWidth="1"/>
    <col min="15" max="15" width="21.5703125" style="10" customWidth="1"/>
    <col min="16" max="16" width="22.5703125" style="19" customWidth="1"/>
    <col min="17" max="17" width="9.140625" style="19"/>
    <col min="18" max="18" width="25.42578125" style="19" customWidth="1"/>
    <col min="19" max="19" width="19.28515625" style="19" customWidth="1"/>
    <col min="20" max="20" width="17" style="19" customWidth="1"/>
    <col min="21" max="21" width="17.5703125" style="19" customWidth="1"/>
    <col min="22" max="22" width="18.7109375" style="19" customWidth="1"/>
    <col min="23" max="25" width="9.140625" style="19"/>
    <col min="26" max="26" width="30" style="10" customWidth="1"/>
    <col min="27" max="27" width="19.85546875" style="10" customWidth="1"/>
    <col min="28" max="28" width="25" style="10" customWidth="1"/>
    <col min="29" max="29" width="27.42578125" style="10" customWidth="1"/>
    <col min="30" max="30" width="17.140625" style="10" customWidth="1"/>
    <col min="31" max="16384" width="9.140625" style="10"/>
  </cols>
  <sheetData>
    <row r="1" spans="3:30" x14ac:dyDescent="0.25">
      <c r="N1" s="10"/>
      <c r="O1" s="19"/>
      <c r="Y1" s="10"/>
    </row>
    <row r="2" spans="3:30" x14ac:dyDescent="0.25">
      <c r="N2" s="10"/>
      <c r="O2" s="19"/>
      <c r="Y2" s="10"/>
    </row>
    <row r="3" spans="3:30" x14ac:dyDescent="0.25">
      <c r="C3" s="10" t="s">
        <v>1</v>
      </c>
      <c r="D3" s="10" t="s">
        <v>2</v>
      </c>
      <c r="E3" s="10" t="s">
        <v>145</v>
      </c>
      <c r="F3" s="10" t="s">
        <v>3</v>
      </c>
      <c r="G3" s="10" t="s">
        <v>59</v>
      </c>
      <c r="H3" s="10" t="s">
        <v>4</v>
      </c>
      <c r="I3" s="10" t="s">
        <v>38</v>
      </c>
      <c r="J3" s="10" t="s">
        <v>39</v>
      </c>
      <c r="K3" s="10" t="s">
        <v>100</v>
      </c>
      <c r="L3" s="10" t="s">
        <v>5</v>
      </c>
      <c r="M3" s="10" t="s">
        <v>40</v>
      </c>
      <c r="N3" s="10" t="s">
        <v>6</v>
      </c>
      <c r="O3" s="19" t="s">
        <v>41</v>
      </c>
      <c r="P3" s="19" t="s">
        <v>42</v>
      </c>
      <c r="Q3" s="19" t="s">
        <v>43</v>
      </c>
      <c r="R3" s="19" t="s">
        <v>44</v>
      </c>
      <c r="S3" s="19" t="s">
        <v>45</v>
      </c>
      <c r="T3" s="19" t="s">
        <v>46</v>
      </c>
      <c r="U3" s="19" t="s">
        <v>47</v>
      </c>
      <c r="V3" s="19" t="s">
        <v>48</v>
      </c>
      <c r="W3" s="19" t="s">
        <v>49</v>
      </c>
      <c r="X3" s="19" t="s">
        <v>50</v>
      </c>
      <c r="Y3" s="10" t="s">
        <v>34</v>
      </c>
      <c r="Z3" s="10" t="s">
        <v>129</v>
      </c>
      <c r="AA3" s="10" t="s">
        <v>133</v>
      </c>
      <c r="AB3" s="10" t="s">
        <v>130</v>
      </c>
      <c r="AC3" s="10" t="s">
        <v>131</v>
      </c>
      <c r="AD3" s="10" t="s">
        <v>134</v>
      </c>
    </row>
    <row r="4" spans="3:30" x14ac:dyDescent="0.25">
      <c r="C4" s="11">
        <v>1</v>
      </c>
      <c r="D4" s="12" cm="1">
        <f t="array" ref="D4">ROW()-ROW(tbl_paths[#Headers])</f>
        <v>1</v>
      </c>
      <c r="E4" s="31"/>
      <c r="F4" s="13"/>
      <c r="G4" s="13"/>
      <c r="H4" s="11" t="str">
        <f t="shared" ref="H4:H11" si="0">"active"</f>
        <v>active</v>
      </c>
      <c r="I4" s="12" t="str" cm="1">
        <f t="array" ref="I4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4" s="12" t="str" cm="1">
        <f t="array" ref="J4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4" s="12" t="str" cm="1">
        <f t="array" ref="K4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4" s="12" t="str" cm="1">
        <f t="array" ref="L4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4" s="12" t="str" cm="1">
        <f t="array" ref="M4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deprecated</v>
      </c>
      <c r="N4" s="12" t="str" cm="1">
        <f t="array" ref="N4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deprecated</v>
      </c>
      <c r="O4" s="19" t="s">
        <v>84</v>
      </c>
      <c r="P4" s="19" t="s">
        <v>85</v>
      </c>
      <c r="Y4" s="25" t="str">
        <f t="shared" ref="Y4:Y11" si="1">"|"</f>
        <v>|</v>
      </c>
      <c r="Z4" s="12" t="str" cm="1">
        <f t="array" aca="1" ref="Z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srv01;idrac</v>
      </c>
      <c r="AA4" s="12" t="str" cm="1">
        <f t="array" aca="1" ref="AA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mgmtsw01;01</v>
      </c>
      <c r="AB4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4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4" s="12" cm="1">
        <f t="array" aca="1" ref="AD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5" spans="3:30" x14ac:dyDescent="0.25">
      <c r="C5" s="11">
        <v>2</v>
      </c>
      <c r="D5" s="12" cm="1">
        <f t="array" ref="D5">ROW()-ROW(tbl_paths[#Headers])</f>
        <v>2</v>
      </c>
      <c r="E5" s="31"/>
      <c r="F5" s="13"/>
      <c r="G5" s="13"/>
      <c r="H5" s="11" t="str">
        <f t="shared" si="0"/>
        <v>active</v>
      </c>
      <c r="I5" s="12" t="str" cm="1">
        <f t="array" ref="I5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5" s="12" t="str" cm="1">
        <f t="array" ref="J5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5" s="12" t="str" cm="1">
        <f t="array" ref="K5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5" s="12" t="str" cm="1">
        <f t="array" ref="L5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5" s="12" t="str" cm="1">
        <f t="array" ref="M5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5" s="12" t="str" cm="1">
        <f t="array" ref="N5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5" s="19" t="s">
        <v>86</v>
      </c>
      <c r="P5" s="19" t="s">
        <v>85</v>
      </c>
      <c r="R5" s="19" t="s">
        <v>87</v>
      </c>
      <c r="Y5" s="25" t="str">
        <f t="shared" si="1"/>
        <v>|</v>
      </c>
      <c r="Z5" s="12" t="str" cm="1">
        <f t="array" aca="1" ref="Z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srv01;ob/1</v>
      </c>
      <c r="AA5" s="12" t="str" cm="1">
        <f t="array" aca="1" ref="AA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leaf01;01</v>
      </c>
      <c r="AB5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5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leaf01</v>
      </c>
      <c r="AD5" s="12" cm="1">
        <f t="array" aca="1" ref="AD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3</v>
      </c>
    </row>
    <row r="6" spans="3:30" x14ac:dyDescent="0.25">
      <c r="C6" s="11">
        <v>3</v>
      </c>
      <c r="D6" s="12" cm="1">
        <f t="array" ref="D6">ROW()-ROW(tbl_paths[#Headers])</f>
        <v>3</v>
      </c>
      <c r="E6" s="31"/>
      <c r="F6" s="13"/>
      <c r="G6" s="13"/>
      <c r="H6" s="11" t="str">
        <f t="shared" si="0"/>
        <v>active</v>
      </c>
      <c r="I6" s="12" t="str" cm="1">
        <f t="array" ref="I6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6" s="12" t="str" cm="1">
        <f t="array" ref="J6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6" s="12" t="str" cm="1">
        <f t="array" ref="K6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6" s="12" t="str" cm="1">
        <f t="array" ref="L6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6" s="12" t="str" cm="1">
        <f t="array" ref="M6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6" s="12" t="str" cm="1">
        <f t="array" ref="N6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6" s="19" t="s">
        <v>88</v>
      </c>
      <c r="U6" s="19" t="s">
        <v>89</v>
      </c>
      <c r="Y6" s="25" t="str">
        <f t="shared" si="1"/>
        <v>|</v>
      </c>
      <c r="Z6" s="12" t="str" cm="1">
        <f t="array" aca="1" ref="Z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srv01;ob/2</v>
      </c>
      <c r="AA6" s="12" t="str" cm="1">
        <f t="array" aca="1" ref="AA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leaf01;02</v>
      </c>
      <c r="AB6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6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leaf01</v>
      </c>
      <c r="AD6" s="12" cm="1">
        <f t="array" aca="1" ref="AD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7" spans="3:30" x14ac:dyDescent="0.25">
      <c r="C7" s="11">
        <v>4</v>
      </c>
      <c r="D7" s="12" cm="1">
        <f t="array" ref="D7">ROW()-ROW(tbl_paths[#Headers])</f>
        <v>4</v>
      </c>
      <c r="E7" s="31"/>
      <c r="F7" s="13"/>
      <c r="G7" s="13"/>
      <c r="H7" s="11" t="str">
        <f t="shared" si="0"/>
        <v>active</v>
      </c>
      <c r="I7" s="12" t="str" cm="1">
        <f t="array" ref="I7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7" s="12" t="str" cm="1">
        <f t="array" ref="J7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7" s="12" t="str" cm="1">
        <f t="array" ref="K7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7" s="12" t="str" cm="1">
        <f t="array" ref="L7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7" s="12" t="str" cm="1">
        <f t="array" ref="M7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7" s="12" t="str" cm="1">
        <f t="array" ref="N7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7" s="19" t="s">
        <v>90</v>
      </c>
      <c r="T7" s="19" t="s">
        <v>91</v>
      </c>
      <c r="Y7" s="25" t="str">
        <f t="shared" si="1"/>
        <v>|</v>
      </c>
      <c r="Z7" s="12" t="str" cm="1">
        <f t="array" aca="1" ref="Z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srv02;idrac</v>
      </c>
      <c r="AA7" s="12" t="str" cm="1">
        <f t="array" aca="1" ref="AA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mgmtsw01;02</v>
      </c>
      <c r="AB7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srv02</v>
      </c>
      <c r="AC7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7" s="12" cm="1">
        <f t="array" aca="1" ref="AD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8" spans="3:30" x14ac:dyDescent="0.25">
      <c r="C8" s="11">
        <v>5</v>
      </c>
      <c r="D8" s="12" cm="1">
        <f t="array" ref="D8">ROW()-ROW(tbl_paths[#Headers])</f>
        <v>5</v>
      </c>
      <c r="E8" s="31"/>
      <c r="F8" s="13"/>
      <c r="G8" s="13"/>
      <c r="H8" s="11" t="str">
        <f t="shared" si="0"/>
        <v>active</v>
      </c>
      <c r="I8" s="12" t="str" cm="1">
        <f t="array" ref="I8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8" s="12" t="str" cm="1">
        <f t="array" ref="J8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8" s="12" t="str" cm="1">
        <f t="array" ref="K8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8" s="12" t="str" cm="1">
        <f t="array" ref="L8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8" s="12" t="str" cm="1">
        <f t="array" ref="M8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8" s="12" t="str" cm="1">
        <f t="array" ref="N8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8" s="19" t="s">
        <v>92</v>
      </c>
      <c r="R8" s="19" t="s">
        <v>132</v>
      </c>
      <c r="S8" s="19" t="s">
        <v>135</v>
      </c>
      <c r="V8" s="19" t="s">
        <v>93</v>
      </c>
      <c r="Y8" s="25" t="str">
        <f t="shared" si="1"/>
        <v>|</v>
      </c>
      <c r="Z8" s="12" t="str" cm="1">
        <f t="array" aca="1" ref="Z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leaf01;07</v>
      </c>
      <c r="AA8" s="12" t="str" cm="1">
        <f t="array" aca="1" ref="AA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spine01;01</v>
      </c>
      <c r="AB8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8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spine01</v>
      </c>
      <c r="AD8" s="12" cm="1">
        <f t="array" aca="1" ref="AD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4</v>
      </c>
    </row>
    <row r="9" spans="3:30" x14ac:dyDescent="0.25">
      <c r="C9" s="11">
        <v>6</v>
      </c>
      <c r="D9" s="12" cm="1">
        <f t="array" ref="D9">ROW()-ROW(tbl_paths[#Headers])</f>
        <v>6</v>
      </c>
      <c r="E9" s="31"/>
      <c r="F9" s="13"/>
      <c r="G9" s="13"/>
      <c r="H9" s="11" t="s">
        <v>14</v>
      </c>
      <c r="I9" s="12" t="str" cm="1">
        <f t="array" ref="I9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9" s="12" t="str" cm="1">
        <f t="array" ref="J9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9" s="12" t="str" cm="1">
        <f t="array" ref="K9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9" s="12" t="str" cm="1">
        <f t="array" ref="L9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9" s="12" t="str" cm="1">
        <f t="array" ref="M9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9" s="12" t="str" cm="1">
        <f t="array" ref="N9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9" s="19" t="s">
        <v>94</v>
      </c>
      <c r="V9" s="19" t="s">
        <v>95</v>
      </c>
      <c r="Y9" s="25" t="str">
        <f t="shared" si="1"/>
        <v>|</v>
      </c>
      <c r="Z9" s="12" t="str" cm="1">
        <f t="array" aca="1" ref="Z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leaf01;08</v>
      </c>
      <c r="AA9" s="12" t="str" cm="1">
        <f t="array" aca="1" ref="AA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spine02;01</v>
      </c>
      <c r="AB9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9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spine02</v>
      </c>
      <c r="AD9" s="12" cm="1">
        <f t="array" aca="1" ref="AD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10" spans="3:30" x14ac:dyDescent="0.25">
      <c r="C10" s="11">
        <v>7</v>
      </c>
      <c r="D10" s="12" cm="1">
        <f t="array" ref="D10">ROW()-ROW(tbl_paths[#Headers])</f>
        <v>7</v>
      </c>
      <c r="E10" s="31"/>
      <c r="F10" s="13"/>
      <c r="G10" s="13"/>
      <c r="H10" s="11" t="str">
        <f t="shared" si="0"/>
        <v>active</v>
      </c>
      <c r="I10" s="12" t="str" cm="1">
        <f t="array" ref="I10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0" s="12" t="str" cm="1">
        <f t="array" ref="J10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10" s="12" t="str" cm="1">
        <f t="array" ref="K10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10" s="12" t="str" cm="1">
        <f t="array" ref="L10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10" s="12" t="str" cm="1">
        <f t="array" ref="M10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10" s="12" t="str" cm="1">
        <f t="array" ref="N10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10" s="19" t="s">
        <v>96</v>
      </c>
      <c r="S10" s="19" t="s">
        <v>97</v>
      </c>
      <c r="Y10" s="25" t="str">
        <f t="shared" si="1"/>
        <v>|</v>
      </c>
      <c r="Z10" s="12" t="str" cm="1">
        <f t="array" aca="1" ref="Z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leaf01;mgmt</v>
      </c>
      <c r="AA10" s="12" t="str" cm="1">
        <f t="array" aca="1" ref="AA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mgmtsw01;07</v>
      </c>
      <c r="AB10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10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10" s="12" cm="1">
        <f t="array" aca="1" ref="AD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11" spans="3:30" x14ac:dyDescent="0.25">
      <c r="C11" s="11">
        <v>8</v>
      </c>
      <c r="D11" s="12" cm="1">
        <f t="array" ref="D11">ROW()-ROW(tbl_paths[#Headers])</f>
        <v>8</v>
      </c>
      <c r="E11" s="31"/>
      <c r="F11" s="13"/>
      <c r="G11" s="13"/>
      <c r="H11" s="11" t="str">
        <f t="shared" si="0"/>
        <v>active</v>
      </c>
      <c r="I11" s="12" t="str" cm="1">
        <f t="array" ref="I11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1" s="12" t="str" cm="1">
        <f t="array" ref="J11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11" s="12" t="str" cm="1">
        <f t="array" ref="K1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11" s="12" t="str" cm="1">
        <f t="array" ref="L1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11" s="12" t="str" cm="1">
        <f t="array" ref="M11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11" s="12" t="str" cm="1">
        <f t="array" ref="N1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11" s="19" t="s">
        <v>99</v>
      </c>
      <c r="Q11" s="19" t="s">
        <v>141</v>
      </c>
      <c r="S11" s="19" t="s">
        <v>98</v>
      </c>
      <c r="Y11" s="25" t="str">
        <f t="shared" si="1"/>
        <v>|</v>
      </c>
      <c r="Z11" s="12" t="str" cm="1">
        <f t="array" aca="1" ref="Z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leaf01;04</v>
      </c>
      <c r="AA11" s="12" t="str" cm="1">
        <f t="array" aca="1" ref="AA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srv02;pcie_1/1</v>
      </c>
      <c r="AB11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11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srv02</v>
      </c>
      <c r="AD11" s="12" cm="1">
        <f t="array" aca="1" ref="AD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3</v>
      </c>
    </row>
  </sheetData>
  <dataValidations count="1">
    <dataValidation type="list" allowBlank="1" showInputMessage="1" showErrorMessage="1" sqref="H4:H11" xr:uid="{132A9181-0EC2-4E19-B201-AFD2D9B7B8CD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048115-F399-4E39-BD8D-B843BACB2AB0}">
          <x14:formula1>
            <xm:f>interfaces!$S$4:$S$1048576</xm:f>
          </x14:formula1>
          <xm:sqref>O4:X8 O9 Q9:X9 O10:X10 O11:T11 V11:X11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EB77-D4ED-424C-ABF4-160E4511CC75}">
  <dimension ref="C1:L53"/>
  <sheetViews>
    <sheetView topLeftCell="A3" workbookViewId="0">
      <selection activeCell="E5" sqref="E5"/>
    </sheetView>
  </sheetViews>
  <sheetFormatPr defaultRowHeight="15" x14ac:dyDescent="0.25"/>
  <cols>
    <col min="1" max="2" width="12.42578125" style="1" customWidth="1"/>
    <col min="3" max="4" width="9.140625" style="1"/>
    <col min="5" max="5" width="31.140625" style="1" customWidth="1"/>
    <col min="6" max="7" width="31" style="1" customWidth="1"/>
    <col min="8" max="8" width="29.42578125" style="1" customWidth="1"/>
    <col min="9" max="10" width="9.140625" style="1"/>
    <col min="11" max="11" width="25.85546875" style="41" customWidth="1"/>
    <col min="12" max="12" width="18.5703125" style="42" customWidth="1"/>
    <col min="13" max="16384" width="9.140625" style="1"/>
  </cols>
  <sheetData>
    <row r="1" spans="3:12" x14ac:dyDescent="0.25">
      <c r="K1" s="14"/>
      <c r="L1" s="1"/>
    </row>
    <row r="2" spans="3:12" x14ac:dyDescent="0.25">
      <c r="K2" s="14"/>
      <c r="L2" s="1"/>
    </row>
    <row r="3" spans="3:12" ht="30" x14ac:dyDescent="0.25">
      <c r="C3" s="1" t="s">
        <v>1</v>
      </c>
      <c r="D3" s="1" t="s">
        <v>2</v>
      </c>
      <c r="E3" s="1" t="s">
        <v>153</v>
      </c>
      <c r="F3" s="1" t="s">
        <v>154</v>
      </c>
      <c r="G3" s="1" t="s">
        <v>25</v>
      </c>
      <c r="H3" s="1" t="s">
        <v>166</v>
      </c>
      <c r="K3" s="43" t="s">
        <v>202</v>
      </c>
      <c r="L3" s="44" t="s">
        <v>203</v>
      </c>
    </row>
    <row r="4" spans="3:12" x14ac:dyDescent="0.25">
      <c r="C4" s="1">
        <v>1</v>
      </c>
      <c r="D4" s="47" cm="1">
        <f t="array" ref="D4">ROW() - ROW(tbl_port_template[#Headers])</f>
        <v>1</v>
      </c>
      <c r="E4" s="1">
        <v>-1</v>
      </c>
      <c r="F4" s="1" t="s">
        <v>213</v>
      </c>
      <c r="G4" s="47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missing_template_name</v>
      </c>
      <c r="H4" s="47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missing_template_name</v>
      </c>
      <c r="K4" s="41" cm="1">
        <f t="array" ref="K4:K9">_xlfn._xlws.SORT(_xlfn.UNIQUE(tbl_port_template[port_template_name]))</f>
        <v>-1</v>
      </c>
      <c r="L4" s="42" cm="1">
        <f t="array" ref="L4:L9">COUNTIFS(tbl_port_template[port_template_name],_xlfn.ANCHORARRAY( K4))</f>
        <v>1</v>
      </c>
    </row>
    <row r="5" spans="3:12" x14ac:dyDescent="0.25">
      <c r="C5" s="1">
        <v>2</v>
      </c>
      <c r="D5" s="1" cm="1">
        <f t="array" ref="D5">ROW() - ROW(tbl_port_template[#Headers])</f>
        <v>2</v>
      </c>
      <c r="E5" s="1" t="s">
        <v>171</v>
      </c>
      <c r="F5" s="40" t="s">
        <v>61</v>
      </c>
      <c r="G5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01</v>
      </c>
      <c r="H5" s="1" t="s">
        <v>199</v>
      </c>
      <c r="K5" s="41" t="str">
        <v>fw/v01</v>
      </c>
      <c r="L5" s="42">
        <v>7</v>
      </c>
    </row>
    <row r="6" spans="3:12" x14ac:dyDescent="0.25">
      <c r="C6" s="1">
        <v>3</v>
      </c>
      <c r="D6" s="1" cm="1">
        <f t="array" ref="D6">ROW() - ROW(tbl_port_template[#Headers])</f>
        <v>3</v>
      </c>
      <c r="E6" s="1" t="s">
        <v>171</v>
      </c>
      <c r="F6" s="40" t="s">
        <v>67</v>
      </c>
      <c r="G6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02</v>
      </c>
      <c r="H6" s="1" t="s">
        <v>199</v>
      </c>
      <c r="K6" s="41" t="str">
        <v>network_leaf/v01</v>
      </c>
      <c r="L6" s="42">
        <v>12</v>
      </c>
    </row>
    <row r="7" spans="3:12" x14ac:dyDescent="0.25">
      <c r="C7" s="1">
        <v>4</v>
      </c>
      <c r="D7" s="1" cm="1">
        <f t="array" ref="D7">ROW() - ROW(tbl_port_template[#Headers])</f>
        <v>4</v>
      </c>
      <c r="E7" s="1" t="s">
        <v>171</v>
      </c>
      <c r="F7" s="40" t="s">
        <v>68</v>
      </c>
      <c r="G7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03</v>
      </c>
      <c r="H7" s="1" t="s">
        <v>199</v>
      </c>
      <c r="K7" s="41" t="str">
        <v>network_spine/v01</v>
      </c>
      <c r="L7" s="42">
        <v>10</v>
      </c>
    </row>
    <row r="8" spans="3:12" x14ac:dyDescent="0.25">
      <c r="C8" s="1">
        <v>5</v>
      </c>
      <c r="D8" s="1" cm="1">
        <f t="array" ref="D8">ROW() - ROW(tbl_port_template[#Headers])</f>
        <v>5</v>
      </c>
      <c r="E8" s="1" t="s">
        <v>171</v>
      </c>
      <c r="F8" s="40" t="s">
        <v>69</v>
      </c>
      <c r="G8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04</v>
      </c>
      <c r="H8" s="1" t="s">
        <v>199</v>
      </c>
      <c r="K8" s="41" t="str">
        <v>rtr/v01</v>
      </c>
      <c r="L8" s="42">
        <v>7</v>
      </c>
    </row>
    <row r="9" spans="3:12" x14ac:dyDescent="0.25">
      <c r="C9" s="1">
        <v>6</v>
      </c>
      <c r="D9" s="1" cm="1">
        <f t="array" ref="D9">ROW() - ROW(tbl_port_template[#Headers])</f>
        <v>6</v>
      </c>
      <c r="E9" s="1" t="s">
        <v>171</v>
      </c>
      <c r="F9" s="40" t="s">
        <v>70</v>
      </c>
      <c r="G9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05</v>
      </c>
      <c r="H9" s="1" t="s">
        <v>199</v>
      </c>
      <c r="K9" s="41" t="str">
        <v>srv/v01</v>
      </c>
      <c r="L9" s="42">
        <v>13</v>
      </c>
    </row>
    <row r="10" spans="3:12" x14ac:dyDescent="0.25">
      <c r="C10" s="1">
        <v>7</v>
      </c>
      <c r="D10" s="1" cm="1">
        <f t="array" ref="D10">ROW() - ROW(tbl_port_template[#Headers])</f>
        <v>7</v>
      </c>
      <c r="E10" s="1" t="s">
        <v>171</v>
      </c>
      <c r="F10" s="40" t="s">
        <v>71</v>
      </c>
      <c r="G10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06</v>
      </c>
      <c r="H10" s="1" t="s">
        <v>199</v>
      </c>
    </row>
    <row r="11" spans="3:12" x14ac:dyDescent="0.25">
      <c r="C11" s="1">
        <v>8</v>
      </c>
      <c r="D11" s="1" cm="1">
        <f t="array" ref="D11">ROW() - ROW(tbl_port_template[#Headers])</f>
        <v>8</v>
      </c>
      <c r="E11" s="1" t="s">
        <v>171</v>
      </c>
      <c r="F11" s="40" t="s">
        <v>72</v>
      </c>
      <c r="G11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07</v>
      </c>
      <c r="H11" s="1" t="s">
        <v>199</v>
      </c>
    </row>
    <row r="12" spans="3:12" x14ac:dyDescent="0.25">
      <c r="C12" s="1">
        <v>9</v>
      </c>
      <c r="D12" s="1" cm="1">
        <f t="array" ref="D12">ROW() - ROW(tbl_port_template[#Headers])</f>
        <v>9</v>
      </c>
      <c r="E12" s="1" t="s">
        <v>171</v>
      </c>
      <c r="F12" s="40" t="s">
        <v>73</v>
      </c>
      <c r="G12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08</v>
      </c>
      <c r="H12" s="1" t="s">
        <v>199</v>
      </c>
    </row>
    <row r="13" spans="3:12" x14ac:dyDescent="0.25">
      <c r="C13" s="1">
        <v>10</v>
      </c>
      <c r="D13" s="1" cm="1">
        <f t="array" ref="D13">ROW() - ROW(tbl_port_template[#Headers])</f>
        <v>10</v>
      </c>
      <c r="E13" s="1" t="s">
        <v>171</v>
      </c>
      <c r="F13" s="40" t="s">
        <v>182</v>
      </c>
      <c r="G13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09</v>
      </c>
      <c r="H13" s="1" t="s">
        <v>199</v>
      </c>
    </row>
    <row r="14" spans="3:12" x14ac:dyDescent="0.25">
      <c r="C14" s="1">
        <v>11</v>
      </c>
      <c r="D14" s="1" cm="1">
        <f t="array" ref="D14">ROW() - ROW(tbl_port_template[#Headers])</f>
        <v>11</v>
      </c>
      <c r="E14" s="1" t="s">
        <v>171</v>
      </c>
      <c r="F14" s="40" t="s">
        <v>50</v>
      </c>
      <c r="G14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10</v>
      </c>
      <c r="H14" s="1" t="s">
        <v>199</v>
      </c>
    </row>
    <row r="15" spans="3:12" x14ac:dyDescent="0.25">
      <c r="C15" s="1">
        <v>12</v>
      </c>
      <c r="D15" s="1" cm="1">
        <f t="array" ref="D15">ROW() - ROW(tbl_port_template[#Headers])</f>
        <v>12</v>
      </c>
      <c r="E15" s="1" t="s">
        <v>171</v>
      </c>
      <c r="F15" s="1" t="s">
        <v>66</v>
      </c>
      <c r="G15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mgmt</v>
      </c>
      <c r="H15" s="1" t="s">
        <v>200</v>
      </c>
    </row>
    <row r="16" spans="3:12" x14ac:dyDescent="0.25">
      <c r="C16" s="1">
        <v>13</v>
      </c>
      <c r="D16" s="1" cm="1">
        <f t="array" ref="D16">ROW() - ROW(tbl_port_template[#Headers])</f>
        <v>13</v>
      </c>
      <c r="E16" s="1" t="s">
        <v>171</v>
      </c>
      <c r="F16" s="1" t="s">
        <v>37</v>
      </c>
      <c r="G16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console</v>
      </c>
      <c r="H16" s="1" t="s">
        <v>200</v>
      </c>
    </row>
    <row r="17" spans="3:8" x14ac:dyDescent="0.25">
      <c r="C17" s="1">
        <v>14</v>
      </c>
      <c r="D17" s="1" cm="1">
        <f t="array" ref="D17">ROW() - ROW(tbl_port_template[#Headers])</f>
        <v>14</v>
      </c>
      <c r="E17" s="1" t="s">
        <v>172</v>
      </c>
      <c r="F17" s="40" t="s">
        <v>61</v>
      </c>
      <c r="G17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01</v>
      </c>
      <c r="H17" s="1" t="s">
        <v>199</v>
      </c>
    </row>
    <row r="18" spans="3:8" x14ac:dyDescent="0.25">
      <c r="C18" s="1">
        <v>15</v>
      </c>
      <c r="D18" s="1" cm="1">
        <f t="array" ref="D18">ROW() - ROW(tbl_port_template[#Headers])</f>
        <v>15</v>
      </c>
      <c r="E18" s="1" t="s">
        <v>172</v>
      </c>
      <c r="F18" s="40" t="s">
        <v>67</v>
      </c>
      <c r="G18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02</v>
      </c>
      <c r="H18" s="1" t="s">
        <v>199</v>
      </c>
    </row>
    <row r="19" spans="3:8" x14ac:dyDescent="0.25">
      <c r="C19" s="1">
        <v>16</v>
      </c>
      <c r="D19" s="1" cm="1">
        <f t="array" ref="D19">ROW() - ROW(tbl_port_template[#Headers])</f>
        <v>16</v>
      </c>
      <c r="E19" s="1" t="s">
        <v>172</v>
      </c>
      <c r="F19" s="40" t="s">
        <v>68</v>
      </c>
      <c r="G19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03</v>
      </c>
      <c r="H19" s="1" t="s">
        <v>199</v>
      </c>
    </row>
    <row r="20" spans="3:8" x14ac:dyDescent="0.25">
      <c r="C20" s="1">
        <v>17</v>
      </c>
      <c r="D20" s="1" cm="1">
        <f t="array" ref="D20">ROW() - ROW(tbl_port_template[#Headers])</f>
        <v>17</v>
      </c>
      <c r="E20" s="1" t="s">
        <v>172</v>
      </c>
      <c r="F20" s="40" t="s">
        <v>69</v>
      </c>
      <c r="G20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04</v>
      </c>
      <c r="H20" s="1" t="s">
        <v>199</v>
      </c>
    </row>
    <row r="21" spans="3:8" x14ac:dyDescent="0.25">
      <c r="C21" s="1">
        <v>18</v>
      </c>
      <c r="D21" s="1" cm="1">
        <f t="array" ref="D21">ROW() - ROW(tbl_port_template[#Headers])</f>
        <v>18</v>
      </c>
      <c r="E21" s="1" t="s">
        <v>172</v>
      </c>
      <c r="F21" s="40" t="s">
        <v>70</v>
      </c>
      <c r="G21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05</v>
      </c>
      <c r="H21" s="1" t="s">
        <v>199</v>
      </c>
    </row>
    <row r="22" spans="3:8" x14ac:dyDescent="0.25">
      <c r="C22" s="1">
        <v>19</v>
      </c>
      <c r="D22" s="1" cm="1">
        <f t="array" ref="D22">ROW() - ROW(tbl_port_template[#Headers])</f>
        <v>19</v>
      </c>
      <c r="E22" s="1" t="s">
        <v>172</v>
      </c>
      <c r="F22" s="40" t="s">
        <v>71</v>
      </c>
      <c r="G22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06</v>
      </c>
      <c r="H22" s="1" t="s">
        <v>199</v>
      </c>
    </row>
    <row r="23" spans="3:8" x14ac:dyDescent="0.25">
      <c r="C23" s="1">
        <v>20</v>
      </c>
      <c r="D23" s="1" cm="1">
        <f t="array" ref="D23">ROW() - ROW(tbl_port_template[#Headers])</f>
        <v>20</v>
      </c>
      <c r="E23" s="1" t="s">
        <v>172</v>
      </c>
      <c r="F23" s="40" t="s">
        <v>72</v>
      </c>
      <c r="G23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07</v>
      </c>
      <c r="H23" s="1" t="s">
        <v>199</v>
      </c>
    </row>
    <row r="24" spans="3:8" x14ac:dyDescent="0.25">
      <c r="C24" s="1">
        <v>21</v>
      </c>
      <c r="D24" s="1" cm="1">
        <f t="array" ref="D24">ROW() - ROW(tbl_port_template[#Headers])</f>
        <v>21</v>
      </c>
      <c r="E24" s="1" t="s">
        <v>172</v>
      </c>
      <c r="F24" s="40" t="s">
        <v>73</v>
      </c>
      <c r="G24" s="40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08</v>
      </c>
      <c r="H24" s="1" t="s">
        <v>199</v>
      </c>
    </row>
    <row r="25" spans="3:8" x14ac:dyDescent="0.25">
      <c r="C25" s="1">
        <v>22</v>
      </c>
      <c r="D25" s="1" cm="1">
        <f t="array" ref="D25">ROW() - ROW(tbl_port_template[#Headers])</f>
        <v>22</v>
      </c>
      <c r="E25" s="1" t="s">
        <v>172</v>
      </c>
      <c r="F25" s="1" t="s">
        <v>66</v>
      </c>
      <c r="G25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mgmt</v>
      </c>
      <c r="H25" s="1" t="s">
        <v>200</v>
      </c>
    </row>
    <row r="26" spans="3:8" x14ac:dyDescent="0.25">
      <c r="C26" s="1">
        <v>23</v>
      </c>
      <c r="D26" s="1" cm="1">
        <f t="array" ref="D26">ROW() - ROW(tbl_port_template[#Headers])</f>
        <v>23</v>
      </c>
      <c r="E26" s="1" t="s">
        <v>172</v>
      </c>
      <c r="F26" s="1" t="s">
        <v>37</v>
      </c>
      <c r="G26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console</v>
      </c>
      <c r="H26" s="1" t="s">
        <v>200</v>
      </c>
    </row>
    <row r="27" spans="3:8" x14ac:dyDescent="0.25">
      <c r="C27" s="1">
        <v>24</v>
      </c>
      <c r="D27" s="1" cm="1">
        <f t="array" ref="D27">ROW() - ROW(tbl_port_template[#Headers])</f>
        <v>24</v>
      </c>
      <c r="E27" s="1" t="s">
        <v>174</v>
      </c>
      <c r="F27" s="1" t="s">
        <v>183</v>
      </c>
      <c r="G27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g/0/0/0</v>
      </c>
      <c r="H27" s="1" t="s">
        <v>201</v>
      </c>
    </row>
    <row r="28" spans="3:8" x14ac:dyDescent="0.25">
      <c r="C28" s="1">
        <v>25</v>
      </c>
      <c r="D28" s="1" cm="1">
        <f t="array" ref="D28">ROW() - ROW(tbl_port_template[#Headers])</f>
        <v>25</v>
      </c>
      <c r="E28" s="1" t="s">
        <v>174</v>
      </c>
      <c r="F28" s="1" t="s">
        <v>184</v>
      </c>
      <c r="G28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g/0/0/1</v>
      </c>
      <c r="H28" s="1" t="s">
        <v>201</v>
      </c>
    </row>
    <row r="29" spans="3:8" x14ac:dyDescent="0.25">
      <c r="C29" s="1">
        <v>26</v>
      </c>
      <c r="D29" s="1" cm="1">
        <f t="array" ref="D29">ROW() - ROW(tbl_port_template[#Headers])</f>
        <v>26</v>
      </c>
      <c r="E29" s="1" t="s">
        <v>174</v>
      </c>
      <c r="F29" s="1" t="s">
        <v>186</v>
      </c>
      <c r="G29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g/0/0/2</v>
      </c>
      <c r="H29" s="1" t="s">
        <v>201</v>
      </c>
    </row>
    <row r="30" spans="3:8" x14ac:dyDescent="0.25">
      <c r="C30" s="1">
        <v>27</v>
      </c>
      <c r="D30" s="1" cm="1">
        <f t="array" ref="D30">ROW() - ROW(tbl_port_template[#Headers])</f>
        <v>27</v>
      </c>
      <c r="E30" s="1" t="s">
        <v>174</v>
      </c>
      <c r="F30" s="1" t="s">
        <v>185</v>
      </c>
      <c r="G30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g/0/0/3</v>
      </c>
      <c r="H30" s="1" t="s">
        <v>201</v>
      </c>
    </row>
    <row r="31" spans="3:8" x14ac:dyDescent="0.25">
      <c r="C31" s="1">
        <v>28</v>
      </c>
      <c r="D31" s="1" cm="1">
        <f t="array" ref="D31">ROW() - ROW(tbl_port_template[#Headers])</f>
        <v>28</v>
      </c>
      <c r="E31" s="1" t="s">
        <v>174</v>
      </c>
      <c r="F31" s="1" t="s">
        <v>66</v>
      </c>
      <c r="G31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mgmt</v>
      </c>
      <c r="H31" s="1" t="s">
        <v>200</v>
      </c>
    </row>
    <row r="32" spans="3:8" x14ac:dyDescent="0.25">
      <c r="C32" s="1">
        <v>29</v>
      </c>
      <c r="D32" s="1" cm="1">
        <f t="array" ref="D32">ROW() - ROW(tbl_port_template[#Headers])</f>
        <v>29</v>
      </c>
      <c r="E32" s="1" t="s">
        <v>174</v>
      </c>
      <c r="F32" s="1" t="s">
        <v>37</v>
      </c>
      <c r="G32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console</v>
      </c>
      <c r="H32" s="1" t="s">
        <v>200</v>
      </c>
    </row>
    <row r="33" spans="3:8" x14ac:dyDescent="0.25">
      <c r="C33" s="1">
        <v>30</v>
      </c>
      <c r="D33" s="1" cm="1">
        <f t="array" ref="D33">ROW() - ROW(tbl_port_template[#Headers])</f>
        <v>30</v>
      </c>
      <c r="E33" s="1" t="s">
        <v>174</v>
      </c>
      <c r="F33" s="1" t="s">
        <v>187</v>
      </c>
      <c r="G33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aux</v>
      </c>
      <c r="H33" s="1" t="s">
        <v>200</v>
      </c>
    </row>
    <row r="34" spans="3:8" x14ac:dyDescent="0.25">
      <c r="C34" s="1">
        <v>31</v>
      </c>
      <c r="D34" s="1" cm="1">
        <f t="array" ref="D34">ROW() - ROW(tbl_port_template[#Headers])</f>
        <v>31</v>
      </c>
      <c r="E34" s="1" t="s">
        <v>175</v>
      </c>
      <c r="F34" s="1" t="s">
        <v>188</v>
      </c>
      <c r="G34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inside_01</v>
      </c>
      <c r="H34" s="1" t="s">
        <v>201</v>
      </c>
    </row>
    <row r="35" spans="3:8" x14ac:dyDescent="0.25">
      <c r="C35" s="1">
        <v>32</v>
      </c>
      <c r="D35" s="1" cm="1">
        <f t="array" ref="D35">ROW() - ROW(tbl_port_template[#Headers])</f>
        <v>32</v>
      </c>
      <c r="E35" s="1" t="s">
        <v>175</v>
      </c>
      <c r="F35" s="1" t="s">
        <v>189</v>
      </c>
      <c r="G35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inside_02</v>
      </c>
      <c r="H35" s="1" t="s">
        <v>201</v>
      </c>
    </row>
    <row r="36" spans="3:8" x14ac:dyDescent="0.25">
      <c r="C36" s="1">
        <v>33</v>
      </c>
      <c r="D36" s="1" cm="1">
        <f t="array" ref="D36">ROW() - ROW(tbl_port_template[#Headers])</f>
        <v>33</v>
      </c>
      <c r="E36" s="1" t="s">
        <v>175</v>
      </c>
      <c r="F36" s="1" t="s">
        <v>190</v>
      </c>
      <c r="G36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outside_01</v>
      </c>
      <c r="H36" s="1" t="s">
        <v>201</v>
      </c>
    </row>
    <row r="37" spans="3:8" x14ac:dyDescent="0.25">
      <c r="C37" s="1">
        <v>34</v>
      </c>
      <c r="D37" s="1" cm="1">
        <f t="array" ref="D37">ROW() - ROW(tbl_port_template[#Headers])</f>
        <v>34</v>
      </c>
      <c r="E37" s="1" t="s">
        <v>175</v>
      </c>
      <c r="F37" s="1" t="s">
        <v>191</v>
      </c>
      <c r="G37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outside_02</v>
      </c>
      <c r="H37" s="1" t="s">
        <v>201</v>
      </c>
    </row>
    <row r="38" spans="3:8" x14ac:dyDescent="0.25">
      <c r="C38" s="1">
        <v>35</v>
      </c>
      <c r="D38" s="1" cm="1">
        <f t="array" ref="D38">ROW() - ROW(tbl_port_template[#Headers])</f>
        <v>35</v>
      </c>
      <c r="E38" s="1" t="s">
        <v>175</v>
      </c>
      <c r="F38" s="1" t="s">
        <v>66</v>
      </c>
      <c r="G38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mgmt</v>
      </c>
      <c r="H38" s="1" t="s">
        <v>200</v>
      </c>
    </row>
    <row r="39" spans="3:8" x14ac:dyDescent="0.25">
      <c r="C39" s="1">
        <v>36</v>
      </c>
      <c r="D39" s="1" cm="1">
        <f t="array" ref="D39">ROW() - ROW(tbl_port_template[#Headers])</f>
        <v>36</v>
      </c>
      <c r="E39" s="1" t="s">
        <v>175</v>
      </c>
      <c r="F39" s="1" t="s">
        <v>37</v>
      </c>
      <c r="G39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console</v>
      </c>
      <c r="H39" s="1" t="s">
        <v>200</v>
      </c>
    </row>
    <row r="40" spans="3:8" x14ac:dyDescent="0.25">
      <c r="C40" s="1">
        <v>37</v>
      </c>
      <c r="D40" s="1" cm="1">
        <f t="array" ref="D40">ROW() - ROW(tbl_port_template[#Headers])</f>
        <v>37</v>
      </c>
      <c r="E40" s="1" t="s">
        <v>175</v>
      </c>
      <c r="F40" s="1" t="s">
        <v>187</v>
      </c>
      <c r="G40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aux</v>
      </c>
      <c r="H40" s="1" t="s">
        <v>200</v>
      </c>
    </row>
    <row r="41" spans="3:8" x14ac:dyDescent="0.25">
      <c r="C41" s="1">
        <v>38</v>
      </c>
      <c r="D41" s="1" cm="1">
        <f t="array" ref="D41">ROW() - ROW(tbl_port_template[#Headers])</f>
        <v>38</v>
      </c>
      <c r="E41" s="1" t="s">
        <v>173</v>
      </c>
      <c r="F41" s="1" t="s">
        <v>62</v>
      </c>
      <c r="G41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ob/1</v>
      </c>
      <c r="H41" s="1" t="s">
        <v>201</v>
      </c>
    </row>
    <row r="42" spans="3:8" x14ac:dyDescent="0.25">
      <c r="C42" s="1">
        <v>39</v>
      </c>
      <c r="D42" s="1" cm="1">
        <f t="array" ref="D42">ROW() - ROW(tbl_port_template[#Headers])</f>
        <v>39</v>
      </c>
      <c r="E42" s="1" t="s">
        <v>173</v>
      </c>
      <c r="F42" s="1" t="s">
        <v>63</v>
      </c>
      <c r="G42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ob/2</v>
      </c>
      <c r="H42" s="1" t="s">
        <v>201</v>
      </c>
    </row>
    <row r="43" spans="3:8" x14ac:dyDescent="0.25">
      <c r="C43" s="1">
        <v>40</v>
      </c>
      <c r="D43" s="1" cm="1">
        <f t="array" ref="D43">ROW() - ROW(tbl_port_template[#Headers])</f>
        <v>40</v>
      </c>
      <c r="E43" s="1" t="s">
        <v>173</v>
      </c>
      <c r="F43" s="1" t="s">
        <v>192</v>
      </c>
      <c r="G43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ob/3</v>
      </c>
      <c r="H43" s="1" t="s">
        <v>201</v>
      </c>
    </row>
    <row r="44" spans="3:8" x14ac:dyDescent="0.25">
      <c r="C44" s="1">
        <v>41</v>
      </c>
      <c r="D44" s="1" cm="1">
        <f t="array" ref="D44">ROW() - ROW(tbl_port_template[#Headers])</f>
        <v>41</v>
      </c>
      <c r="E44" s="1" t="s">
        <v>173</v>
      </c>
      <c r="F44" s="1" t="s">
        <v>193</v>
      </c>
      <c r="G44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ob/4</v>
      </c>
      <c r="H44" s="1" t="s">
        <v>201</v>
      </c>
    </row>
    <row r="45" spans="3:8" x14ac:dyDescent="0.25">
      <c r="C45" s="1">
        <v>42</v>
      </c>
      <c r="D45" s="1" cm="1">
        <f t="array" ref="D45">ROW() - ROW(tbl_port_template[#Headers])</f>
        <v>42</v>
      </c>
      <c r="E45" s="1" t="s">
        <v>173</v>
      </c>
      <c r="F45" s="1" t="s">
        <v>65</v>
      </c>
      <c r="G45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pcie_1/1</v>
      </c>
      <c r="H45" s="1" t="s">
        <v>201</v>
      </c>
    </row>
    <row r="46" spans="3:8" x14ac:dyDescent="0.25">
      <c r="C46" s="1">
        <v>43</v>
      </c>
      <c r="D46" s="1" cm="1">
        <f t="array" ref="D46">ROW() - ROW(tbl_port_template[#Headers])</f>
        <v>43</v>
      </c>
      <c r="E46" s="1" t="s">
        <v>173</v>
      </c>
      <c r="F46" s="1" t="s">
        <v>64</v>
      </c>
      <c r="G46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pcie_1/2</v>
      </c>
      <c r="H46" s="1" t="s">
        <v>201</v>
      </c>
    </row>
    <row r="47" spans="3:8" x14ac:dyDescent="0.25">
      <c r="C47" s="1">
        <v>44</v>
      </c>
      <c r="D47" s="1" cm="1">
        <f t="array" ref="D47">ROW() - ROW(tbl_port_template[#Headers])</f>
        <v>44</v>
      </c>
      <c r="E47" s="1" t="s">
        <v>173</v>
      </c>
      <c r="F47" s="1" t="s">
        <v>194</v>
      </c>
      <c r="G47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pcie_2/2</v>
      </c>
      <c r="H47" s="1" t="s">
        <v>201</v>
      </c>
    </row>
    <row r="48" spans="3:8" x14ac:dyDescent="0.25">
      <c r="C48" s="1">
        <v>45</v>
      </c>
      <c r="D48" s="1" cm="1">
        <f t="array" ref="D48">ROW() - ROW(tbl_port_template[#Headers])</f>
        <v>45</v>
      </c>
      <c r="E48" s="1" t="s">
        <v>173</v>
      </c>
      <c r="F48" s="1" t="s">
        <v>194</v>
      </c>
      <c r="G48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pcie_2/2</v>
      </c>
      <c r="H48" s="1" t="s">
        <v>201</v>
      </c>
    </row>
    <row r="49" spans="3:8" x14ac:dyDescent="0.25">
      <c r="C49" s="1">
        <v>46</v>
      </c>
      <c r="D49" s="1" cm="1">
        <f t="array" ref="D49">ROW() - ROW(tbl_port_template[#Headers])</f>
        <v>46</v>
      </c>
      <c r="E49" s="1" t="s">
        <v>173</v>
      </c>
      <c r="F49" s="1" t="s">
        <v>195</v>
      </c>
      <c r="G49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pcie_3/1</v>
      </c>
      <c r="H49" s="1" t="s">
        <v>201</v>
      </c>
    </row>
    <row r="50" spans="3:8" x14ac:dyDescent="0.25">
      <c r="C50" s="1">
        <v>47</v>
      </c>
      <c r="D50" s="1" cm="1">
        <f t="array" ref="D50">ROW() - ROW(tbl_port_template[#Headers])</f>
        <v>47</v>
      </c>
      <c r="E50" s="1" t="s">
        <v>173</v>
      </c>
      <c r="F50" s="1" t="s">
        <v>196</v>
      </c>
      <c r="G50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pcie_3/2</v>
      </c>
      <c r="H50" s="1" t="s">
        <v>201</v>
      </c>
    </row>
    <row r="51" spans="3:8" x14ac:dyDescent="0.25">
      <c r="C51" s="1">
        <v>48</v>
      </c>
      <c r="D51" s="1" cm="1">
        <f t="array" ref="D51">ROW() - ROW(tbl_port_template[#Headers])</f>
        <v>48</v>
      </c>
      <c r="E51" s="1" t="s">
        <v>173</v>
      </c>
      <c r="F51" s="1" t="s">
        <v>197</v>
      </c>
      <c r="G51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pcie_4/1</v>
      </c>
      <c r="H51" s="1" t="s">
        <v>201</v>
      </c>
    </row>
    <row r="52" spans="3:8" x14ac:dyDescent="0.25">
      <c r="C52" s="1">
        <v>49</v>
      </c>
      <c r="D52" s="1" cm="1">
        <f t="array" ref="D52">ROW() - ROW(tbl_port_template[#Headers])</f>
        <v>49</v>
      </c>
      <c r="E52" s="1" t="s">
        <v>173</v>
      </c>
      <c r="F52" s="1" t="s">
        <v>198</v>
      </c>
      <c r="G52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pcie_4/2</v>
      </c>
      <c r="H52" s="1" t="s">
        <v>201</v>
      </c>
    </row>
    <row r="53" spans="3:8" x14ac:dyDescent="0.25">
      <c r="C53" s="1">
        <v>50</v>
      </c>
      <c r="D53" s="1" cm="1">
        <f t="array" ref="D53">ROW() - ROW(tbl_port_template[#Headers])</f>
        <v>50</v>
      </c>
      <c r="E53" s="1" t="s">
        <v>173</v>
      </c>
      <c r="F53" s="1" t="s">
        <v>60</v>
      </c>
      <c r="G53" s="1" t="str">
        <f>_xlfn.LET(_xlpm.raw_if_name,            tbl_port_template[[#This Row],[if_name]],
     _xlpm.normalized_if_name,     LOWER(SUBSTITUTE(CLEAN(TRIM(_xlpm.raw_if_name)), " ", "")),
     _xlpm.return,                 _xlpm.normalized_if_name,
     _xlpm.return)</f>
        <v>idrac</v>
      </c>
      <c r="H53" s="1" t="s">
        <v>200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5E57-4AE7-4A9B-ADA7-39BF6C5EFB43}">
  <dimension ref="C3:G95"/>
  <sheetViews>
    <sheetView tabSelected="1" topLeftCell="A25" workbookViewId="0">
      <selection activeCell="E80" sqref="E80"/>
    </sheetView>
  </sheetViews>
  <sheetFormatPr defaultRowHeight="15" x14ac:dyDescent="0.25"/>
  <cols>
    <col min="1" max="2" width="9.140625" style="26"/>
    <col min="3" max="3" width="18.28515625" style="1" customWidth="1"/>
    <col min="4" max="4" width="39.85546875" style="26" customWidth="1"/>
    <col min="5" max="5" width="27.42578125" style="26" customWidth="1"/>
    <col min="6" max="6" width="22.28515625" style="26" customWidth="1"/>
    <col min="7" max="7" width="29.28515625" style="26" customWidth="1"/>
    <col min="8" max="16384" width="9.140625" style="26"/>
  </cols>
  <sheetData>
    <row r="3" spans="3:7" s="27" customFormat="1" x14ac:dyDescent="0.25">
      <c r="C3" s="3" t="s">
        <v>2</v>
      </c>
      <c r="D3" s="27" t="s">
        <v>152</v>
      </c>
      <c r="E3" s="27" t="s">
        <v>205</v>
      </c>
      <c r="F3" s="27" t="s">
        <v>154</v>
      </c>
      <c r="G3" s="27" t="s">
        <v>166</v>
      </c>
    </row>
    <row r="4" spans="3:7" x14ac:dyDescent="0.25">
      <c r="C4" s="1" cm="1">
        <f t="array" ref="C4:C95">_xlfn.SEQUENCE(ROWS(_xlfn.ANCHORARRAY(D4)),1,1,1)</f>
        <v>1</v>
      </c>
      <c r="D4" s="26" t="str" cm="1">
        <f t="array" ref="D4:G95">_xlfn.LET(_xlpm.port_template_tbl,      tbl_port_template[],
     _xlpm.device_tbl,             tbl_devices[],
     _xlpm.device_handles,         _xlfn._xlws.SORT(_xlfn.UNIQUE(tbl_devices[handle_permanent_cleaned])),
     _xlpm.template_names,_xlfn.ANCHORARRAY(         port_templates!K4),
     _xlpm.template_port_counts,_xlfn.ANCHORARRAY(   port_templates!L4),
     _xlpm.gen_subtable_f,         _xlfn.LAMBDA(_xlpm.device_handle,
                                    _xlfn.LET(_xlpm.port_template_name_01,    _xlfn.XLOOKUP(_xlpm.device_handle,
                                                                         tbl_devices[handle_permanent_cleaned],
                                                                         tbl_devices[port_template],
                                                                         "", 0),
                                        _xlpm.is_port_template_defined, _xlfn.XMATCH(_xlpm.port_template_name_01, tbl_port_template[port_template_name], 0),
                                        _xlpm.port_template_name_02,    IF(ISERROR(_xlpm.is_port_template_defined),
                                                                     -1,
                                                                     _xlpm.port_template_name_01),
                                        _xlpm.template_port_count,     _xlfn.XLOOKUP(_xlpm.port_template_name_02, _xlpm.template_names, _xlpm.template_port_counts,
                                                                         "", 0),
                                        _xlpm.port_template_col,       _xlfn.MAKEARRAY(_xlpm.template_port_count, 1, _xlfn.LAMBDA(_xlpm.x,_xlpm.y, _xlpm.port_template_name_02)),
                                        _xlpm.device_handle_col,       _xlfn.MAKEARRAY(_xlpm.template_port_count, 1, _xlfn.LAMBDA(_xlpm.x,_xlpm.y, _xlpm.device_handle)),
                                        _xlpm.filtered_template_tbl,   _xlfn._xlws.FILTER(_xlpm.port_template_tbl,
                                                                        tbl_port_template[port_template_name] = _xlpm.port_template_name_02),
                                        _xlpm.right_cols,              _xlfn.CHOOSECOLS(_xlpm.filtered_template_tbl, 5,6),
                                        _xlpm.subtable,                _xlfn.HSTACK(_xlpm.port_template_col,
                                                                        _xlpm.device_handle_col,
                                                                        _xlpm.right_cols),
                                        _xlpm.subtable)),
     _xlpm.test,                   _xlpm.gen_subtable_f("srv01"),
     _xlpm.reduce_lambda,          _xlfn.LAMBDA(_xlpm.acc,_xlpm.devicehandle,
                                    _xlfn.LET(_xlpm.subtable,                _xlpm.gen_subtable_f(_xlpm.devicehandle),
                                        _xlfn.VSTACK(_xlpm.acc,
                                               _xlpm.subtable))),
     _xlpm.full_table,             _xlfn.DROP(_xlfn.REDUCE(,
                                         _xlpm.device_handles, _xlpm.reduce_lambda),1),
     _xlpm.full_table)</f>
        <v>fw/v01</v>
      </c>
      <c r="E4" s="26" t="str">
        <v>fw02</v>
      </c>
      <c r="F4" s="26" t="str">
        <v>inside_01</v>
      </c>
      <c r="G4" s="26" t="str">
        <v>sfp</v>
      </c>
    </row>
    <row r="5" spans="3:7" x14ac:dyDescent="0.25">
      <c r="C5" s="1">
        <v>2</v>
      </c>
      <c r="D5" s="26" t="str">
        <v>fw/v01</v>
      </c>
      <c r="E5" s="26" t="str">
        <v>fw02</v>
      </c>
      <c r="F5" s="26" t="str">
        <v>inside_02</v>
      </c>
      <c r="G5" s="26" t="str">
        <v>sfp</v>
      </c>
    </row>
    <row r="6" spans="3:7" x14ac:dyDescent="0.25">
      <c r="C6" s="1">
        <v>3</v>
      </c>
      <c r="D6" s="26" t="str">
        <v>fw/v01</v>
      </c>
      <c r="E6" s="26" t="str">
        <v>fw02</v>
      </c>
      <c r="F6" s="26" t="str">
        <v>outside_01</v>
      </c>
      <c r="G6" s="26" t="str">
        <v>sfp</v>
      </c>
    </row>
    <row r="7" spans="3:7" x14ac:dyDescent="0.25">
      <c r="C7" s="1">
        <v>4</v>
      </c>
      <c r="D7" s="26" t="str">
        <v>fw/v01</v>
      </c>
      <c r="E7" s="26" t="str">
        <v>fw02</v>
      </c>
      <c r="F7" s="26" t="str">
        <v>outside_02</v>
      </c>
      <c r="G7" s="26" t="str">
        <v>sfp</v>
      </c>
    </row>
    <row r="8" spans="3:7" x14ac:dyDescent="0.25">
      <c r="C8" s="1">
        <v>5</v>
      </c>
      <c r="D8" s="26" t="str">
        <v>fw/v01</v>
      </c>
      <c r="E8" s="26" t="str">
        <v>fw02</v>
      </c>
      <c r="F8" s="26" t="str">
        <v>mgmt</v>
      </c>
      <c r="G8" s="26" t="str">
        <v>rj45</v>
      </c>
    </row>
    <row r="9" spans="3:7" x14ac:dyDescent="0.25">
      <c r="C9" s="1">
        <v>6</v>
      </c>
      <c r="D9" s="26" t="str">
        <v>fw/v01</v>
      </c>
      <c r="E9" s="26" t="str">
        <v>fw02</v>
      </c>
      <c r="F9" s="26" t="str">
        <v>console</v>
      </c>
      <c r="G9" s="26" t="str">
        <v>rj45</v>
      </c>
    </row>
    <row r="10" spans="3:7" x14ac:dyDescent="0.25">
      <c r="C10" s="1">
        <v>7</v>
      </c>
      <c r="D10" s="26" t="str">
        <v>fw/v01</v>
      </c>
      <c r="E10" s="26" t="str">
        <v>fw02</v>
      </c>
      <c r="F10" s="26" t="str">
        <v>aux</v>
      </c>
      <c r="G10" s="26" t="str">
        <v>rj45</v>
      </c>
    </row>
    <row r="11" spans="3:7" x14ac:dyDescent="0.25">
      <c r="C11" s="1">
        <v>8</v>
      </c>
      <c r="D11" s="26" t="str">
        <v>network_leaf/v01</v>
      </c>
      <c r="E11" s="26" t="str">
        <v>leaf01</v>
      </c>
      <c r="F11" s="26" t="str">
        <v>01</v>
      </c>
      <c r="G11" s="26" t="str">
        <v>qsfp</v>
      </c>
    </row>
    <row r="12" spans="3:7" x14ac:dyDescent="0.25">
      <c r="C12" s="1">
        <v>9</v>
      </c>
      <c r="D12" s="26" t="str">
        <v>network_leaf/v01</v>
      </c>
      <c r="E12" s="26" t="str">
        <v>leaf01</v>
      </c>
      <c r="F12" s="26" t="str">
        <v>02</v>
      </c>
      <c r="G12" s="26" t="str">
        <v>qsfp</v>
      </c>
    </row>
    <row r="13" spans="3:7" x14ac:dyDescent="0.25">
      <c r="C13" s="1">
        <v>10</v>
      </c>
      <c r="D13" s="26" t="str">
        <v>network_leaf/v01</v>
      </c>
      <c r="E13" s="26" t="str">
        <v>leaf01</v>
      </c>
      <c r="F13" s="26" t="str">
        <v>03</v>
      </c>
      <c r="G13" s="26" t="str">
        <v>qsfp</v>
      </c>
    </row>
    <row r="14" spans="3:7" x14ac:dyDescent="0.25">
      <c r="C14" s="1">
        <v>11</v>
      </c>
      <c r="D14" s="26" t="str">
        <v>network_leaf/v01</v>
      </c>
      <c r="E14" s="26" t="str">
        <v>leaf01</v>
      </c>
      <c r="F14" s="26" t="str">
        <v>04</v>
      </c>
      <c r="G14" s="26" t="str">
        <v>qsfp</v>
      </c>
    </row>
    <row r="15" spans="3:7" x14ac:dyDescent="0.25">
      <c r="C15" s="1">
        <v>12</v>
      </c>
      <c r="D15" s="26" t="str">
        <v>network_leaf/v01</v>
      </c>
      <c r="E15" s="26" t="str">
        <v>leaf01</v>
      </c>
      <c r="F15" s="26" t="str">
        <v>05</v>
      </c>
      <c r="G15" s="26" t="str">
        <v>qsfp</v>
      </c>
    </row>
    <row r="16" spans="3:7" x14ac:dyDescent="0.25">
      <c r="C16" s="1">
        <v>13</v>
      </c>
      <c r="D16" s="26" t="str">
        <v>network_leaf/v01</v>
      </c>
      <c r="E16" s="26" t="str">
        <v>leaf01</v>
      </c>
      <c r="F16" s="26" t="str">
        <v>06</v>
      </c>
      <c r="G16" s="26" t="str">
        <v>qsfp</v>
      </c>
    </row>
    <row r="17" spans="3:7" x14ac:dyDescent="0.25">
      <c r="C17" s="1">
        <v>14</v>
      </c>
      <c r="D17" s="26" t="str">
        <v>network_leaf/v01</v>
      </c>
      <c r="E17" s="26" t="str">
        <v>leaf01</v>
      </c>
      <c r="F17" s="26" t="str">
        <v>07</v>
      </c>
      <c r="G17" s="26" t="str">
        <v>qsfp</v>
      </c>
    </row>
    <row r="18" spans="3:7" x14ac:dyDescent="0.25">
      <c r="C18" s="1">
        <v>15</v>
      </c>
      <c r="D18" s="26" t="str">
        <v>network_leaf/v01</v>
      </c>
      <c r="E18" s="26" t="str">
        <v>leaf01</v>
      </c>
      <c r="F18" s="26" t="str">
        <v>08</v>
      </c>
      <c r="G18" s="26" t="str">
        <v>qsfp</v>
      </c>
    </row>
    <row r="19" spans="3:7" x14ac:dyDescent="0.25">
      <c r="C19" s="1">
        <v>16</v>
      </c>
      <c r="D19" s="26" t="str">
        <v>network_leaf/v01</v>
      </c>
      <c r="E19" s="26" t="str">
        <v>leaf01</v>
      </c>
      <c r="F19" s="26" t="str">
        <v>09</v>
      </c>
      <c r="G19" s="26" t="str">
        <v>qsfp</v>
      </c>
    </row>
    <row r="20" spans="3:7" x14ac:dyDescent="0.25">
      <c r="C20" s="1">
        <v>17</v>
      </c>
      <c r="D20" s="26" t="str">
        <v>network_leaf/v01</v>
      </c>
      <c r="E20" s="26" t="str">
        <v>leaf01</v>
      </c>
      <c r="F20" s="26" t="str">
        <v>10</v>
      </c>
      <c r="G20" s="26" t="str">
        <v>qsfp</v>
      </c>
    </row>
    <row r="21" spans="3:7" x14ac:dyDescent="0.25">
      <c r="C21" s="1">
        <v>18</v>
      </c>
      <c r="D21" s="26" t="str">
        <v>network_leaf/v01</v>
      </c>
      <c r="E21" s="26" t="str">
        <v>leaf01</v>
      </c>
      <c r="F21" s="26" t="str">
        <v>mgmt</v>
      </c>
      <c r="G21" s="26" t="str">
        <v>rj45</v>
      </c>
    </row>
    <row r="22" spans="3:7" x14ac:dyDescent="0.25">
      <c r="C22" s="1">
        <v>19</v>
      </c>
      <c r="D22" s="26" t="str">
        <v>network_leaf/v01</v>
      </c>
      <c r="E22" s="26" t="str">
        <v>leaf01</v>
      </c>
      <c r="F22" s="26" t="str">
        <v>console</v>
      </c>
      <c r="G22" s="26" t="str">
        <v>rj45</v>
      </c>
    </row>
    <row r="23" spans="3:7" x14ac:dyDescent="0.25">
      <c r="C23" s="1">
        <v>20</v>
      </c>
      <c r="D23" s="26" t="str">
        <v>network_leaf/v01</v>
      </c>
      <c r="E23" s="26" t="str">
        <v>leaf02</v>
      </c>
      <c r="F23" s="26" t="str">
        <v>01</v>
      </c>
      <c r="G23" s="26" t="str">
        <v>qsfp</v>
      </c>
    </row>
    <row r="24" spans="3:7" x14ac:dyDescent="0.25">
      <c r="C24" s="1">
        <v>21</v>
      </c>
      <c r="D24" s="26" t="str">
        <v>network_leaf/v01</v>
      </c>
      <c r="E24" s="26" t="str">
        <v>leaf02</v>
      </c>
      <c r="F24" s="26" t="str">
        <v>02</v>
      </c>
      <c r="G24" s="26" t="str">
        <v>qsfp</v>
      </c>
    </row>
    <row r="25" spans="3:7" x14ac:dyDescent="0.25">
      <c r="C25" s="1">
        <v>22</v>
      </c>
      <c r="D25" s="26" t="str">
        <v>network_leaf/v01</v>
      </c>
      <c r="E25" s="26" t="str">
        <v>leaf02</v>
      </c>
      <c r="F25" s="26" t="str">
        <v>03</v>
      </c>
      <c r="G25" s="26" t="str">
        <v>qsfp</v>
      </c>
    </row>
    <row r="26" spans="3:7" x14ac:dyDescent="0.25">
      <c r="C26" s="1">
        <v>23</v>
      </c>
      <c r="D26" s="26" t="str">
        <v>network_leaf/v01</v>
      </c>
      <c r="E26" s="26" t="str">
        <v>leaf02</v>
      </c>
      <c r="F26" s="26" t="str">
        <v>04</v>
      </c>
      <c r="G26" s="26" t="str">
        <v>qsfp</v>
      </c>
    </row>
    <row r="27" spans="3:7" x14ac:dyDescent="0.25">
      <c r="C27" s="1">
        <v>24</v>
      </c>
      <c r="D27" s="26" t="str">
        <v>network_leaf/v01</v>
      </c>
      <c r="E27" s="26" t="str">
        <v>leaf02</v>
      </c>
      <c r="F27" s="26" t="str">
        <v>05</v>
      </c>
      <c r="G27" s="26" t="str">
        <v>qsfp</v>
      </c>
    </row>
    <row r="28" spans="3:7" x14ac:dyDescent="0.25">
      <c r="C28" s="1">
        <v>25</v>
      </c>
      <c r="D28" s="26" t="str">
        <v>network_leaf/v01</v>
      </c>
      <c r="E28" s="26" t="str">
        <v>leaf02</v>
      </c>
      <c r="F28" s="26" t="str">
        <v>06</v>
      </c>
      <c r="G28" s="26" t="str">
        <v>qsfp</v>
      </c>
    </row>
    <row r="29" spans="3:7" x14ac:dyDescent="0.25">
      <c r="C29" s="1">
        <v>26</v>
      </c>
      <c r="D29" s="26" t="str">
        <v>network_leaf/v01</v>
      </c>
      <c r="E29" s="26" t="str">
        <v>leaf02</v>
      </c>
      <c r="F29" s="26" t="str">
        <v>07</v>
      </c>
      <c r="G29" s="26" t="str">
        <v>qsfp</v>
      </c>
    </row>
    <row r="30" spans="3:7" x14ac:dyDescent="0.25">
      <c r="C30" s="1">
        <v>27</v>
      </c>
      <c r="D30" s="26" t="str">
        <v>network_leaf/v01</v>
      </c>
      <c r="E30" s="26" t="str">
        <v>leaf02</v>
      </c>
      <c r="F30" s="26" t="str">
        <v>08</v>
      </c>
      <c r="G30" s="26" t="str">
        <v>qsfp</v>
      </c>
    </row>
    <row r="31" spans="3:7" x14ac:dyDescent="0.25">
      <c r="C31" s="1">
        <v>28</v>
      </c>
      <c r="D31" s="26" t="str">
        <v>network_leaf/v01</v>
      </c>
      <c r="E31" s="26" t="str">
        <v>leaf02</v>
      </c>
      <c r="F31" s="26" t="str">
        <v>09</v>
      </c>
      <c r="G31" s="26" t="str">
        <v>qsfp</v>
      </c>
    </row>
    <row r="32" spans="3:7" x14ac:dyDescent="0.25">
      <c r="C32" s="1">
        <v>29</v>
      </c>
      <c r="D32" s="26" t="str">
        <v>network_leaf/v01</v>
      </c>
      <c r="E32" s="26" t="str">
        <v>leaf02</v>
      </c>
      <c r="F32" s="26" t="str">
        <v>10</v>
      </c>
      <c r="G32" s="26" t="str">
        <v>qsfp</v>
      </c>
    </row>
    <row r="33" spans="3:7" x14ac:dyDescent="0.25">
      <c r="C33" s="1">
        <v>30</v>
      </c>
      <c r="D33" s="26" t="str">
        <v>network_leaf/v01</v>
      </c>
      <c r="E33" s="26" t="str">
        <v>leaf02</v>
      </c>
      <c r="F33" s="26" t="str">
        <v>mgmt</v>
      </c>
      <c r="G33" s="26" t="str">
        <v>rj45</v>
      </c>
    </row>
    <row r="34" spans="3:7" x14ac:dyDescent="0.25">
      <c r="C34" s="1">
        <v>31</v>
      </c>
      <c r="D34" s="26" t="str">
        <v>network_leaf/v01</v>
      </c>
      <c r="E34" s="26" t="str">
        <v>leaf02</v>
      </c>
      <c r="F34" s="26" t="str">
        <v>console</v>
      </c>
      <c r="G34" s="26" t="str">
        <v>rj45</v>
      </c>
    </row>
    <row r="35" spans="3:7" x14ac:dyDescent="0.25">
      <c r="C35" s="1">
        <v>32</v>
      </c>
      <c r="D35" s="26">
        <v>-1</v>
      </c>
      <c r="E35" s="26" t="str">
        <v>mgmtsw01</v>
      </c>
      <c r="F35" s="26" t="str">
        <v>missing_template_name</v>
      </c>
      <c r="G35" s="26" t="str">
        <v>missing_template_name</v>
      </c>
    </row>
    <row r="36" spans="3:7" x14ac:dyDescent="0.25">
      <c r="C36" s="1">
        <v>33</v>
      </c>
      <c r="D36" s="26" t="str">
        <v>rtr/v01</v>
      </c>
      <c r="E36" s="26" t="str">
        <v>rtr01</v>
      </c>
      <c r="F36" s="26" t="str">
        <v>g/0/0/0</v>
      </c>
      <c r="G36" s="26" t="str">
        <v>sfp</v>
      </c>
    </row>
    <row r="37" spans="3:7" x14ac:dyDescent="0.25">
      <c r="C37" s="1">
        <v>34</v>
      </c>
      <c r="D37" s="26" t="str">
        <v>rtr/v01</v>
      </c>
      <c r="E37" s="26" t="str">
        <v>rtr01</v>
      </c>
      <c r="F37" s="26" t="str">
        <v>g/0/0/1</v>
      </c>
      <c r="G37" s="26" t="str">
        <v>sfp</v>
      </c>
    </row>
    <row r="38" spans="3:7" x14ac:dyDescent="0.25">
      <c r="C38" s="1">
        <v>35</v>
      </c>
      <c r="D38" s="26" t="str">
        <v>rtr/v01</v>
      </c>
      <c r="E38" s="26" t="str">
        <v>rtr01</v>
      </c>
      <c r="F38" s="26" t="str">
        <v>g/0/0/2</v>
      </c>
      <c r="G38" s="26" t="str">
        <v>sfp</v>
      </c>
    </row>
    <row r="39" spans="3:7" x14ac:dyDescent="0.25">
      <c r="C39" s="1">
        <v>36</v>
      </c>
      <c r="D39" s="26" t="str">
        <v>rtr/v01</v>
      </c>
      <c r="E39" s="26" t="str">
        <v>rtr01</v>
      </c>
      <c r="F39" s="26" t="str">
        <v>g/0/0/3</v>
      </c>
      <c r="G39" s="26" t="str">
        <v>sfp</v>
      </c>
    </row>
    <row r="40" spans="3:7" x14ac:dyDescent="0.25">
      <c r="C40" s="1">
        <v>37</v>
      </c>
      <c r="D40" s="26" t="str">
        <v>rtr/v01</v>
      </c>
      <c r="E40" s="26" t="str">
        <v>rtr01</v>
      </c>
      <c r="F40" s="26" t="str">
        <v>mgmt</v>
      </c>
      <c r="G40" s="26" t="str">
        <v>rj45</v>
      </c>
    </row>
    <row r="41" spans="3:7" x14ac:dyDescent="0.25">
      <c r="C41" s="1">
        <v>38</v>
      </c>
      <c r="D41" s="26" t="str">
        <v>rtr/v01</v>
      </c>
      <c r="E41" s="26" t="str">
        <v>rtr01</v>
      </c>
      <c r="F41" s="26" t="str">
        <v>console</v>
      </c>
      <c r="G41" s="26" t="str">
        <v>rj45</v>
      </c>
    </row>
    <row r="42" spans="3:7" x14ac:dyDescent="0.25">
      <c r="C42" s="1">
        <v>39</v>
      </c>
      <c r="D42" s="26" t="str">
        <v>rtr/v01</v>
      </c>
      <c r="E42" s="26" t="str">
        <v>rtr01</v>
      </c>
      <c r="F42" s="26" t="str">
        <v>aux</v>
      </c>
      <c r="G42" s="26" t="str">
        <v>rj45</v>
      </c>
    </row>
    <row r="43" spans="3:7" x14ac:dyDescent="0.25">
      <c r="C43" s="1">
        <v>40</v>
      </c>
      <c r="D43" s="26" t="str">
        <v>rtr/v01</v>
      </c>
      <c r="E43" s="26" t="str">
        <v>rtr02</v>
      </c>
      <c r="F43" s="26" t="str">
        <v>g/0/0/0</v>
      </c>
      <c r="G43" s="26" t="str">
        <v>sfp</v>
      </c>
    </row>
    <row r="44" spans="3:7" x14ac:dyDescent="0.25">
      <c r="C44" s="1">
        <v>41</v>
      </c>
      <c r="D44" s="26" t="str">
        <v>rtr/v01</v>
      </c>
      <c r="E44" s="26" t="str">
        <v>rtr02</v>
      </c>
      <c r="F44" s="26" t="str">
        <v>g/0/0/1</v>
      </c>
      <c r="G44" s="26" t="str">
        <v>sfp</v>
      </c>
    </row>
    <row r="45" spans="3:7" x14ac:dyDescent="0.25">
      <c r="C45" s="1">
        <v>42</v>
      </c>
      <c r="D45" s="26" t="str">
        <v>rtr/v01</v>
      </c>
      <c r="E45" s="26" t="str">
        <v>rtr02</v>
      </c>
      <c r="F45" s="26" t="str">
        <v>g/0/0/2</v>
      </c>
      <c r="G45" s="26" t="str">
        <v>sfp</v>
      </c>
    </row>
    <row r="46" spans="3:7" x14ac:dyDescent="0.25">
      <c r="C46" s="1">
        <v>43</v>
      </c>
      <c r="D46" s="26" t="str">
        <v>rtr/v01</v>
      </c>
      <c r="E46" s="26" t="str">
        <v>rtr02</v>
      </c>
      <c r="F46" s="26" t="str">
        <v>g/0/0/3</v>
      </c>
      <c r="G46" s="26" t="str">
        <v>sfp</v>
      </c>
    </row>
    <row r="47" spans="3:7" x14ac:dyDescent="0.25">
      <c r="C47" s="1">
        <v>44</v>
      </c>
      <c r="D47" s="26" t="str">
        <v>rtr/v01</v>
      </c>
      <c r="E47" s="26" t="str">
        <v>rtr02</v>
      </c>
      <c r="F47" s="26" t="str">
        <v>mgmt</v>
      </c>
      <c r="G47" s="26" t="str">
        <v>rj45</v>
      </c>
    </row>
    <row r="48" spans="3:7" x14ac:dyDescent="0.25">
      <c r="C48" s="1">
        <v>45</v>
      </c>
      <c r="D48" s="26" t="str">
        <v>rtr/v01</v>
      </c>
      <c r="E48" s="26" t="str">
        <v>rtr02</v>
      </c>
      <c r="F48" s="26" t="str">
        <v>console</v>
      </c>
      <c r="G48" s="26" t="str">
        <v>rj45</v>
      </c>
    </row>
    <row r="49" spans="3:7" x14ac:dyDescent="0.25">
      <c r="C49" s="1">
        <v>46</v>
      </c>
      <c r="D49" s="26" t="str">
        <v>rtr/v01</v>
      </c>
      <c r="E49" s="26" t="str">
        <v>rtr02</v>
      </c>
      <c r="F49" s="26" t="str">
        <v>aux</v>
      </c>
      <c r="G49" s="26" t="str">
        <v>rj45</v>
      </c>
    </row>
    <row r="50" spans="3:7" x14ac:dyDescent="0.25">
      <c r="C50" s="1">
        <v>47</v>
      </c>
      <c r="D50" s="26" t="str">
        <v>network_spine/v01</v>
      </c>
      <c r="E50" s="26" t="str">
        <v>spine01</v>
      </c>
      <c r="F50" s="26" t="str">
        <v>01</v>
      </c>
      <c r="G50" s="26" t="str">
        <v>qsfp</v>
      </c>
    </row>
    <row r="51" spans="3:7" x14ac:dyDescent="0.25">
      <c r="C51" s="1">
        <v>48</v>
      </c>
      <c r="D51" s="26" t="str">
        <v>network_spine/v01</v>
      </c>
      <c r="E51" s="26" t="str">
        <v>spine01</v>
      </c>
      <c r="F51" s="26" t="str">
        <v>02</v>
      </c>
      <c r="G51" s="26" t="str">
        <v>qsfp</v>
      </c>
    </row>
    <row r="52" spans="3:7" x14ac:dyDescent="0.25">
      <c r="C52" s="1">
        <v>49</v>
      </c>
      <c r="D52" s="26" t="str">
        <v>network_spine/v01</v>
      </c>
      <c r="E52" s="26" t="str">
        <v>spine01</v>
      </c>
      <c r="F52" s="26" t="str">
        <v>03</v>
      </c>
      <c r="G52" s="26" t="str">
        <v>qsfp</v>
      </c>
    </row>
    <row r="53" spans="3:7" x14ac:dyDescent="0.25">
      <c r="C53" s="1">
        <v>50</v>
      </c>
      <c r="D53" s="26" t="str">
        <v>network_spine/v01</v>
      </c>
      <c r="E53" s="26" t="str">
        <v>spine01</v>
      </c>
      <c r="F53" s="26" t="str">
        <v>04</v>
      </c>
      <c r="G53" s="26" t="str">
        <v>qsfp</v>
      </c>
    </row>
    <row r="54" spans="3:7" x14ac:dyDescent="0.25">
      <c r="C54" s="1">
        <v>51</v>
      </c>
      <c r="D54" s="26" t="str">
        <v>network_spine/v01</v>
      </c>
      <c r="E54" s="26" t="str">
        <v>spine01</v>
      </c>
      <c r="F54" s="26" t="str">
        <v>05</v>
      </c>
      <c r="G54" s="26" t="str">
        <v>qsfp</v>
      </c>
    </row>
    <row r="55" spans="3:7" x14ac:dyDescent="0.25">
      <c r="C55" s="1">
        <v>52</v>
      </c>
      <c r="D55" s="26" t="str">
        <v>network_spine/v01</v>
      </c>
      <c r="E55" s="26" t="str">
        <v>spine01</v>
      </c>
      <c r="F55" s="26" t="str">
        <v>06</v>
      </c>
      <c r="G55" s="26" t="str">
        <v>qsfp</v>
      </c>
    </row>
    <row r="56" spans="3:7" x14ac:dyDescent="0.25">
      <c r="C56" s="1">
        <v>53</v>
      </c>
      <c r="D56" s="26" t="str">
        <v>network_spine/v01</v>
      </c>
      <c r="E56" s="26" t="str">
        <v>spine01</v>
      </c>
      <c r="F56" s="26" t="str">
        <v>07</v>
      </c>
      <c r="G56" s="26" t="str">
        <v>qsfp</v>
      </c>
    </row>
    <row r="57" spans="3:7" x14ac:dyDescent="0.25">
      <c r="C57" s="1">
        <v>54</v>
      </c>
      <c r="D57" s="26" t="str">
        <v>network_spine/v01</v>
      </c>
      <c r="E57" s="26" t="str">
        <v>spine01</v>
      </c>
      <c r="F57" s="26" t="str">
        <v>08</v>
      </c>
      <c r="G57" s="26" t="str">
        <v>qsfp</v>
      </c>
    </row>
    <row r="58" spans="3:7" x14ac:dyDescent="0.25">
      <c r="C58" s="1">
        <v>55</v>
      </c>
      <c r="D58" s="26" t="str">
        <v>network_spine/v01</v>
      </c>
      <c r="E58" s="26" t="str">
        <v>spine01</v>
      </c>
      <c r="F58" s="26" t="str">
        <v>mgmt</v>
      </c>
      <c r="G58" s="26" t="str">
        <v>rj45</v>
      </c>
    </row>
    <row r="59" spans="3:7" x14ac:dyDescent="0.25">
      <c r="C59" s="1">
        <v>56</v>
      </c>
      <c r="D59" s="26" t="str">
        <v>network_spine/v01</v>
      </c>
      <c r="E59" s="26" t="str">
        <v>spine01</v>
      </c>
      <c r="F59" s="26" t="str">
        <v>console</v>
      </c>
      <c r="G59" s="26" t="str">
        <v>rj45</v>
      </c>
    </row>
    <row r="60" spans="3:7" x14ac:dyDescent="0.25">
      <c r="C60" s="1">
        <v>57</v>
      </c>
      <c r="D60" s="26" t="str">
        <v>network_spine/v01</v>
      </c>
      <c r="E60" s="26" t="str">
        <v>spine02</v>
      </c>
      <c r="F60" s="26" t="str">
        <v>01</v>
      </c>
      <c r="G60" s="26" t="str">
        <v>qsfp</v>
      </c>
    </row>
    <row r="61" spans="3:7" x14ac:dyDescent="0.25">
      <c r="C61" s="1">
        <v>58</v>
      </c>
      <c r="D61" s="26" t="str">
        <v>network_spine/v01</v>
      </c>
      <c r="E61" s="26" t="str">
        <v>spine02</v>
      </c>
      <c r="F61" s="26" t="str">
        <v>02</v>
      </c>
      <c r="G61" s="26" t="str">
        <v>qsfp</v>
      </c>
    </row>
    <row r="62" spans="3:7" x14ac:dyDescent="0.25">
      <c r="C62" s="1">
        <v>59</v>
      </c>
      <c r="D62" s="26" t="str">
        <v>network_spine/v01</v>
      </c>
      <c r="E62" s="26" t="str">
        <v>spine02</v>
      </c>
      <c r="F62" s="26" t="str">
        <v>03</v>
      </c>
      <c r="G62" s="26" t="str">
        <v>qsfp</v>
      </c>
    </row>
    <row r="63" spans="3:7" x14ac:dyDescent="0.25">
      <c r="C63" s="1">
        <v>60</v>
      </c>
      <c r="D63" s="26" t="str">
        <v>network_spine/v01</v>
      </c>
      <c r="E63" s="26" t="str">
        <v>spine02</v>
      </c>
      <c r="F63" s="26" t="str">
        <v>04</v>
      </c>
      <c r="G63" s="26" t="str">
        <v>qsfp</v>
      </c>
    </row>
    <row r="64" spans="3:7" x14ac:dyDescent="0.25">
      <c r="C64" s="1">
        <v>61</v>
      </c>
      <c r="D64" s="26" t="str">
        <v>network_spine/v01</v>
      </c>
      <c r="E64" s="26" t="str">
        <v>spine02</v>
      </c>
      <c r="F64" s="26" t="str">
        <v>05</v>
      </c>
      <c r="G64" s="26" t="str">
        <v>qsfp</v>
      </c>
    </row>
    <row r="65" spans="3:7" x14ac:dyDescent="0.25">
      <c r="C65" s="1">
        <v>62</v>
      </c>
      <c r="D65" s="26" t="str">
        <v>network_spine/v01</v>
      </c>
      <c r="E65" s="26" t="str">
        <v>spine02</v>
      </c>
      <c r="F65" s="26" t="str">
        <v>06</v>
      </c>
      <c r="G65" s="26" t="str">
        <v>qsfp</v>
      </c>
    </row>
    <row r="66" spans="3:7" x14ac:dyDescent="0.25">
      <c r="C66" s="1">
        <v>63</v>
      </c>
      <c r="D66" s="26" t="str">
        <v>network_spine/v01</v>
      </c>
      <c r="E66" s="26" t="str">
        <v>spine02</v>
      </c>
      <c r="F66" s="26" t="str">
        <v>07</v>
      </c>
      <c r="G66" s="26" t="str">
        <v>qsfp</v>
      </c>
    </row>
    <row r="67" spans="3:7" x14ac:dyDescent="0.25">
      <c r="C67" s="1">
        <v>64</v>
      </c>
      <c r="D67" s="26" t="str">
        <v>network_spine/v01</v>
      </c>
      <c r="E67" s="26" t="str">
        <v>spine02</v>
      </c>
      <c r="F67" s="26" t="str">
        <v>08</v>
      </c>
      <c r="G67" s="26" t="str">
        <v>qsfp</v>
      </c>
    </row>
    <row r="68" spans="3:7" x14ac:dyDescent="0.25">
      <c r="C68" s="1">
        <v>65</v>
      </c>
      <c r="D68" s="26" t="str">
        <v>network_spine/v01</v>
      </c>
      <c r="E68" s="26" t="str">
        <v>spine02</v>
      </c>
      <c r="F68" s="26" t="str">
        <v>mgmt</v>
      </c>
      <c r="G68" s="26" t="str">
        <v>rj45</v>
      </c>
    </row>
    <row r="69" spans="3:7" x14ac:dyDescent="0.25">
      <c r="C69" s="1">
        <v>66</v>
      </c>
      <c r="D69" s="26" t="str">
        <v>network_spine/v01</v>
      </c>
      <c r="E69" s="26" t="str">
        <v>spine02</v>
      </c>
      <c r="F69" s="26" t="str">
        <v>console</v>
      </c>
      <c r="G69" s="26" t="str">
        <v>rj45</v>
      </c>
    </row>
    <row r="70" spans="3:7" x14ac:dyDescent="0.25">
      <c r="C70" s="1">
        <v>67</v>
      </c>
      <c r="D70" s="26" t="str">
        <v>srv/v01</v>
      </c>
      <c r="E70" s="26" t="str">
        <v>srv01</v>
      </c>
      <c r="F70" s="26" t="str">
        <v>ob/1</v>
      </c>
      <c r="G70" s="26" t="str">
        <v>sfp</v>
      </c>
    </row>
    <row r="71" spans="3:7" x14ac:dyDescent="0.25">
      <c r="C71" s="1">
        <v>68</v>
      </c>
      <c r="D71" s="26" t="str">
        <v>srv/v01</v>
      </c>
      <c r="E71" s="26" t="str">
        <v>srv01</v>
      </c>
      <c r="F71" s="26" t="str">
        <v>ob/2</v>
      </c>
      <c r="G71" s="26" t="str">
        <v>sfp</v>
      </c>
    </row>
    <row r="72" spans="3:7" x14ac:dyDescent="0.25">
      <c r="C72" s="1">
        <v>69</v>
      </c>
      <c r="D72" s="26" t="str">
        <v>srv/v01</v>
      </c>
      <c r="E72" s="26" t="str">
        <v>srv01</v>
      </c>
      <c r="F72" s="26" t="str">
        <v>ob/3</v>
      </c>
      <c r="G72" s="26" t="str">
        <v>sfp</v>
      </c>
    </row>
    <row r="73" spans="3:7" x14ac:dyDescent="0.25">
      <c r="C73" s="1">
        <v>70</v>
      </c>
      <c r="D73" s="26" t="str">
        <v>srv/v01</v>
      </c>
      <c r="E73" s="26" t="str">
        <v>srv01</v>
      </c>
      <c r="F73" s="26" t="str">
        <v>ob/4</v>
      </c>
      <c r="G73" s="26" t="str">
        <v>sfp</v>
      </c>
    </row>
    <row r="74" spans="3:7" x14ac:dyDescent="0.25">
      <c r="C74" s="1">
        <v>71</v>
      </c>
      <c r="D74" s="26" t="str">
        <v>srv/v01</v>
      </c>
      <c r="E74" s="26" t="str">
        <v>srv01</v>
      </c>
      <c r="F74" s="26" t="str">
        <v>pcie_1/1</v>
      </c>
      <c r="G74" s="26" t="str">
        <v>sfp</v>
      </c>
    </row>
    <row r="75" spans="3:7" x14ac:dyDescent="0.25">
      <c r="C75" s="1">
        <v>72</v>
      </c>
      <c r="D75" s="26" t="str">
        <v>srv/v01</v>
      </c>
      <c r="E75" s="26" t="str">
        <v>srv01</v>
      </c>
      <c r="F75" s="26" t="str">
        <v>pcie_1/2</v>
      </c>
      <c r="G75" s="26" t="str">
        <v>sfp</v>
      </c>
    </row>
    <row r="76" spans="3:7" x14ac:dyDescent="0.25">
      <c r="C76" s="1">
        <v>73</v>
      </c>
      <c r="D76" s="26" t="str">
        <v>srv/v01</v>
      </c>
      <c r="E76" s="26" t="str">
        <v>srv01</v>
      </c>
      <c r="F76" s="26" t="str">
        <v>pcie_2/2</v>
      </c>
      <c r="G76" s="26" t="str">
        <v>sfp</v>
      </c>
    </row>
    <row r="77" spans="3:7" x14ac:dyDescent="0.25">
      <c r="C77" s="1">
        <v>74</v>
      </c>
      <c r="D77" s="26" t="str">
        <v>srv/v01</v>
      </c>
      <c r="E77" s="26" t="str">
        <v>srv01</v>
      </c>
      <c r="F77" s="26" t="str">
        <v>pcie_2/2</v>
      </c>
      <c r="G77" s="26" t="str">
        <v>sfp</v>
      </c>
    </row>
    <row r="78" spans="3:7" x14ac:dyDescent="0.25">
      <c r="C78" s="1">
        <v>75</v>
      </c>
      <c r="D78" s="26" t="str">
        <v>srv/v01</v>
      </c>
      <c r="E78" s="26" t="str">
        <v>srv01</v>
      </c>
      <c r="F78" s="26" t="str">
        <v>pcie_3/1</v>
      </c>
      <c r="G78" s="26" t="str">
        <v>sfp</v>
      </c>
    </row>
    <row r="79" spans="3:7" x14ac:dyDescent="0.25">
      <c r="C79" s="1">
        <v>76</v>
      </c>
      <c r="D79" s="26" t="str">
        <v>srv/v01</v>
      </c>
      <c r="E79" s="26" t="str">
        <v>srv01</v>
      </c>
      <c r="F79" s="26" t="str">
        <v>pcie_3/2</v>
      </c>
      <c r="G79" s="26" t="str">
        <v>sfp</v>
      </c>
    </row>
    <row r="80" spans="3:7" x14ac:dyDescent="0.25">
      <c r="C80" s="1">
        <v>77</v>
      </c>
      <c r="D80" s="26" t="str">
        <v>srv/v01</v>
      </c>
      <c r="E80" s="26" t="str">
        <v>srv01</v>
      </c>
      <c r="F80" s="26" t="str">
        <v>pcie_4/1</v>
      </c>
      <c r="G80" s="26" t="str">
        <v>sfp</v>
      </c>
    </row>
    <row r="81" spans="3:7" x14ac:dyDescent="0.25">
      <c r="C81" s="1">
        <v>78</v>
      </c>
      <c r="D81" s="26" t="str">
        <v>srv/v01</v>
      </c>
      <c r="E81" s="26" t="str">
        <v>srv01</v>
      </c>
      <c r="F81" s="26" t="str">
        <v>pcie_4/2</v>
      </c>
      <c r="G81" s="26" t="str">
        <v>sfp</v>
      </c>
    </row>
    <row r="82" spans="3:7" x14ac:dyDescent="0.25">
      <c r="C82" s="1">
        <v>79</v>
      </c>
      <c r="D82" s="26" t="str">
        <v>srv/v01</v>
      </c>
      <c r="E82" s="26" t="str">
        <v>srv01</v>
      </c>
      <c r="F82" s="26" t="str">
        <v>idrac</v>
      </c>
      <c r="G82" s="26" t="str">
        <v>rj45</v>
      </c>
    </row>
    <row r="83" spans="3:7" x14ac:dyDescent="0.25">
      <c r="C83" s="1">
        <v>80</v>
      </c>
      <c r="D83" s="26" t="str">
        <v>srv/v01</v>
      </c>
      <c r="E83" s="26" t="str">
        <v>srv02</v>
      </c>
      <c r="F83" s="26" t="str">
        <v>ob/1</v>
      </c>
      <c r="G83" s="26" t="str">
        <v>sfp</v>
      </c>
    </row>
    <row r="84" spans="3:7" x14ac:dyDescent="0.25">
      <c r="C84" s="1">
        <v>81</v>
      </c>
      <c r="D84" s="26" t="str">
        <v>srv/v01</v>
      </c>
      <c r="E84" s="26" t="str">
        <v>srv02</v>
      </c>
      <c r="F84" s="26" t="str">
        <v>ob/2</v>
      </c>
      <c r="G84" s="26" t="str">
        <v>sfp</v>
      </c>
    </row>
    <row r="85" spans="3:7" x14ac:dyDescent="0.25">
      <c r="C85" s="1">
        <v>82</v>
      </c>
      <c r="D85" s="26" t="str">
        <v>srv/v01</v>
      </c>
      <c r="E85" s="26" t="str">
        <v>srv02</v>
      </c>
      <c r="F85" s="26" t="str">
        <v>ob/3</v>
      </c>
      <c r="G85" s="26" t="str">
        <v>sfp</v>
      </c>
    </row>
    <row r="86" spans="3:7" x14ac:dyDescent="0.25">
      <c r="C86" s="1">
        <v>83</v>
      </c>
      <c r="D86" s="26" t="str">
        <v>srv/v01</v>
      </c>
      <c r="E86" s="26" t="str">
        <v>srv02</v>
      </c>
      <c r="F86" s="26" t="str">
        <v>ob/4</v>
      </c>
      <c r="G86" s="26" t="str">
        <v>sfp</v>
      </c>
    </row>
    <row r="87" spans="3:7" x14ac:dyDescent="0.25">
      <c r="C87" s="1">
        <v>84</v>
      </c>
      <c r="D87" s="26" t="str">
        <v>srv/v01</v>
      </c>
      <c r="E87" s="26" t="str">
        <v>srv02</v>
      </c>
      <c r="F87" s="26" t="str">
        <v>pcie_1/1</v>
      </c>
      <c r="G87" s="26" t="str">
        <v>sfp</v>
      </c>
    </row>
    <row r="88" spans="3:7" x14ac:dyDescent="0.25">
      <c r="C88" s="1">
        <v>85</v>
      </c>
      <c r="D88" s="26" t="str">
        <v>srv/v01</v>
      </c>
      <c r="E88" s="26" t="str">
        <v>srv02</v>
      </c>
      <c r="F88" s="26" t="str">
        <v>pcie_1/2</v>
      </c>
      <c r="G88" s="26" t="str">
        <v>sfp</v>
      </c>
    </row>
    <row r="89" spans="3:7" x14ac:dyDescent="0.25">
      <c r="C89" s="1">
        <v>86</v>
      </c>
      <c r="D89" s="26" t="str">
        <v>srv/v01</v>
      </c>
      <c r="E89" s="26" t="str">
        <v>srv02</v>
      </c>
      <c r="F89" s="26" t="str">
        <v>pcie_2/2</v>
      </c>
      <c r="G89" s="26" t="str">
        <v>sfp</v>
      </c>
    </row>
    <row r="90" spans="3:7" x14ac:dyDescent="0.25">
      <c r="C90" s="1">
        <v>87</v>
      </c>
      <c r="D90" s="26" t="str">
        <v>srv/v01</v>
      </c>
      <c r="E90" s="26" t="str">
        <v>srv02</v>
      </c>
      <c r="F90" s="26" t="str">
        <v>pcie_2/2</v>
      </c>
      <c r="G90" s="26" t="str">
        <v>sfp</v>
      </c>
    </row>
    <row r="91" spans="3:7" x14ac:dyDescent="0.25">
      <c r="C91" s="1">
        <v>88</v>
      </c>
      <c r="D91" s="26" t="str">
        <v>srv/v01</v>
      </c>
      <c r="E91" s="26" t="str">
        <v>srv02</v>
      </c>
      <c r="F91" s="26" t="str">
        <v>pcie_3/1</v>
      </c>
      <c r="G91" s="26" t="str">
        <v>sfp</v>
      </c>
    </row>
    <row r="92" spans="3:7" x14ac:dyDescent="0.25">
      <c r="C92" s="1">
        <v>89</v>
      </c>
      <c r="D92" s="26" t="str">
        <v>srv/v01</v>
      </c>
      <c r="E92" s="26" t="str">
        <v>srv02</v>
      </c>
      <c r="F92" s="26" t="str">
        <v>pcie_3/2</v>
      </c>
      <c r="G92" s="26" t="str">
        <v>sfp</v>
      </c>
    </row>
    <row r="93" spans="3:7" x14ac:dyDescent="0.25">
      <c r="C93" s="1">
        <v>90</v>
      </c>
      <c r="D93" s="26" t="str">
        <v>srv/v01</v>
      </c>
      <c r="E93" s="26" t="str">
        <v>srv02</v>
      </c>
      <c r="F93" s="26" t="str">
        <v>pcie_4/1</v>
      </c>
      <c r="G93" s="26" t="str">
        <v>sfp</v>
      </c>
    </row>
    <row r="94" spans="3:7" x14ac:dyDescent="0.25">
      <c r="C94" s="1">
        <v>91</v>
      </c>
      <c r="D94" s="26" t="str">
        <v>srv/v01</v>
      </c>
      <c r="E94" s="26" t="str">
        <v>srv02</v>
      </c>
      <c r="F94" s="26" t="str">
        <v>pcie_4/2</v>
      </c>
      <c r="G94" s="26" t="str">
        <v>sfp</v>
      </c>
    </row>
    <row r="95" spans="3:7" x14ac:dyDescent="0.25">
      <c r="C95" s="1">
        <v>92</v>
      </c>
      <c r="D95" s="26" t="str">
        <v>srv/v01</v>
      </c>
      <c r="E95" s="26" t="str">
        <v>srv02</v>
      </c>
      <c r="F95" s="26" t="str">
        <v>idrac</v>
      </c>
      <c r="G95" s="26" t="str">
        <v>rj45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0388-C9AC-4228-9ECE-685FF44A92A3}">
  <dimension ref="C3:K4"/>
  <sheetViews>
    <sheetView workbookViewId="0">
      <selection activeCell="K7" sqref="K7"/>
    </sheetView>
  </sheetViews>
  <sheetFormatPr defaultRowHeight="15" x14ac:dyDescent="0.25"/>
  <cols>
    <col min="1" max="2" width="9.140625" style="1"/>
    <col min="3" max="3" width="16.85546875" style="1" customWidth="1"/>
    <col min="4" max="4" width="19.28515625" style="1" customWidth="1"/>
    <col min="5" max="5" width="17.5703125" style="1" customWidth="1"/>
    <col min="6" max="7" width="9.140625" style="1"/>
    <col min="8" max="8" width="10" style="1" customWidth="1"/>
    <col min="9" max="10" width="9.140625" style="1"/>
    <col min="11" max="11" width="10" style="1" customWidth="1"/>
    <col min="12" max="16384" width="9.140625" style="1"/>
  </cols>
  <sheetData>
    <row r="3" spans="3:11" x14ac:dyDescent="0.25">
      <c r="C3" s="1" t="s">
        <v>1</v>
      </c>
      <c r="D3" s="1" t="s">
        <v>162</v>
      </c>
      <c r="E3" s="1" t="s">
        <v>159</v>
      </c>
      <c r="F3" s="1" t="s">
        <v>155</v>
      </c>
      <c r="G3" s="1" t="s">
        <v>156</v>
      </c>
      <c r="H3" s="1" t="s">
        <v>163</v>
      </c>
      <c r="I3" s="1" t="s">
        <v>164</v>
      </c>
      <c r="J3" s="1" t="s">
        <v>165</v>
      </c>
      <c r="K3" s="1" t="s">
        <v>167</v>
      </c>
    </row>
    <row r="4" spans="3:11" x14ac:dyDescent="0.25">
      <c r="C4" s="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27F1-FB46-4656-A200-F8F65E91E2B4}">
  <dimension ref="C3:Q83"/>
  <sheetViews>
    <sheetView topLeftCell="B5" workbookViewId="0">
      <selection activeCell="I13" sqref="I13"/>
    </sheetView>
  </sheetViews>
  <sheetFormatPr defaultRowHeight="15" x14ac:dyDescent="0.25"/>
  <cols>
    <col min="1" max="2" width="9.140625" style="1"/>
    <col min="3" max="3" width="14" style="1" customWidth="1"/>
    <col min="4" max="4" width="17.42578125" style="1" customWidth="1"/>
    <col min="5" max="5" width="17.7109375" style="1" customWidth="1"/>
    <col min="6" max="6" width="21.5703125" style="1" customWidth="1"/>
    <col min="7" max="7" width="30.28515625" style="1" customWidth="1"/>
    <col min="8" max="8" width="22.7109375" style="1" customWidth="1"/>
    <col min="9" max="9" width="23.7109375" style="1" customWidth="1"/>
    <col min="10" max="10" width="30" style="1" customWidth="1"/>
    <col min="11" max="11" width="50" style="1" customWidth="1"/>
    <col min="12" max="13" width="35.5703125" style="1" customWidth="1"/>
    <col min="14" max="14" width="30.85546875" style="1" customWidth="1"/>
    <col min="15" max="16" width="36.42578125" style="1" customWidth="1"/>
    <col min="17" max="17" width="32.28515625" style="1" customWidth="1"/>
    <col min="18" max="16384" width="9.140625" style="1"/>
  </cols>
  <sheetData>
    <row r="3" spans="3:17" ht="45" x14ac:dyDescent="0.25">
      <c r="C3" s="3" t="s">
        <v>0</v>
      </c>
      <c r="D3" s="3" t="s">
        <v>51</v>
      </c>
      <c r="E3" s="3" t="s">
        <v>52</v>
      </c>
      <c r="F3" s="3" t="s">
        <v>26</v>
      </c>
      <c r="G3" s="3" t="s">
        <v>53</v>
      </c>
      <c r="H3" s="3" t="s">
        <v>57</v>
      </c>
      <c r="I3" s="3" t="s">
        <v>13</v>
      </c>
      <c r="J3" s="3" t="s">
        <v>58</v>
      </c>
      <c r="K3" s="3" t="s">
        <v>107</v>
      </c>
      <c r="L3" s="20" t="s">
        <v>101</v>
      </c>
      <c r="M3" s="20" t="s">
        <v>105</v>
      </c>
      <c r="N3" s="20" t="s">
        <v>102</v>
      </c>
      <c r="O3" s="20" t="s">
        <v>104</v>
      </c>
      <c r="P3" s="20" t="s">
        <v>137</v>
      </c>
      <c r="Q3" s="20" t="s">
        <v>103</v>
      </c>
    </row>
    <row r="4" spans="3:17" x14ac:dyDescent="0.25">
      <c r="C4" s="1" cm="1">
        <f t="array" ref="C4:C83">_xlfn.LET(_xlpm.path_entry_count,    _xlfn.XLOOKUP("path_entry_count", tbl_variable[name], tbl_variable[value], "FIXME", 0),
     _xlpm.return,              _xlfn.SEQUENCE(_xlpm.path_entry_count, 1, 1, 1),
     _xlpm.return)</f>
        <v>1</v>
      </c>
      <c r="D4" s="1" cm="1">
        <f t="array" ref="D4:D83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QUOTIENT(_xlpm.seed_sequence, _xlpm.hop_count) + 1,
     _xlpm.return)</f>
        <v>1</v>
      </c>
      <c r="E4" s="1" cm="1">
        <f t="array" ref="E4:E83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MOD(_xlpm.seed_sequence, _xlpm.hop_count) + 1,
     _xlpm.return)</f>
        <v>1</v>
      </c>
      <c r="F4" s="1" t="str" cm="1">
        <f t="array" ref="F4:F83">_xlfn.LET(_xlpm.row_indicies,_xlfn.ANCHORARRAY(    D4),
     _xlpm.hop_indicies,_xlfn.ANCHORARRAY(    E4),
     _xlpm.path_tbl,        tbl_paths[],
     _xlpm.map_lambda,      _xlfn.LAMBDA(_xlpm.row_index,_xlpm.hop_index,
                             _xlfn.LET(_xlpm.column_index,      MATCH(_xlfn.VALUETOTEXT(_xlpm.hop_index), tbl_paths[#Headers],  0),
                                 _xlpm.entry,             INDEX(tbl_paths[], _xlpm.row_index, _xlpm.column_index),
                                 _xlpm.cleaning_01,       SUBSTITUTE(CLEAN(TRIM(_xlpm.entry)), " ", ""),
                                 _xlpm.zero_to_blank,     IF(LEN(_xlpm.cleaning_01) &lt; 1,
                                                       "",
                                                       _xlpm.cleaning_01),
                                 _xlpm.return,            _xlpm.zero_to_blank,
                                 _xlpm.return)),
     _xlpm.return,          _xlfn.MAP(_xlpm.row_indicies, _xlpm.hop_indicies,
                          _xlpm.map_lambda),
     _xlpm.return)</f>
        <v>srv01;idrac</v>
      </c>
      <c r="G4" s="1" cm="1">
        <f t="array" ref="G4:G83">_xlfn.LET(_xlpm.path_indicies,_xlfn.ANCHORARRAY(        D4),
     _xlpm.entries,_xlfn.ANCHORARRAY(              F4),
     _xlpm.temp_table,           _xlfn.HSTACK(_xlpm.path_indicies, _xlpm.entries),
     _xlpm.map_lambda,           _xlfn.LAMBDA(_xlpm.path_index,_xlpm.entry,
                                  _xlfn.LET(_xlpm.temp_table_filtered_by_path,    _xlfn._xlws.FILTER(_xlpm.temp_table,
                                                                             _xlfn.CHOOSECOLS(_xlpm.temp_table, 1) = _xlpm.path_index),
                                      _xlpm.per_path_entries,               _xlfn.CHOOSECOLS(_xlpm.temp_table_filtered_by_path, 2),
                                      _xlpm.path_entries_deblanked,         _xlfn._xlws.FILTER(_xlpm.per_path_entries,
                                                                             LEN(_xlpm.per_path_entries) &gt; 0),
                                      _xlpm.new_index_of_entry,             IF(LEN(_xlpm.entry) = 0,
                                                                         "",
                                                                         MATCH(_xlpm.entry, _xlpm.path_entries_deblanked, 0)),
                                      _xlpm.return,                         _xlpm.new_index_of_entry,
                                      _xlpm.return)),
     _xlpm.mapping,              _xlfn.MAP(_xlpm.path_indicies, _xlpm.entries,
                               _xlpm.map_lambda),
     _xlpm.return,               _xlpm.mapping,
     _xlpm.return)</f>
        <v>1</v>
      </c>
      <c r="H4" s="1" t="str" cm="1">
        <f t="array" ref="H4:H83">_xlfn.LET(_xlpm.delimiter_device_if_name,      _xlfn.XLOOKUP("delimiter_device_if_name", tbl_variable[name],tbl_variable[value], "FIXME", 0),
     _xlpm.return,                         IF(LEN(_xlfn.ANCHORARRAY(F4)) &gt; 0,
                                        _xlfn.TEXTBEFORE(_xlfn.ANCHORARRAY(F4), _xlpm.delimiter_device_if_name),
                                         ""),
     _xlpm.return)</f>
        <v>srv01</v>
      </c>
      <c r="I4" s="1" t="str" cm="1">
        <f t="array" ref="I4:I83">IF(LEN(_xlfn.ANCHORARRAY(H4)) &gt; 0,
    _xlfn.XLOOKUP(_xlfn.ANCHORARRAY(H4), tbl_devices[handle_permanent_cleaned], tbl_devices[final_state], "FIXME", 0),
    "")</f>
        <v>ok</v>
      </c>
      <c r="J4" s="1" t="str" cm="1">
        <f t="array" ref="J4:J83">IF(LEN(_xlfn.ANCHORARRAY(F4)) &gt; 0,
    _xlfn.XLOOKUP(_xlfn.ANCHORARRAY(F4), tbl_interfaces[if_id], tbl_interfaces[final_state], "ERROR::::if_id_not_found_in_if_id_table", 0),
    "")</f>
        <v>ok</v>
      </c>
      <c r="K4" s="1" t="str" cm="1">
        <f t="array" ref="K4:K83">_xlfn.XLOOKUP(_xlfn.ANCHORARRAY(D4), tbl_paths[manual_index], tbl_paths[derived_state], "FIXME")</f>
        <v>ok</v>
      </c>
      <c r="L4" s="1" cm="1">
        <f t="array" ref="L4:L83">_xlfn.LET(_xlpm.if_ids,_xlfn.ANCHORARRAY(               F4),
     _xlpm.c_p_states,_xlfn.ANCHORARRAY(           K4),
     _xlpm.entry_indicies,_xlfn.ANCHORARRAY(       C4),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_xlpm.entry_indicies,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M4" s="1" cm="1">
        <f t="array" ref="M4:M83">_xlfn.LET(_xlpm.path_indicies,_xlfn.ANCHORARRAY(            D4),
     _xlpm.entry_index_most_recents,_xlfn.ANCHORARRAY( L4),
     _xlpm.collective_path_states,_xlfn.ANCHORARRAY(   K4),
     _xlpm.if_ids,_xlfn.ANCHORARRAY(                   F4),
     _xlpm.temp_table,               _xlfn.HSTACK(_xlpm.path_indicies, _xlpm.entry_index_most_recents),
     _xlpm.map_lambda,         _xlfn.LAMBDA(_xlpm.path_index,_xlpm.if_id,_xlpm.collective_path_state,
                                IF(_xlpm.collective_path_state = "ok",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_xlpm.per_path_most_recents,   _xlfn.CHOOSECOLS(_xlpm.per_path_table, 2),
                                       _xlpm.max_per_path,            MAX(_xlpm.per_path_most_recents),
                                       _xlpm.return,                  IF(LEN(_xlpm.if_id) &gt; 0,
                                                                    _xlpm.max_per_path,
                                                                   ""),
                                       _xlpm.return),
                                   "")),
     _xlpm.mapping,            _xlfn.MAP(_xlpm.path_indicies, _xlpm.if_ids, _xlpm.collective_path_states,
                             _xlpm.map_lambda),
     _xlpm.return,             _xlpm.mapping,
     _xlpm.return)</f>
        <v>12</v>
      </c>
      <c r="N4" s="1" cm="1">
        <f t="array" ref="N4:N83">_xlfn.LET(_xlpm.if_ids,_xlfn.ANCHORARRAY(               F4),
     _xlpm.c_p_states,_xlfn.ANCHORARRAY(           K4),
     _xlpm.path_indicies,_xlfn.ANCHORARRAY(        D4),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_xlpm.path_indicies,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O4" s="21" t="b" cm="1">
        <f t="array" ref="O4:O83">_xlfn.LET(_xlpm.path_index_of_most_recent_occurence_of_if_id_over_all_ok_paths,_xlfn.ANCHORARRAY( N4),
     _xlpm.path_states,_xlfn.ANCHORARRAY(             K4),
     _xlpm.path_indicies,_xlfn.ANCHORARRAY(           D4),
     _xlpm.temp_table,              _xlfn.HSTACK(_xlpm.path_indicies, _xlpm.path_index_of_most_recent_occurence_of_if_id_over_all_ok_paths),
     _xlpm.true_acc_f,           _xlfn.LAMBDA(_xlpm.current,_xlpm.acc,
                                  _xlpm.current = _xlpm.acc),
     _xlpm.true_reducer_f,       _xlfn.LAMBDA(_xlpm.bool_array,
                                  _xlfn.REDUCE(TRUE, _xlpm.bool_array,
                                         _xlpm.true_acc_f)),
     _xlpm.map_lambda,              _xlfn.LAMBDA(_xlpm.path_index,
                                     _xlfn.LET(_xlpm.per_path_temp_table,          _xlfn._xlws.FILTER(_xlpm.temp_table,
                                                                             _xlfn.CHOOSECOLS(_xlpm.temp_table, 1) = _xlpm.path_index),
                                         _xlpm.most_recent_path_of_entry,    _xlfn.CHOOSECOLS(_xlpm.per_path_temp_table, 2),
                                         _xlpm.most_recents_deblanked,       _xlfn._xlws.FILTER(_xlpm.most_recent_path_of_entry,
                                                                              LEN(_xlpm.most_recent_path_of_entry) &gt; 0),
                                         _xlpm.most_recents_array_count,     ROWS(_xlpm.most_recents_deblanked),
                                         _xlpm.temp_array,                   _xlfn.SEQUENCE(_xlpm.most_recents_array_count, 1, _xlpm.path_index, 0),
                                         _xlpm.boolean_array,                _xlpm.most_recents_deblanked = _xlpm.temp_array,
                                         _xlpm.return,                       NOT(_xlpm.true_reducer_f(_xlpm.boolean_array)),
                                         _xlpm.return)),
      _xlpm.mapping,                 _xlfn.MAP(_xlpm.path_indicies, _xlpm.map_lambda),
      _xlpm.return,                  _xlpm.mapping,
      _xlpm.return)</f>
        <v>1</v>
      </c>
      <c r="P4" s="21" t="str" cm="1">
        <f t="array" ref="P4:P83">_xlfn.LET(_xlpm.derived_path_state,_xlfn.ANCHORARRAY(       K4),
     _xlpm.deprecation_state,_xlfn.ANCHORARRAY(        O4),
     _xlpm.cases,                    _xlfn.IFS(_xlpm.derived_path_state &lt;&gt; "ok",
                                   "not_ok",
                                   _xlpm.deprecation_state,
                                   "not_ok",
                                   TRUE,
                                   "ok"),
     _xlpm.return,                   _xlpm.cases,
     _xlpm.cases)</f>
        <v>not_ok</v>
      </c>
      <c r="Q4" s="1" cm="1">
        <f t="array" ref="Q4:Q83">_xlfn.LET(_xlpm.path_indicies,_xlfn.ANCHORARRAY(      D4),
     _xlpm.if_ids,_xlfn.ANCHORARRAY(             F4),
     _xlpm.temp_table,         _xlfn.HSTACK(_xlpm.path_indicies, _xlpm.if_ids),
     _xlpm.map_lambda,         _xlfn.LAMBDA(_xlpm.path_index,_xlpm.if_id,
                                IF(LEN(_xlpm.if_id) &gt; 0,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_xlpm.per_path_if_ids,         _xlfn.CHOOSECOLS(_xlpm.per_path_table, 2),
                                       _xlpm.per_path_if_id_count,    SUMPRODUCT(--(_xlpm.per_path_if_ids = _xlpm.if_id)),
                                       _xlpm.return,                  _xlpm.per_path_if_id_count,
                                       _xlpm.return),
                                   "")),
     _xlpm.mapping,            _xlfn.MAP(_xlpm.path_indicies, _xlpm.if_ids,
                             _xlpm.map_lambda),
     _xlpm.return,             _xlpm.mapping,
     _xlpm.return)</f>
        <v>1</v>
      </c>
    </row>
    <row r="5" spans="3:17" x14ac:dyDescent="0.25">
      <c r="C5" s="1">
        <v>2</v>
      </c>
      <c r="D5" s="1">
        <v>1</v>
      </c>
      <c r="E5" s="1">
        <v>2</v>
      </c>
      <c r="F5" s="1" t="str">
        <v>mgmtsw01;01</v>
      </c>
      <c r="G5" s="1">
        <v>2</v>
      </c>
      <c r="H5" s="1" t="str">
        <v>mgmtsw01</v>
      </c>
      <c r="I5" s="1" t="str">
        <v>ok</v>
      </c>
      <c r="J5" s="1" t="str">
        <v>ok</v>
      </c>
      <c r="K5" s="1" t="str">
        <v>ok</v>
      </c>
      <c r="L5" s="1">
        <v>12</v>
      </c>
      <c r="M5" s="1">
        <v>12</v>
      </c>
      <c r="N5" s="1">
        <v>2</v>
      </c>
      <c r="O5" s="1" t="b">
        <v>1</v>
      </c>
      <c r="P5" s="1" t="str">
        <v>not_ok</v>
      </c>
      <c r="Q5" s="1">
        <v>1</v>
      </c>
    </row>
    <row r="6" spans="3:17" x14ac:dyDescent="0.25">
      <c r="C6" s="1">
        <v>3</v>
      </c>
      <c r="D6" s="1">
        <v>1</v>
      </c>
      <c r="E6" s="1">
        <v>3</v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>ok</v>
      </c>
      <c r="L6" s="1" t="str">
        <v/>
      </c>
      <c r="M6" s="1" t="str">
        <v/>
      </c>
      <c r="N6" s="1" t="str">
        <v/>
      </c>
      <c r="O6" s="1" t="b">
        <v>1</v>
      </c>
      <c r="P6" s="1" t="str">
        <v>not_ok</v>
      </c>
      <c r="Q6" s="1" t="str">
        <v/>
      </c>
    </row>
    <row r="7" spans="3:17" x14ac:dyDescent="0.25">
      <c r="C7" s="1">
        <v>4</v>
      </c>
      <c r="D7" s="1">
        <v>1</v>
      </c>
      <c r="E7" s="1">
        <v>4</v>
      </c>
      <c r="F7" s="1" t="str">
        <v/>
      </c>
      <c r="G7" s="1" t="str">
        <v/>
      </c>
      <c r="H7" s="1" t="str">
        <v/>
      </c>
      <c r="I7" s="1" t="str">
        <v/>
      </c>
      <c r="J7" s="1" t="str">
        <v/>
      </c>
      <c r="K7" s="1" t="str">
        <v>ok</v>
      </c>
      <c r="L7" s="1" t="str">
        <v/>
      </c>
      <c r="M7" s="1" t="str">
        <v/>
      </c>
      <c r="N7" s="1" t="str">
        <v/>
      </c>
      <c r="O7" s="1" t="b">
        <v>1</v>
      </c>
      <c r="P7" s="1" t="str">
        <v>not_ok</v>
      </c>
      <c r="Q7" s="1" t="str">
        <v/>
      </c>
    </row>
    <row r="8" spans="3:17" x14ac:dyDescent="0.25">
      <c r="C8" s="1">
        <v>5</v>
      </c>
      <c r="D8" s="1">
        <v>1</v>
      </c>
      <c r="E8" s="1">
        <v>5</v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>ok</v>
      </c>
      <c r="L8" s="1" t="str">
        <v/>
      </c>
      <c r="M8" s="1" t="str">
        <v/>
      </c>
      <c r="N8" s="1" t="str">
        <v/>
      </c>
      <c r="O8" s="1" t="b">
        <v>1</v>
      </c>
      <c r="P8" s="1" t="str">
        <v>not_ok</v>
      </c>
      <c r="Q8" s="1" t="str">
        <v/>
      </c>
    </row>
    <row r="9" spans="3:17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>ok</v>
      </c>
      <c r="L9" s="1" t="str">
        <v/>
      </c>
      <c r="M9" s="1" t="str">
        <v/>
      </c>
      <c r="N9" s="1" t="str">
        <v/>
      </c>
      <c r="O9" s="1" t="b">
        <v>1</v>
      </c>
      <c r="P9" s="1" t="str">
        <v>not_ok</v>
      </c>
      <c r="Q9" s="1" t="str">
        <v/>
      </c>
    </row>
    <row r="10" spans="3:17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>ok</v>
      </c>
      <c r="L10" s="1" t="str">
        <v/>
      </c>
      <c r="M10" s="1" t="str">
        <v/>
      </c>
      <c r="N10" s="1" t="str">
        <v/>
      </c>
      <c r="O10" s="1" t="b">
        <v>1</v>
      </c>
      <c r="P10" s="1" t="str">
        <v>not_ok</v>
      </c>
      <c r="Q10" s="1" t="str">
        <v/>
      </c>
    </row>
    <row r="11" spans="3:17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>ok</v>
      </c>
      <c r="L11" s="1" t="str">
        <v/>
      </c>
      <c r="M11" s="1" t="str">
        <v/>
      </c>
      <c r="N11" s="1" t="str">
        <v/>
      </c>
      <c r="O11" s="1" t="b">
        <v>1</v>
      </c>
      <c r="P11" s="1" t="str">
        <v>not_ok</v>
      </c>
      <c r="Q11" s="1" t="str">
        <v/>
      </c>
    </row>
    <row r="12" spans="3:17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>ok</v>
      </c>
      <c r="L12" s="1" t="str">
        <v/>
      </c>
      <c r="M12" s="1" t="str">
        <v/>
      </c>
      <c r="N12" s="1" t="str">
        <v/>
      </c>
      <c r="O12" s="1" t="b">
        <v>1</v>
      </c>
      <c r="P12" s="1" t="str">
        <v>not_ok</v>
      </c>
      <c r="Q12" s="1" t="str">
        <v/>
      </c>
    </row>
    <row r="13" spans="3:17" x14ac:dyDescent="0.25">
      <c r="C13" s="1">
        <v>10</v>
      </c>
      <c r="D13" s="1">
        <v>1</v>
      </c>
      <c r="E13" s="1">
        <v>10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>ok</v>
      </c>
      <c r="L13" s="1" t="str">
        <v/>
      </c>
      <c r="M13" s="1" t="str">
        <v/>
      </c>
      <c r="N13" s="1" t="str">
        <v/>
      </c>
      <c r="O13" s="1" t="b">
        <v>1</v>
      </c>
      <c r="P13" s="1" t="str">
        <v>not_ok</v>
      </c>
      <c r="Q13" s="1" t="str">
        <v/>
      </c>
    </row>
    <row r="14" spans="3:17" x14ac:dyDescent="0.25">
      <c r="C14" s="1">
        <v>11</v>
      </c>
      <c r="D14" s="1">
        <v>2</v>
      </c>
      <c r="E14" s="1">
        <v>1</v>
      </c>
      <c r="F14" s="1" t="str">
        <v>srv01;ob/1</v>
      </c>
      <c r="G14" s="1">
        <v>1</v>
      </c>
      <c r="H14" s="1" t="str">
        <v>srv01</v>
      </c>
      <c r="I14" s="1" t="str">
        <v>ok</v>
      </c>
      <c r="J14" s="1" t="str">
        <v>ok</v>
      </c>
      <c r="K14" s="1" t="str">
        <v>ok</v>
      </c>
      <c r="L14" s="1">
        <v>11</v>
      </c>
      <c r="M14" s="1">
        <v>14</v>
      </c>
      <c r="N14" s="1">
        <v>2</v>
      </c>
      <c r="O14" s="1" t="b">
        <v>0</v>
      </c>
      <c r="P14" s="1" t="str">
        <v>ok</v>
      </c>
      <c r="Q14" s="1">
        <v>1</v>
      </c>
    </row>
    <row r="15" spans="3:17" x14ac:dyDescent="0.25">
      <c r="C15" s="1">
        <v>12</v>
      </c>
      <c r="D15" s="1">
        <v>2</v>
      </c>
      <c r="E15" s="1">
        <v>2</v>
      </c>
      <c r="F15" s="1" t="str">
        <v>mgmtsw01;01</v>
      </c>
      <c r="G15" s="1">
        <v>2</v>
      </c>
      <c r="H15" s="1" t="str">
        <v>mgmtsw01</v>
      </c>
      <c r="I15" s="1" t="str">
        <v>ok</v>
      </c>
      <c r="J15" s="1" t="str">
        <v>ok</v>
      </c>
      <c r="K15" s="1" t="str">
        <v>ok</v>
      </c>
      <c r="L15" s="1">
        <v>12</v>
      </c>
      <c r="M15" s="1">
        <v>14</v>
      </c>
      <c r="N15" s="1">
        <v>2</v>
      </c>
      <c r="O15" s="1" t="b">
        <v>0</v>
      </c>
      <c r="P15" s="1" t="str">
        <v>ok</v>
      </c>
      <c r="Q15" s="1">
        <v>1</v>
      </c>
    </row>
    <row r="16" spans="3:17" x14ac:dyDescent="0.25">
      <c r="C16" s="1">
        <v>13</v>
      </c>
      <c r="D16" s="1">
        <v>2</v>
      </c>
      <c r="E16" s="1">
        <v>3</v>
      </c>
      <c r="F16" s="1" t="str">
        <v/>
      </c>
      <c r="G16" s="1" t="str">
        <v/>
      </c>
      <c r="H16" s="1" t="str">
        <v/>
      </c>
      <c r="I16" s="1" t="str">
        <v/>
      </c>
      <c r="J16" s="1" t="str">
        <v/>
      </c>
      <c r="K16" s="1" t="str">
        <v>ok</v>
      </c>
      <c r="L16" s="1" t="str">
        <v/>
      </c>
      <c r="M16" s="1" t="str">
        <v/>
      </c>
      <c r="N16" s="1" t="str">
        <v/>
      </c>
      <c r="O16" s="1" t="b">
        <v>0</v>
      </c>
      <c r="P16" s="1" t="str">
        <v>ok</v>
      </c>
      <c r="Q16" s="1" t="str">
        <v/>
      </c>
    </row>
    <row r="17" spans="3:17" x14ac:dyDescent="0.25">
      <c r="C17" s="1">
        <v>14</v>
      </c>
      <c r="D17" s="1">
        <v>2</v>
      </c>
      <c r="E17" s="1">
        <v>4</v>
      </c>
      <c r="F17" s="1" t="str">
        <v>leaf01;01</v>
      </c>
      <c r="G17" s="1">
        <v>3</v>
      </c>
      <c r="H17" s="1" t="str">
        <v>leaf01</v>
      </c>
      <c r="I17" s="1" t="str">
        <v>ok</v>
      </c>
      <c r="J17" s="1" t="str">
        <v>ok</v>
      </c>
      <c r="K17" s="1" t="str">
        <v>ok</v>
      </c>
      <c r="L17" s="1">
        <v>14</v>
      </c>
      <c r="M17" s="1">
        <v>14</v>
      </c>
      <c r="N17" s="1">
        <v>2</v>
      </c>
      <c r="O17" s="1" t="b">
        <v>0</v>
      </c>
      <c r="P17" s="1" t="str">
        <v>ok</v>
      </c>
      <c r="Q17" s="1">
        <v>1</v>
      </c>
    </row>
    <row r="18" spans="3:17" x14ac:dyDescent="0.25">
      <c r="C18" s="1">
        <v>15</v>
      </c>
      <c r="D18" s="1">
        <v>2</v>
      </c>
      <c r="E18" s="1">
        <v>5</v>
      </c>
      <c r="F18" s="1" t="str">
        <v/>
      </c>
      <c r="G18" s="1" t="str">
        <v/>
      </c>
      <c r="H18" s="1" t="str">
        <v/>
      </c>
      <c r="I18" s="1" t="str">
        <v/>
      </c>
      <c r="J18" s="1" t="str">
        <v/>
      </c>
      <c r="K18" s="1" t="str">
        <v>ok</v>
      </c>
      <c r="L18" s="1" t="str">
        <v/>
      </c>
      <c r="M18" s="1" t="str">
        <v/>
      </c>
      <c r="N18" s="1" t="str">
        <v/>
      </c>
      <c r="O18" s="1" t="b">
        <v>0</v>
      </c>
      <c r="P18" s="1" t="str">
        <v>ok</v>
      </c>
      <c r="Q18" s="1" t="str">
        <v/>
      </c>
    </row>
    <row r="19" spans="3:17" x14ac:dyDescent="0.25">
      <c r="C19" s="1">
        <v>16</v>
      </c>
      <c r="D19" s="1">
        <v>2</v>
      </c>
      <c r="E19" s="1">
        <v>6</v>
      </c>
      <c r="F19" s="1" t="str">
        <v/>
      </c>
      <c r="G19" s="1" t="str">
        <v/>
      </c>
      <c r="H19" s="1" t="str">
        <v/>
      </c>
      <c r="I19" s="1" t="str">
        <v/>
      </c>
      <c r="J19" s="1" t="str">
        <v/>
      </c>
      <c r="K19" s="1" t="str">
        <v>ok</v>
      </c>
      <c r="L19" s="1" t="str">
        <v/>
      </c>
      <c r="M19" s="1" t="str">
        <v/>
      </c>
      <c r="N19" s="1" t="str">
        <v/>
      </c>
      <c r="O19" s="1" t="b">
        <v>0</v>
      </c>
      <c r="P19" s="1" t="str">
        <v>ok</v>
      </c>
      <c r="Q19" s="1" t="str">
        <v/>
      </c>
    </row>
    <row r="20" spans="3:17" x14ac:dyDescent="0.25">
      <c r="C20" s="1">
        <v>17</v>
      </c>
      <c r="D20" s="1">
        <v>2</v>
      </c>
      <c r="E20" s="1">
        <v>7</v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>ok</v>
      </c>
      <c r="L20" s="1" t="str">
        <v/>
      </c>
      <c r="M20" s="1" t="str">
        <v/>
      </c>
      <c r="N20" s="1" t="str">
        <v/>
      </c>
      <c r="O20" s="1" t="b">
        <v>0</v>
      </c>
      <c r="P20" s="1" t="str">
        <v>ok</v>
      </c>
      <c r="Q20" s="1" t="str">
        <v/>
      </c>
    </row>
    <row r="21" spans="3:17" x14ac:dyDescent="0.25">
      <c r="C21" s="1">
        <v>18</v>
      </c>
      <c r="D21" s="1">
        <v>2</v>
      </c>
      <c r="E21" s="1">
        <v>8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>ok</v>
      </c>
      <c r="L21" s="1" t="str">
        <v/>
      </c>
      <c r="M21" s="1" t="str">
        <v/>
      </c>
      <c r="N21" s="1" t="str">
        <v/>
      </c>
      <c r="O21" s="1" t="b">
        <v>0</v>
      </c>
      <c r="P21" s="1" t="str">
        <v>ok</v>
      </c>
      <c r="Q21" s="1" t="str">
        <v/>
      </c>
    </row>
    <row r="22" spans="3:17" x14ac:dyDescent="0.25">
      <c r="C22" s="1">
        <v>19</v>
      </c>
      <c r="D22" s="1">
        <v>2</v>
      </c>
      <c r="E22" s="1">
        <v>9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>ok</v>
      </c>
      <c r="L22" s="1" t="str">
        <v/>
      </c>
      <c r="M22" s="1" t="str">
        <v/>
      </c>
      <c r="N22" s="1" t="str">
        <v/>
      </c>
      <c r="O22" s="1" t="b">
        <v>0</v>
      </c>
      <c r="P22" s="1" t="str">
        <v>ok</v>
      </c>
      <c r="Q22" s="1" t="str">
        <v/>
      </c>
    </row>
    <row r="23" spans="3:17" x14ac:dyDescent="0.25">
      <c r="C23" s="1">
        <v>20</v>
      </c>
      <c r="D23" s="1">
        <v>2</v>
      </c>
      <c r="E23" s="1">
        <v>10</v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>ok</v>
      </c>
      <c r="L23" s="1" t="str">
        <v/>
      </c>
      <c r="M23" s="1" t="str">
        <v/>
      </c>
      <c r="N23" s="1" t="str">
        <v/>
      </c>
      <c r="O23" s="1" t="b">
        <v>0</v>
      </c>
      <c r="P23" s="1" t="str">
        <v>ok</v>
      </c>
      <c r="Q23" s="1" t="str">
        <v/>
      </c>
    </row>
    <row r="24" spans="3:17" x14ac:dyDescent="0.25">
      <c r="C24" s="1">
        <v>21</v>
      </c>
      <c r="D24" s="1">
        <v>3</v>
      </c>
      <c r="E24" s="1">
        <v>1</v>
      </c>
      <c r="F24" s="1" t="str">
        <v>srv01;ob/2</v>
      </c>
      <c r="G24" s="1">
        <v>1</v>
      </c>
      <c r="H24" s="1" t="str">
        <v>srv01</v>
      </c>
      <c r="I24" s="1" t="str">
        <v>ok</v>
      </c>
      <c r="J24" s="1" t="str">
        <v>ok</v>
      </c>
      <c r="K24" s="1" t="str">
        <v>ok</v>
      </c>
      <c r="L24" s="1">
        <v>21</v>
      </c>
      <c r="M24" s="1">
        <v>27</v>
      </c>
      <c r="N24" s="1">
        <v>3</v>
      </c>
      <c r="O24" s="1" t="b">
        <v>0</v>
      </c>
      <c r="P24" s="1" t="str">
        <v>ok</v>
      </c>
      <c r="Q24" s="1">
        <v>1</v>
      </c>
    </row>
    <row r="25" spans="3:17" x14ac:dyDescent="0.25">
      <c r="C25" s="1">
        <v>22</v>
      </c>
      <c r="D25" s="1">
        <v>3</v>
      </c>
      <c r="E25" s="1">
        <v>2</v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>ok</v>
      </c>
      <c r="L25" s="1" t="str">
        <v/>
      </c>
      <c r="M25" s="1" t="str">
        <v/>
      </c>
      <c r="N25" s="1" t="str">
        <v/>
      </c>
      <c r="O25" s="1" t="b">
        <v>0</v>
      </c>
      <c r="P25" s="1" t="str">
        <v>ok</v>
      </c>
      <c r="Q25" s="1" t="str">
        <v/>
      </c>
    </row>
    <row r="26" spans="3:17" x14ac:dyDescent="0.25">
      <c r="C26" s="1">
        <v>23</v>
      </c>
      <c r="D26" s="1">
        <v>3</v>
      </c>
      <c r="E26" s="1">
        <v>3</v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>ok</v>
      </c>
      <c r="L26" s="1" t="str">
        <v/>
      </c>
      <c r="M26" s="1" t="str">
        <v/>
      </c>
      <c r="N26" s="1" t="str">
        <v/>
      </c>
      <c r="O26" s="1" t="b">
        <v>0</v>
      </c>
      <c r="P26" s="1" t="str">
        <v>ok</v>
      </c>
      <c r="Q26" s="1" t="str">
        <v/>
      </c>
    </row>
    <row r="27" spans="3:17" x14ac:dyDescent="0.25">
      <c r="C27" s="1">
        <v>24</v>
      </c>
      <c r="D27" s="1">
        <v>3</v>
      </c>
      <c r="E27" s="1">
        <v>4</v>
      </c>
      <c r="F27" s="1" t="str">
        <v/>
      </c>
      <c r="G27" s="1" t="str">
        <v/>
      </c>
      <c r="H27" s="1" t="str">
        <v/>
      </c>
      <c r="I27" s="1" t="str">
        <v/>
      </c>
      <c r="J27" s="1" t="str">
        <v/>
      </c>
      <c r="K27" s="1" t="str">
        <v>ok</v>
      </c>
      <c r="L27" s="1" t="str">
        <v/>
      </c>
      <c r="M27" s="1" t="str">
        <v/>
      </c>
      <c r="N27" s="1" t="str">
        <v/>
      </c>
      <c r="O27" s="1" t="b">
        <v>0</v>
      </c>
      <c r="P27" s="1" t="str">
        <v>ok</v>
      </c>
      <c r="Q27" s="1" t="str">
        <v/>
      </c>
    </row>
    <row r="28" spans="3:17" x14ac:dyDescent="0.25">
      <c r="C28" s="1">
        <v>25</v>
      </c>
      <c r="D28" s="1">
        <v>3</v>
      </c>
      <c r="E28" s="1">
        <v>5</v>
      </c>
      <c r="F28" s="1" t="str">
        <v/>
      </c>
      <c r="G28" s="1" t="str">
        <v/>
      </c>
      <c r="H28" s="1" t="str">
        <v/>
      </c>
      <c r="I28" s="1" t="str">
        <v/>
      </c>
      <c r="J28" s="1" t="str">
        <v/>
      </c>
      <c r="K28" s="1" t="str">
        <v>ok</v>
      </c>
      <c r="L28" s="1" t="str">
        <v/>
      </c>
      <c r="M28" s="1" t="str">
        <v/>
      </c>
      <c r="N28" s="1" t="str">
        <v/>
      </c>
      <c r="O28" s="1" t="b">
        <v>0</v>
      </c>
      <c r="P28" s="1" t="str">
        <v>ok</v>
      </c>
      <c r="Q28" s="1" t="str">
        <v/>
      </c>
    </row>
    <row r="29" spans="3:17" x14ac:dyDescent="0.25">
      <c r="C29" s="1">
        <v>26</v>
      </c>
      <c r="D29" s="1">
        <v>3</v>
      </c>
      <c r="E29" s="1">
        <v>6</v>
      </c>
      <c r="F29" s="1" t="str">
        <v/>
      </c>
      <c r="G29" s="1" t="str">
        <v/>
      </c>
      <c r="H29" s="1" t="str">
        <v/>
      </c>
      <c r="I29" s="1" t="str">
        <v/>
      </c>
      <c r="J29" s="1" t="str">
        <v/>
      </c>
      <c r="K29" s="1" t="str">
        <v>ok</v>
      </c>
      <c r="L29" s="1" t="str">
        <v/>
      </c>
      <c r="M29" s="1" t="str">
        <v/>
      </c>
      <c r="N29" s="1" t="str">
        <v/>
      </c>
      <c r="O29" s="1" t="b">
        <v>0</v>
      </c>
      <c r="P29" s="1" t="str">
        <v>ok</v>
      </c>
      <c r="Q29" s="1" t="str">
        <v/>
      </c>
    </row>
    <row r="30" spans="3:17" x14ac:dyDescent="0.25">
      <c r="C30" s="1">
        <v>27</v>
      </c>
      <c r="D30" s="1">
        <v>3</v>
      </c>
      <c r="E30" s="1">
        <v>7</v>
      </c>
      <c r="F30" s="1" t="str">
        <v>leaf01;02</v>
      </c>
      <c r="G30" s="1">
        <v>2</v>
      </c>
      <c r="H30" s="1" t="str">
        <v>leaf01</v>
      </c>
      <c r="I30" s="1" t="str">
        <v>ok</v>
      </c>
      <c r="J30" s="1" t="str">
        <v>ok</v>
      </c>
      <c r="K30" s="1" t="str">
        <v>ok</v>
      </c>
      <c r="L30" s="1">
        <v>27</v>
      </c>
      <c r="M30" s="1">
        <v>27</v>
      </c>
      <c r="N30" s="1">
        <v>3</v>
      </c>
      <c r="O30" s="1" t="b">
        <v>0</v>
      </c>
      <c r="P30" s="1" t="str">
        <v>ok</v>
      </c>
      <c r="Q30" s="1">
        <v>1</v>
      </c>
    </row>
    <row r="31" spans="3:17" x14ac:dyDescent="0.25">
      <c r="C31" s="1">
        <v>28</v>
      </c>
      <c r="D31" s="1">
        <v>3</v>
      </c>
      <c r="E31" s="1">
        <v>8</v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>ok</v>
      </c>
      <c r="L31" s="1" t="str">
        <v/>
      </c>
      <c r="M31" s="1" t="str">
        <v/>
      </c>
      <c r="N31" s="1" t="str">
        <v/>
      </c>
      <c r="O31" s="1" t="b">
        <v>0</v>
      </c>
      <c r="P31" s="1" t="str">
        <v>ok</v>
      </c>
      <c r="Q31" s="1" t="str">
        <v/>
      </c>
    </row>
    <row r="32" spans="3:17" x14ac:dyDescent="0.25">
      <c r="C32" s="1">
        <v>29</v>
      </c>
      <c r="D32" s="1">
        <v>3</v>
      </c>
      <c r="E32" s="1">
        <v>9</v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>ok</v>
      </c>
      <c r="L32" s="1" t="str">
        <v/>
      </c>
      <c r="M32" s="1" t="str">
        <v/>
      </c>
      <c r="N32" s="1" t="str">
        <v/>
      </c>
      <c r="O32" s="1" t="b">
        <v>0</v>
      </c>
      <c r="P32" s="1" t="str">
        <v>ok</v>
      </c>
      <c r="Q32" s="1" t="str">
        <v/>
      </c>
    </row>
    <row r="33" spans="3:17" x14ac:dyDescent="0.25">
      <c r="C33" s="1">
        <v>30</v>
      </c>
      <c r="D33" s="1">
        <v>3</v>
      </c>
      <c r="E33" s="1">
        <v>10</v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>ok</v>
      </c>
      <c r="L33" s="1" t="str">
        <v/>
      </c>
      <c r="M33" s="1" t="str">
        <v/>
      </c>
      <c r="N33" s="1" t="str">
        <v/>
      </c>
      <c r="O33" s="1" t="b">
        <v>0</v>
      </c>
      <c r="P33" s="1" t="str">
        <v>ok</v>
      </c>
      <c r="Q33" s="1" t="str">
        <v/>
      </c>
    </row>
    <row r="34" spans="3:17" x14ac:dyDescent="0.25">
      <c r="C34" s="1">
        <v>31</v>
      </c>
      <c r="D34" s="1">
        <v>4</v>
      </c>
      <c r="E34" s="1">
        <v>1</v>
      </c>
      <c r="F34" s="1" t="str">
        <v>srv02;idrac</v>
      </c>
      <c r="G34" s="1">
        <v>1</v>
      </c>
      <c r="H34" s="1" t="str">
        <v>srv02</v>
      </c>
      <c r="I34" s="1" t="str">
        <v>ok</v>
      </c>
      <c r="J34" s="1" t="str">
        <v>ok</v>
      </c>
      <c r="K34" s="1" t="str">
        <v>ok</v>
      </c>
      <c r="L34" s="1">
        <v>31</v>
      </c>
      <c r="M34" s="1">
        <v>36</v>
      </c>
      <c r="N34" s="1">
        <v>4</v>
      </c>
      <c r="O34" s="1" t="b">
        <v>0</v>
      </c>
      <c r="P34" s="1" t="str">
        <v>ok</v>
      </c>
      <c r="Q34" s="1">
        <v>1</v>
      </c>
    </row>
    <row r="35" spans="3:17" x14ac:dyDescent="0.25">
      <c r="C35" s="1">
        <v>32</v>
      </c>
      <c r="D35" s="1">
        <v>4</v>
      </c>
      <c r="E35" s="1">
        <v>2</v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>ok</v>
      </c>
      <c r="L35" s="1" t="str">
        <v/>
      </c>
      <c r="M35" s="1" t="str">
        <v/>
      </c>
      <c r="N35" s="1" t="str">
        <v/>
      </c>
      <c r="O35" s="1" t="b">
        <v>0</v>
      </c>
      <c r="P35" s="1" t="str">
        <v>ok</v>
      </c>
      <c r="Q35" s="1" t="str">
        <v/>
      </c>
    </row>
    <row r="36" spans="3:17" x14ac:dyDescent="0.25">
      <c r="C36" s="1">
        <v>33</v>
      </c>
      <c r="D36" s="1">
        <v>4</v>
      </c>
      <c r="E36" s="1">
        <v>3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>ok</v>
      </c>
      <c r="L36" s="1" t="str">
        <v/>
      </c>
      <c r="M36" s="1" t="str">
        <v/>
      </c>
      <c r="N36" s="1" t="str">
        <v/>
      </c>
      <c r="O36" s="1" t="b">
        <v>0</v>
      </c>
      <c r="P36" s="1" t="str">
        <v>ok</v>
      </c>
      <c r="Q36" s="1" t="str">
        <v/>
      </c>
    </row>
    <row r="37" spans="3:17" x14ac:dyDescent="0.25">
      <c r="C37" s="1">
        <v>34</v>
      </c>
      <c r="D37" s="1">
        <v>4</v>
      </c>
      <c r="E37" s="1">
        <v>4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>ok</v>
      </c>
      <c r="L37" s="1" t="str">
        <v/>
      </c>
      <c r="M37" s="1" t="str">
        <v/>
      </c>
      <c r="N37" s="1" t="str">
        <v/>
      </c>
      <c r="O37" s="1" t="b">
        <v>0</v>
      </c>
      <c r="P37" s="1" t="str">
        <v>ok</v>
      </c>
      <c r="Q37" s="1" t="str">
        <v/>
      </c>
    </row>
    <row r="38" spans="3:17" x14ac:dyDescent="0.25">
      <c r="C38" s="1">
        <v>35</v>
      </c>
      <c r="D38" s="1">
        <v>4</v>
      </c>
      <c r="E38" s="1">
        <v>5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>ok</v>
      </c>
      <c r="L38" s="1" t="str">
        <v/>
      </c>
      <c r="M38" s="1" t="str">
        <v/>
      </c>
      <c r="N38" s="1" t="str">
        <v/>
      </c>
      <c r="O38" s="1" t="b">
        <v>0</v>
      </c>
      <c r="P38" s="1" t="str">
        <v>ok</v>
      </c>
      <c r="Q38" s="1" t="str">
        <v/>
      </c>
    </row>
    <row r="39" spans="3:17" x14ac:dyDescent="0.25">
      <c r="C39" s="1">
        <v>36</v>
      </c>
      <c r="D39" s="1">
        <v>4</v>
      </c>
      <c r="E39" s="1">
        <v>6</v>
      </c>
      <c r="F39" s="1" t="str">
        <v>mgmtsw01;02</v>
      </c>
      <c r="G39" s="1">
        <v>2</v>
      </c>
      <c r="H39" s="1" t="str">
        <v>mgmtsw01</v>
      </c>
      <c r="I39" s="1" t="str">
        <v>ok</v>
      </c>
      <c r="J39" s="1" t="str">
        <v>ok</v>
      </c>
      <c r="K39" s="1" t="str">
        <v>ok</v>
      </c>
      <c r="L39" s="1">
        <v>36</v>
      </c>
      <c r="M39" s="1">
        <v>36</v>
      </c>
      <c r="N39" s="1">
        <v>4</v>
      </c>
      <c r="O39" s="1" t="b">
        <v>0</v>
      </c>
      <c r="P39" s="1" t="str">
        <v>ok</v>
      </c>
      <c r="Q39" s="1">
        <v>1</v>
      </c>
    </row>
    <row r="40" spans="3:17" x14ac:dyDescent="0.25">
      <c r="C40" s="1">
        <v>37</v>
      </c>
      <c r="D40" s="1">
        <v>4</v>
      </c>
      <c r="E40" s="1">
        <v>7</v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>ok</v>
      </c>
      <c r="L40" s="1" t="str">
        <v/>
      </c>
      <c r="M40" s="1" t="str">
        <v/>
      </c>
      <c r="N40" s="1" t="str">
        <v/>
      </c>
      <c r="O40" s="1" t="b">
        <v>0</v>
      </c>
      <c r="P40" s="1" t="str">
        <v>ok</v>
      </c>
      <c r="Q40" s="1" t="str">
        <v/>
      </c>
    </row>
    <row r="41" spans="3:17" x14ac:dyDescent="0.25">
      <c r="C41" s="1">
        <v>38</v>
      </c>
      <c r="D41" s="1">
        <v>4</v>
      </c>
      <c r="E41" s="1">
        <v>8</v>
      </c>
      <c r="F41" s="1" t="str">
        <v/>
      </c>
      <c r="G41" s="1" t="str">
        <v/>
      </c>
      <c r="H41" s="1" t="str">
        <v/>
      </c>
      <c r="I41" s="1" t="str">
        <v/>
      </c>
      <c r="J41" s="1" t="str">
        <v/>
      </c>
      <c r="K41" s="1" t="str">
        <v>ok</v>
      </c>
      <c r="L41" s="1" t="str">
        <v/>
      </c>
      <c r="M41" s="1" t="str">
        <v/>
      </c>
      <c r="N41" s="1" t="str">
        <v/>
      </c>
      <c r="O41" s="1" t="b">
        <v>0</v>
      </c>
      <c r="P41" s="1" t="str">
        <v>ok</v>
      </c>
      <c r="Q41" s="1" t="str">
        <v/>
      </c>
    </row>
    <row r="42" spans="3:17" x14ac:dyDescent="0.25">
      <c r="C42" s="1">
        <v>39</v>
      </c>
      <c r="D42" s="1">
        <v>4</v>
      </c>
      <c r="E42" s="1">
        <v>9</v>
      </c>
      <c r="F42" s="1" t="str">
        <v/>
      </c>
      <c r="G42" s="1" t="str">
        <v/>
      </c>
      <c r="H42" s="1" t="str">
        <v/>
      </c>
      <c r="I42" s="1" t="str">
        <v/>
      </c>
      <c r="J42" s="1" t="str">
        <v/>
      </c>
      <c r="K42" s="1" t="str">
        <v>ok</v>
      </c>
      <c r="L42" s="1" t="str">
        <v/>
      </c>
      <c r="M42" s="1" t="str">
        <v/>
      </c>
      <c r="N42" s="1" t="str">
        <v/>
      </c>
      <c r="O42" s="1" t="b">
        <v>0</v>
      </c>
      <c r="P42" s="1" t="str">
        <v>ok</v>
      </c>
      <c r="Q42" s="1" t="str">
        <v/>
      </c>
    </row>
    <row r="43" spans="3:17" x14ac:dyDescent="0.25">
      <c r="C43" s="1">
        <v>40</v>
      </c>
      <c r="D43" s="1">
        <v>4</v>
      </c>
      <c r="E43" s="1">
        <v>10</v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>ok</v>
      </c>
      <c r="L43" s="1" t="str">
        <v/>
      </c>
      <c r="M43" s="1" t="str">
        <v/>
      </c>
      <c r="N43" s="1" t="str">
        <v/>
      </c>
      <c r="O43" s="1" t="b">
        <v>0</v>
      </c>
      <c r="P43" s="1" t="str">
        <v>ok</v>
      </c>
      <c r="Q43" s="1" t="str">
        <v/>
      </c>
    </row>
    <row r="44" spans="3:17" x14ac:dyDescent="0.25">
      <c r="C44" s="1">
        <v>41</v>
      </c>
      <c r="D44" s="1">
        <v>5</v>
      </c>
      <c r="E44" s="1">
        <v>1</v>
      </c>
      <c r="F44" s="1" t="str">
        <v>leaf01;07</v>
      </c>
      <c r="G44" s="1">
        <v>1</v>
      </c>
      <c r="H44" s="1" t="str">
        <v>leaf01</v>
      </c>
      <c r="I44" s="1" t="str">
        <v>ok</v>
      </c>
      <c r="J44" s="1" t="str">
        <v>ok</v>
      </c>
      <c r="K44" s="1" t="str">
        <v>ok</v>
      </c>
      <c r="L44" s="1">
        <v>41</v>
      </c>
      <c r="M44" s="1">
        <v>48</v>
      </c>
      <c r="N44" s="1">
        <v>5</v>
      </c>
      <c r="O44" s="1" t="b">
        <v>0</v>
      </c>
      <c r="P44" s="1" t="str">
        <v>ok</v>
      </c>
      <c r="Q44" s="1">
        <v>1</v>
      </c>
    </row>
    <row r="45" spans="3:17" x14ac:dyDescent="0.25">
      <c r="C45" s="1">
        <v>42</v>
      </c>
      <c r="D45" s="1">
        <v>5</v>
      </c>
      <c r="E45" s="1">
        <v>2</v>
      </c>
      <c r="F45" s="1" t="str">
        <v/>
      </c>
      <c r="G45" s="1" t="str">
        <v/>
      </c>
      <c r="H45" s="1" t="str">
        <v/>
      </c>
      <c r="I45" s="1" t="str">
        <v/>
      </c>
      <c r="J45" s="1" t="str">
        <v/>
      </c>
      <c r="K45" s="1" t="str">
        <v>ok</v>
      </c>
      <c r="L45" s="1" t="str">
        <v/>
      </c>
      <c r="M45" s="1" t="str">
        <v/>
      </c>
      <c r="N45" s="1" t="str">
        <v/>
      </c>
      <c r="O45" s="1" t="b">
        <v>0</v>
      </c>
      <c r="P45" s="1" t="str">
        <v>ok</v>
      </c>
      <c r="Q45" s="1" t="str">
        <v/>
      </c>
    </row>
    <row r="46" spans="3:17" x14ac:dyDescent="0.25">
      <c r="C46" s="1">
        <v>43</v>
      </c>
      <c r="D46" s="1">
        <v>5</v>
      </c>
      <c r="E46" s="1">
        <v>3</v>
      </c>
      <c r="F46" s="1" t="str">
        <v/>
      </c>
      <c r="G46" s="1" t="str">
        <v/>
      </c>
      <c r="H46" s="1" t="str">
        <v/>
      </c>
      <c r="I46" s="1" t="str">
        <v/>
      </c>
      <c r="J46" s="1" t="str">
        <v/>
      </c>
      <c r="K46" s="1" t="str">
        <v>ok</v>
      </c>
      <c r="L46" s="1" t="str">
        <v/>
      </c>
      <c r="M46" s="1" t="str">
        <v/>
      </c>
      <c r="N46" s="1" t="str">
        <v/>
      </c>
      <c r="O46" s="1" t="b">
        <v>0</v>
      </c>
      <c r="P46" s="1" t="str">
        <v>ok</v>
      </c>
      <c r="Q46" s="1" t="str">
        <v/>
      </c>
    </row>
    <row r="47" spans="3:17" x14ac:dyDescent="0.25">
      <c r="C47" s="1">
        <v>44</v>
      </c>
      <c r="D47" s="1">
        <v>5</v>
      </c>
      <c r="E47" s="1">
        <v>4</v>
      </c>
      <c r="F47" s="1" t="str">
        <v>spine01;03</v>
      </c>
      <c r="G47" s="1">
        <v>2</v>
      </c>
      <c r="H47" s="1" t="str">
        <v>spine01</v>
      </c>
      <c r="I47" s="1" t="str">
        <v>ok</v>
      </c>
      <c r="J47" s="1" t="str">
        <v>ok</v>
      </c>
      <c r="K47" s="1" t="str">
        <v>ok</v>
      </c>
      <c r="L47" s="1">
        <v>44</v>
      </c>
      <c r="M47" s="1">
        <v>48</v>
      </c>
      <c r="N47" s="1">
        <v>5</v>
      </c>
      <c r="O47" s="1" t="b">
        <v>0</v>
      </c>
      <c r="P47" s="1" t="str">
        <v>ok</v>
      </c>
      <c r="Q47" s="1">
        <v>1</v>
      </c>
    </row>
    <row r="48" spans="3:17" x14ac:dyDescent="0.25">
      <c r="C48" s="1">
        <v>45</v>
      </c>
      <c r="D48" s="1">
        <v>5</v>
      </c>
      <c r="E48" s="1">
        <v>5</v>
      </c>
      <c r="F48" s="1" t="str">
        <v>rtr01;g_0/0/1</v>
      </c>
      <c r="G48" s="1">
        <v>3</v>
      </c>
      <c r="H48" s="1" t="str">
        <v>rtr01</v>
      </c>
      <c r="I48" s="1" t="str">
        <v>ok</v>
      </c>
      <c r="J48" s="1" t="str">
        <v>ok</v>
      </c>
      <c r="K48" s="1" t="str">
        <v>ok</v>
      </c>
      <c r="L48" s="1">
        <v>45</v>
      </c>
      <c r="M48" s="1">
        <v>48</v>
      </c>
      <c r="N48" s="1">
        <v>5</v>
      </c>
      <c r="O48" s="1" t="b">
        <v>0</v>
      </c>
      <c r="P48" s="1" t="str">
        <v>ok</v>
      </c>
      <c r="Q48" s="1">
        <v>1</v>
      </c>
    </row>
    <row r="49" spans="3:17" x14ac:dyDescent="0.25">
      <c r="C49" s="1">
        <v>46</v>
      </c>
      <c r="D49" s="1">
        <v>5</v>
      </c>
      <c r="E49" s="1">
        <v>6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K49" s="1" t="str">
        <v>ok</v>
      </c>
      <c r="L49" s="1" t="str">
        <v/>
      </c>
      <c r="M49" s="1" t="str">
        <v/>
      </c>
      <c r="N49" s="1" t="str">
        <v/>
      </c>
      <c r="O49" s="1" t="b">
        <v>0</v>
      </c>
      <c r="P49" s="1" t="str">
        <v>ok</v>
      </c>
      <c r="Q49" s="1" t="str">
        <v/>
      </c>
    </row>
    <row r="50" spans="3:17" x14ac:dyDescent="0.25">
      <c r="C50" s="1">
        <v>47</v>
      </c>
      <c r="D50" s="1">
        <v>5</v>
      </c>
      <c r="E50" s="1">
        <v>7</v>
      </c>
      <c r="F50" s="1" t="str">
        <v/>
      </c>
      <c r="G50" s="1" t="str">
        <v/>
      </c>
      <c r="H50" s="1" t="str">
        <v/>
      </c>
      <c r="I50" s="1" t="str">
        <v/>
      </c>
      <c r="J50" s="1" t="str">
        <v/>
      </c>
      <c r="K50" s="1" t="str">
        <v>ok</v>
      </c>
      <c r="L50" s="1" t="str">
        <v/>
      </c>
      <c r="M50" s="1" t="str">
        <v/>
      </c>
      <c r="N50" s="1" t="str">
        <v/>
      </c>
      <c r="O50" s="1" t="b">
        <v>0</v>
      </c>
      <c r="P50" s="1" t="str">
        <v>ok</v>
      </c>
      <c r="Q50" s="1" t="str">
        <v/>
      </c>
    </row>
    <row r="51" spans="3:17" x14ac:dyDescent="0.25">
      <c r="C51" s="1">
        <v>48</v>
      </c>
      <c r="D51" s="1">
        <v>5</v>
      </c>
      <c r="E51" s="1">
        <v>8</v>
      </c>
      <c r="F51" s="1" t="str">
        <v>spine01;01</v>
      </c>
      <c r="G51" s="1">
        <v>4</v>
      </c>
      <c r="H51" s="1" t="str">
        <v>spine01</v>
      </c>
      <c r="I51" s="1" t="str">
        <v>ok</v>
      </c>
      <c r="J51" s="1" t="str">
        <v>ok</v>
      </c>
      <c r="K51" s="1" t="str">
        <v>ok</v>
      </c>
      <c r="L51" s="1">
        <v>48</v>
      </c>
      <c r="M51" s="1">
        <v>48</v>
      </c>
      <c r="N51" s="1">
        <v>5</v>
      </c>
      <c r="O51" s="1" t="b">
        <v>0</v>
      </c>
      <c r="P51" s="1" t="str">
        <v>ok</v>
      </c>
      <c r="Q51" s="1">
        <v>1</v>
      </c>
    </row>
    <row r="52" spans="3:17" x14ac:dyDescent="0.25">
      <c r="C52" s="1">
        <v>49</v>
      </c>
      <c r="D52" s="1">
        <v>5</v>
      </c>
      <c r="E52" s="1">
        <v>9</v>
      </c>
      <c r="F52" s="1" t="str">
        <v/>
      </c>
      <c r="G52" s="1" t="str">
        <v/>
      </c>
      <c r="H52" s="1" t="str">
        <v/>
      </c>
      <c r="I52" s="1" t="str">
        <v/>
      </c>
      <c r="J52" s="1" t="str">
        <v/>
      </c>
      <c r="K52" s="1" t="str">
        <v>ok</v>
      </c>
      <c r="L52" s="1" t="str">
        <v/>
      </c>
      <c r="M52" s="1" t="str">
        <v/>
      </c>
      <c r="N52" s="1" t="str">
        <v/>
      </c>
      <c r="O52" s="1" t="b">
        <v>0</v>
      </c>
      <c r="P52" s="1" t="str">
        <v>ok</v>
      </c>
      <c r="Q52" s="1" t="str">
        <v/>
      </c>
    </row>
    <row r="53" spans="3:17" x14ac:dyDescent="0.25">
      <c r="C53" s="1">
        <v>50</v>
      </c>
      <c r="D53" s="1">
        <v>5</v>
      </c>
      <c r="E53" s="1">
        <v>10</v>
      </c>
      <c r="F53" s="1" t="str">
        <v/>
      </c>
      <c r="G53" s="1" t="str">
        <v/>
      </c>
      <c r="H53" s="1" t="str">
        <v/>
      </c>
      <c r="I53" s="1" t="str">
        <v/>
      </c>
      <c r="J53" s="1" t="str">
        <v/>
      </c>
      <c r="K53" s="1" t="str">
        <v>ok</v>
      </c>
      <c r="L53" s="1" t="str">
        <v/>
      </c>
      <c r="M53" s="1" t="str">
        <v/>
      </c>
      <c r="N53" s="1" t="str">
        <v/>
      </c>
      <c r="O53" s="1" t="b">
        <v>0</v>
      </c>
      <c r="P53" s="1" t="str">
        <v>ok</v>
      </c>
      <c r="Q53" s="1" t="str">
        <v/>
      </c>
    </row>
    <row r="54" spans="3:17" x14ac:dyDescent="0.25">
      <c r="C54" s="1">
        <v>51</v>
      </c>
      <c r="D54" s="1">
        <v>6</v>
      </c>
      <c r="E54" s="1">
        <v>1</v>
      </c>
      <c r="F54" s="1" t="str">
        <v>leaf01;08</v>
      </c>
      <c r="G54" s="1">
        <v>1</v>
      </c>
      <c r="H54" s="1" t="str">
        <v>leaf01</v>
      </c>
      <c r="I54" s="1" t="str">
        <v>ok</v>
      </c>
      <c r="J54" s="1" t="str">
        <v>ok</v>
      </c>
      <c r="K54" s="1" t="str">
        <v>ok</v>
      </c>
      <c r="L54" s="1">
        <v>51</v>
      </c>
      <c r="M54" s="1">
        <v>58</v>
      </c>
      <c r="N54" s="1">
        <v>6</v>
      </c>
      <c r="O54" s="1" t="b">
        <v>0</v>
      </c>
      <c r="P54" s="1" t="str">
        <v>ok</v>
      </c>
      <c r="Q54" s="1">
        <v>1</v>
      </c>
    </row>
    <row r="55" spans="3:17" x14ac:dyDescent="0.25">
      <c r="C55" s="1">
        <v>52</v>
      </c>
      <c r="D55" s="1">
        <v>6</v>
      </c>
      <c r="E55" s="1">
        <v>2</v>
      </c>
      <c r="F55" s="1" t="str">
        <v/>
      </c>
      <c r="G55" s="1" t="str">
        <v/>
      </c>
      <c r="H55" s="1" t="str">
        <v/>
      </c>
      <c r="I55" s="1" t="str">
        <v/>
      </c>
      <c r="J55" s="1" t="str">
        <v/>
      </c>
      <c r="K55" s="1" t="str">
        <v>ok</v>
      </c>
      <c r="L55" s="1" t="str">
        <v/>
      </c>
      <c r="M55" s="1" t="str">
        <v/>
      </c>
      <c r="N55" s="1" t="str">
        <v/>
      </c>
      <c r="O55" s="1" t="b">
        <v>0</v>
      </c>
      <c r="P55" s="1" t="str">
        <v>ok</v>
      </c>
      <c r="Q55" s="1" t="str">
        <v/>
      </c>
    </row>
    <row r="56" spans="3:17" x14ac:dyDescent="0.25">
      <c r="C56" s="1">
        <v>53</v>
      </c>
      <c r="D56" s="1">
        <v>6</v>
      </c>
      <c r="E56" s="1">
        <v>3</v>
      </c>
      <c r="F56" s="1" t="str">
        <v/>
      </c>
      <c r="G56" s="1" t="str">
        <v/>
      </c>
      <c r="H56" s="1" t="str">
        <v/>
      </c>
      <c r="I56" s="1" t="str">
        <v/>
      </c>
      <c r="J56" s="1" t="str">
        <v/>
      </c>
      <c r="K56" s="1" t="str">
        <v>ok</v>
      </c>
      <c r="L56" s="1" t="str">
        <v/>
      </c>
      <c r="M56" s="1" t="str">
        <v/>
      </c>
      <c r="N56" s="1" t="str">
        <v/>
      </c>
      <c r="O56" s="1" t="b">
        <v>0</v>
      </c>
      <c r="P56" s="1" t="str">
        <v>ok</v>
      </c>
      <c r="Q56" s="1" t="str">
        <v/>
      </c>
    </row>
    <row r="57" spans="3:17" x14ac:dyDescent="0.25">
      <c r="C57" s="1">
        <v>54</v>
      </c>
      <c r="D57" s="1">
        <v>6</v>
      </c>
      <c r="E57" s="1">
        <v>4</v>
      </c>
      <c r="F57" s="1" t="str">
        <v/>
      </c>
      <c r="G57" s="1" t="str">
        <v/>
      </c>
      <c r="H57" s="1" t="str">
        <v/>
      </c>
      <c r="I57" s="1" t="str">
        <v/>
      </c>
      <c r="J57" s="1" t="str">
        <v/>
      </c>
      <c r="K57" s="1" t="str">
        <v>ok</v>
      </c>
      <c r="L57" s="1" t="str">
        <v/>
      </c>
      <c r="M57" s="1" t="str">
        <v/>
      </c>
      <c r="N57" s="1" t="str">
        <v/>
      </c>
      <c r="O57" s="1" t="b">
        <v>0</v>
      </c>
      <c r="P57" s="1" t="str">
        <v>ok</v>
      </c>
      <c r="Q57" s="1" t="str">
        <v/>
      </c>
    </row>
    <row r="58" spans="3:17" x14ac:dyDescent="0.25">
      <c r="C58" s="1">
        <v>55</v>
      </c>
      <c r="D58" s="1">
        <v>6</v>
      </c>
      <c r="E58" s="1">
        <v>5</v>
      </c>
      <c r="F58" s="1" t="str">
        <v/>
      </c>
      <c r="G58" s="1" t="str">
        <v/>
      </c>
      <c r="H58" s="1" t="str">
        <v/>
      </c>
      <c r="I58" s="1" t="str">
        <v/>
      </c>
      <c r="J58" s="1" t="str">
        <v/>
      </c>
      <c r="K58" s="1" t="str">
        <v>ok</v>
      </c>
      <c r="L58" s="1" t="str">
        <v/>
      </c>
      <c r="M58" s="1" t="str">
        <v/>
      </c>
      <c r="N58" s="1" t="str">
        <v/>
      </c>
      <c r="O58" s="1" t="b">
        <v>0</v>
      </c>
      <c r="P58" s="1" t="str">
        <v>ok</v>
      </c>
      <c r="Q58" s="1" t="str">
        <v/>
      </c>
    </row>
    <row r="59" spans="3:17" x14ac:dyDescent="0.25">
      <c r="C59" s="1">
        <v>56</v>
      </c>
      <c r="D59" s="1">
        <v>6</v>
      </c>
      <c r="E59" s="1">
        <v>6</v>
      </c>
      <c r="F59" s="1" t="str">
        <v/>
      </c>
      <c r="G59" s="1" t="str">
        <v/>
      </c>
      <c r="H59" s="1" t="str">
        <v/>
      </c>
      <c r="I59" s="1" t="str">
        <v/>
      </c>
      <c r="J59" s="1" t="str">
        <v/>
      </c>
      <c r="K59" s="1" t="str">
        <v>ok</v>
      </c>
      <c r="L59" s="1" t="str">
        <v/>
      </c>
      <c r="M59" s="1" t="str">
        <v/>
      </c>
      <c r="N59" s="1" t="str">
        <v/>
      </c>
      <c r="O59" s="1" t="b">
        <v>0</v>
      </c>
      <c r="P59" s="1" t="str">
        <v>ok</v>
      </c>
      <c r="Q59" s="1" t="str">
        <v/>
      </c>
    </row>
    <row r="60" spans="3:17" x14ac:dyDescent="0.25">
      <c r="C60" s="1">
        <v>57</v>
      </c>
      <c r="D60" s="1">
        <v>6</v>
      </c>
      <c r="E60" s="1">
        <v>7</v>
      </c>
      <c r="F60" s="1" t="str">
        <v/>
      </c>
      <c r="G60" s="1" t="str">
        <v/>
      </c>
      <c r="H60" s="1" t="str">
        <v/>
      </c>
      <c r="I60" s="1" t="str">
        <v/>
      </c>
      <c r="J60" s="1" t="str">
        <v/>
      </c>
      <c r="K60" s="1" t="str">
        <v>ok</v>
      </c>
      <c r="L60" s="1" t="str">
        <v/>
      </c>
      <c r="M60" s="1" t="str">
        <v/>
      </c>
      <c r="N60" s="1" t="str">
        <v/>
      </c>
      <c r="O60" s="1" t="b">
        <v>0</v>
      </c>
      <c r="P60" s="1" t="str">
        <v>ok</v>
      </c>
      <c r="Q60" s="1" t="str">
        <v/>
      </c>
    </row>
    <row r="61" spans="3:17" x14ac:dyDescent="0.25">
      <c r="C61" s="1">
        <v>58</v>
      </c>
      <c r="D61" s="1">
        <v>6</v>
      </c>
      <c r="E61" s="1">
        <v>8</v>
      </c>
      <c r="F61" s="1" t="str">
        <v>spine02;01</v>
      </c>
      <c r="G61" s="1">
        <v>2</v>
      </c>
      <c r="H61" s="1" t="str">
        <v>spine02</v>
      </c>
      <c r="I61" s="1" t="str">
        <v>ok</v>
      </c>
      <c r="J61" s="1" t="str">
        <v>ok</v>
      </c>
      <c r="K61" s="1" t="str">
        <v>ok</v>
      </c>
      <c r="L61" s="1">
        <v>58</v>
      </c>
      <c r="M61" s="1">
        <v>58</v>
      </c>
      <c r="N61" s="1">
        <v>6</v>
      </c>
      <c r="O61" s="1" t="b">
        <v>0</v>
      </c>
      <c r="P61" s="1" t="str">
        <v>ok</v>
      </c>
      <c r="Q61" s="1">
        <v>1</v>
      </c>
    </row>
    <row r="62" spans="3:17" x14ac:dyDescent="0.25">
      <c r="C62" s="1">
        <v>59</v>
      </c>
      <c r="D62" s="1">
        <v>6</v>
      </c>
      <c r="E62" s="1">
        <v>9</v>
      </c>
      <c r="F62" s="1" t="str">
        <v/>
      </c>
      <c r="G62" s="1" t="str">
        <v/>
      </c>
      <c r="H62" s="1" t="str">
        <v/>
      </c>
      <c r="I62" s="1" t="str">
        <v/>
      </c>
      <c r="J62" s="1" t="str">
        <v/>
      </c>
      <c r="K62" s="1" t="str">
        <v>ok</v>
      </c>
      <c r="L62" s="1" t="str">
        <v/>
      </c>
      <c r="M62" s="1" t="str">
        <v/>
      </c>
      <c r="N62" s="1" t="str">
        <v/>
      </c>
      <c r="O62" s="1" t="b">
        <v>0</v>
      </c>
      <c r="P62" s="1" t="str">
        <v>ok</v>
      </c>
      <c r="Q62" s="1" t="str">
        <v/>
      </c>
    </row>
    <row r="63" spans="3:17" x14ac:dyDescent="0.25">
      <c r="C63" s="1">
        <v>60</v>
      </c>
      <c r="D63" s="1">
        <v>6</v>
      </c>
      <c r="E63" s="1">
        <v>10</v>
      </c>
      <c r="F63" s="1" t="str">
        <v/>
      </c>
      <c r="G63" s="1" t="str">
        <v/>
      </c>
      <c r="H63" s="1" t="str">
        <v/>
      </c>
      <c r="I63" s="1" t="str">
        <v/>
      </c>
      <c r="J63" s="1" t="str">
        <v/>
      </c>
      <c r="K63" s="1" t="str">
        <v>ok</v>
      </c>
      <c r="L63" s="1" t="str">
        <v/>
      </c>
      <c r="M63" s="1" t="str">
        <v/>
      </c>
      <c r="N63" s="1" t="str">
        <v/>
      </c>
      <c r="O63" s="1" t="b">
        <v>0</v>
      </c>
      <c r="P63" s="1" t="str">
        <v>ok</v>
      </c>
      <c r="Q63" s="1" t="str">
        <v/>
      </c>
    </row>
    <row r="64" spans="3:17" x14ac:dyDescent="0.25">
      <c r="C64" s="1">
        <v>61</v>
      </c>
      <c r="D64" s="1">
        <v>7</v>
      </c>
      <c r="E64" s="1">
        <v>1</v>
      </c>
      <c r="F64" s="1" t="str">
        <v>leaf01;mgmt</v>
      </c>
      <c r="G64" s="1">
        <v>1</v>
      </c>
      <c r="H64" s="1" t="str">
        <v>leaf01</v>
      </c>
      <c r="I64" s="1" t="str">
        <v>ok</v>
      </c>
      <c r="J64" s="1" t="str">
        <v>ok</v>
      </c>
      <c r="K64" s="1" t="str">
        <v>ok</v>
      </c>
      <c r="L64" s="1">
        <v>61</v>
      </c>
      <c r="M64" s="1">
        <v>65</v>
      </c>
      <c r="N64" s="1">
        <v>7</v>
      </c>
      <c r="O64" s="1" t="b">
        <v>0</v>
      </c>
      <c r="P64" s="1" t="str">
        <v>ok</v>
      </c>
      <c r="Q64" s="1">
        <v>1</v>
      </c>
    </row>
    <row r="65" spans="3:17" x14ac:dyDescent="0.25">
      <c r="C65" s="1">
        <v>62</v>
      </c>
      <c r="D65" s="1">
        <v>7</v>
      </c>
      <c r="E65" s="1">
        <v>2</v>
      </c>
      <c r="F65" s="1" t="str">
        <v/>
      </c>
      <c r="G65" s="1" t="str">
        <v/>
      </c>
      <c r="H65" s="1" t="str">
        <v/>
      </c>
      <c r="I65" s="1" t="str">
        <v/>
      </c>
      <c r="J65" s="1" t="str">
        <v/>
      </c>
      <c r="K65" s="1" t="str">
        <v>ok</v>
      </c>
      <c r="L65" s="1" t="str">
        <v/>
      </c>
      <c r="M65" s="1" t="str">
        <v/>
      </c>
      <c r="N65" s="1" t="str">
        <v/>
      </c>
      <c r="O65" s="1" t="b">
        <v>0</v>
      </c>
      <c r="P65" s="1" t="str">
        <v>ok</v>
      </c>
      <c r="Q65" s="1" t="str">
        <v/>
      </c>
    </row>
    <row r="66" spans="3:17" x14ac:dyDescent="0.25">
      <c r="C66" s="1">
        <v>63</v>
      </c>
      <c r="D66" s="1">
        <v>7</v>
      </c>
      <c r="E66" s="1">
        <v>3</v>
      </c>
      <c r="F66" s="1" t="str">
        <v/>
      </c>
      <c r="G66" s="1" t="str">
        <v/>
      </c>
      <c r="H66" s="1" t="str">
        <v/>
      </c>
      <c r="I66" s="1" t="str">
        <v/>
      </c>
      <c r="J66" s="1" t="str">
        <v/>
      </c>
      <c r="K66" s="1" t="str">
        <v>ok</v>
      </c>
      <c r="L66" s="1" t="str">
        <v/>
      </c>
      <c r="M66" s="1" t="str">
        <v/>
      </c>
      <c r="N66" s="1" t="str">
        <v/>
      </c>
      <c r="O66" s="1" t="b">
        <v>0</v>
      </c>
      <c r="P66" s="1" t="str">
        <v>ok</v>
      </c>
      <c r="Q66" s="1" t="str">
        <v/>
      </c>
    </row>
    <row r="67" spans="3:17" x14ac:dyDescent="0.25">
      <c r="C67" s="1">
        <v>64</v>
      </c>
      <c r="D67" s="1">
        <v>7</v>
      </c>
      <c r="E67" s="1">
        <v>4</v>
      </c>
      <c r="F67" s="1" t="str">
        <v/>
      </c>
      <c r="G67" s="1" t="str">
        <v/>
      </c>
      <c r="H67" s="1" t="str">
        <v/>
      </c>
      <c r="I67" s="1" t="str">
        <v/>
      </c>
      <c r="J67" s="1" t="str">
        <v/>
      </c>
      <c r="K67" s="1" t="str">
        <v>ok</v>
      </c>
      <c r="L67" s="1" t="str">
        <v/>
      </c>
      <c r="M67" s="1" t="str">
        <v/>
      </c>
      <c r="N67" s="1" t="str">
        <v/>
      </c>
      <c r="O67" s="1" t="b">
        <v>0</v>
      </c>
      <c r="P67" s="1" t="str">
        <v>ok</v>
      </c>
      <c r="Q67" s="1" t="str">
        <v/>
      </c>
    </row>
    <row r="68" spans="3:17" x14ac:dyDescent="0.25">
      <c r="C68" s="1">
        <v>65</v>
      </c>
      <c r="D68" s="1">
        <v>7</v>
      </c>
      <c r="E68" s="1">
        <v>5</v>
      </c>
      <c r="F68" s="1" t="str">
        <v>mgmtsw01;07</v>
      </c>
      <c r="G68" s="1">
        <v>2</v>
      </c>
      <c r="H68" s="1" t="str">
        <v>mgmtsw01</v>
      </c>
      <c r="I68" s="1" t="str">
        <v>ok</v>
      </c>
      <c r="J68" s="1" t="str">
        <v>ok</v>
      </c>
      <c r="K68" s="1" t="str">
        <v>ok</v>
      </c>
      <c r="L68" s="1">
        <v>65</v>
      </c>
      <c r="M68" s="1">
        <v>65</v>
      </c>
      <c r="N68" s="1">
        <v>7</v>
      </c>
      <c r="O68" s="1" t="b">
        <v>0</v>
      </c>
      <c r="P68" s="1" t="str">
        <v>ok</v>
      </c>
      <c r="Q68" s="1">
        <v>1</v>
      </c>
    </row>
    <row r="69" spans="3:17" x14ac:dyDescent="0.25">
      <c r="C69" s="1">
        <v>66</v>
      </c>
      <c r="D69" s="1">
        <v>7</v>
      </c>
      <c r="E69" s="1">
        <v>6</v>
      </c>
      <c r="F69" s="1" t="str">
        <v/>
      </c>
      <c r="G69" s="1" t="str">
        <v/>
      </c>
      <c r="H69" s="1" t="str">
        <v/>
      </c>
      <c r="I69" s="1" t="str">
        <v/>
      </c>
      <c r="J69" s="1" t="str">
        <v/>
      </c>
      <c r="K69" s="1" t="str">
        <v>ok</v>
      </c>
      <c r="L69" s="1" t="str">
        <v/>
      </c>
      <c r="M69" s="1" t="str">
        <v/>
      </c>
      <c r="N69" s="1" t="str">
        <v/>
      </c>
      <c r="O69" s="1" t="b">
        <v>0</v>
      </c>
      <c r="P69" s="1" t="str">
        <v>ok</v>
      </c>
      <c r="Q69" s="1" t="str">
        <v/>
      </c>
    </row>
    <row r="70" spans="3:17" x14ac:dyDescent="0.25">
      <c r="C70" s="1">
        <v>67</v>
      </c>
      <c r="D70" s="1">
        <v>7</v>
      </c>
      <c r="E70" s="1">
        <v>7</v>
      </c>
      <c r="F70" s="1" t="str">
        <v/>
      </c>
      <c r="G70" s="1" t="str">
        <v/>
      </c>
      <c r="H70" s="1" t="str">
        <v/>
      </c>
      <c r="I70" s="1" t="str">
        <v/>
      </c>
      <c r="J70" s="1" t="str">
        <v/>
      </c>
      <c r="K70" s="1" t="str">
        <v>ok</v>
      </c>
      <c r="L70" s="1" t="str">
        <v/>
      </c>
      <c r="M70" s="1" t="str">
        <v/>
      </c>
      <c r="N70" s="1" t="str">
        <v/>
      </c>
      <c r="O70" s="1" t="b">
        <v>0</v>
      </c>
      <c r="P70" s="1" t="str">
        <v>ok</v>
      </c>
      <c r="Q70" s="1" t="str">
        <v/>
      </c>
    </row>
    <row r="71" spans="3:17" x14ac:dyDescent="0.25">
      <c r="C71" s="1">
        <v>68</v>
      </c>
      <c r="D71" s="1">
        <v>7</v>
      </c>
      <c r="E71" s="1">
        <v>8</v>
      </c>
      <c r="F71" s="1" t="str">
        <v/>
      </c>
      <c r="G71" s="1" t="str">
        <v/>
      </c>
      <c r="H71" s="1" t="str">
        <v/>
      </c>
      <c r="I71" s="1" t="str">
        <v/>
      </c>
      <c r="J71" s="1" t="str">
        <v/>
      </c>
      <c r="K71" s="1" t="str">
        <v>ok</v>
      </c>
      <c r="L71" s="1" t="str">
        <v/>
      </c>
      <c r="M71" s="1" t="str">
        <v/>
      </c>
      <c r="N71" s="1" t="str">
        <v/>
      </c>
      <c r="O71" s="1" t="b">
        <v>0</v>
      </c>
      <c r="P71" s="1" t="str">
        <v>ok</v>
      </c>
      <c r="Q71" s="1" t="str">
        <v/>
      </c>
    </row>
    <row r="72" spans="3:17" x14ac:dyDescent="0.25">
      <c r="C72" s="1">
        <v>69</v>
      </c>
      <c r="D72" s="1">
        <v>7</v>
      </c>
      <c r="E72" s="1">
        <v>9</v>
      </c>
      <c r="F72" s="1" t="str">
        <v/>
      </c>
      <c r="G72" s="1" t="str">
        <v/>
      </c>
      <c r="H72" s="1" t="str">
        <v/>
      </c>
      <c r="I72" s="1" t="str">
        <v/>
      </c>
      <c r="J72" s="1" t="str">
        <v/>
      </c>
      <c r="K72" s="1" t="str">
        <v>ok</v>
      </c>
      <c r="L72" s="1" t="str">
        <v/>
      </c>
      <c r="M72" s="1" t="str">
        <v/>
      </c>
      <c r="N72" s="1" t="str">
        <v/>
      </c>
      <c r="O72" s="1" t="b">
        <v>0</v>
      </c>
      <c r="P72" s="1" t="str">
        <v>ok</v>
      </c>
      <c r="Q72" s="1" t="str">
        <v/>
      </c>
    </row>
    <row r="73" spans="3:17" x14ac:dyDescent="0.25">
      <c r="C73" s="1">
        <v>70</v>
      </c>
      <c r="D73" s="1">
        <v>7</v>
      </c>
      <c r="E73" s="1">
        <v>10</v>
      </c>
      <c r="F73" s="1" t="str">
        <v/>
      </c>
      <c r="G73" s="1" t="str">
        <v/>
      </c>
      <c r="H73" s="1" t="str">
        <v/>
      </c>
      <c r="I73" s="1" t="str">
        <v/>
      </c>
      <c r="J73" s="1" t="str">
        <v/>
      </c>
      <c r="K73" s="1" t="str">
        <v>ok</v>
      </c>
      <c r="L73" s="1" t="str">
        <v/>
      </c>
      <c r="M73" s="1" t="str">
        <v/>
      </c>
      <c r="N73" s="1" t="str">
        <v/>
      </c>
      <c r="O73" s="1" t="b">
        <v>0</v>
      </c>
      <c r="P73" s="1" t="str">
        <v>ok</v>
      </c>
      <c r="Q73" s="1" t="str">
        <v/>
      </c>
    </row>
    <row r="74" spans="3:17" x14ac:dyDescent="0.25">
      <c r="C74" s="1">
        <v>71</v>
      </c>
      <c r="D74" s="1">
        <v>8</v>
      </c>
      <c r="E74" s="1">
        <v>1</v>
      </c>
      <c r="F74" s="1" t="str">
        <v>leaf01;04</v>
      </c>
      <c r="G74" s="1">
        <v>1</v>
      </c>
      <c r="H74" s="1" t="str">
        <v>leaf01</v>
      </c>
      <c r="I74" s="1" t="str">
        <v>ok</v>
      </c>
      <c r="J74" s="1" t="str">
        <v>ok</v>
      </c>
      <c r="K74" s="1" t="str">
        <v>ok</v>
      </c>
      <c r="L74" s="1">
        <v>71</v>
      </c>
      <c r="M74" s="1">
        <v>75</v>
      </c>
      <c r="N74" s="1">
        <v>8</v>
      </c>
      <c r="O74" s="1" t="b">
        <v>0</v>
      </c>
      <c r="P74" s="1" t="str">
        <v>ok</v>
      </c>
      <c r="Q74" s="1">
        <v>1</v>
      </c>
    </row>
    <row r="75" spans="3:17" x14ac:dyDescent="0.25">
      <c r="C75" s="1">
        <v>72</v>
      </c>
      <c r="D75" s="1">
        <v>8</v>
      </c>
      <c r="E75" s="1">
        <v>2</v>
      </c>
      <c r="F75" s="1" t="str">
        <v/>
      </c>
      <c r="G75" s="1" t="str">
        <v/>
      </c>
      <c r="H75" s="1" t="str">
        <v/>
      </c>
      <c r="I75" s="1" t="str">
        <v/>
      </c>
      <c r="J75" s="1" t="str">
        <v/>
      </c>
      <c r="K75" s="1" t="str">
        <v>ok</v>
      </c>
      <c r="L75" s="1" t="str">
        <v/>
      </c>
      <c r="M75" s="1" t="str">
        <v/>
      </c>
      <c r="N75" s="1" t="str">
        <v/>
      </c>
      <c r="O75" s="1" t="b">
        <v>0</v>
      </c>
      <c r="P75" s="1" t="str">
        <v>ok</v>
      </c>
      <c r="Q75" s="1" t="str">
        <v/>
      </c>
    </row>
    <row r="76" spans="3:17" x14ac:dyDescent="0.25">
      <c r="C76" s="1">
        <v>73</v>
      </c>
      <c r="D76" s="1">
        <v>8</v>
      </c>
      <c r="E76" s="1">
        <v>3</v>
      </c>
      <c r="F76" s="1" t="str">
        <v>spine02;05</v>
      </c>
      <c r="G76" s="1">
        <v>2</v>
      </c>
      <c r="H76" s="1" t="str">
        <v>spine02</v>
      </c>
      <c r="I76" s="1" t="str">
        <v>ok</v>
      </c>
      <c r="J76" s="1" t="str">
        <v>ok</v>
      </c>
      <c r="K76" s="1" t="str">
        <v>ok</v>
      </c>
      <c r="L76" s="1">
        <v>73</v>
      </c>
      <c r="M76" s="1">
        <v>75</v>
      </c>
      <c r="N76" s="1">
        <v>8</v>
      </c>
      <c r="O76" s="1" t="b">
        <v>0</v>
      </c>
      <c r="P76" s="1" t="str">
        <v>ok</v>
      </c>
      <c r="Q76" s="1">
        <v>1</v>
      </c>
    </row>
    <row r="77" spans="3:17" x14ac:dyDescent="0.25">
      <c r="C77" s="1">
        <v>74</v>
      </c>
      <c r="D77" s="1">
        <v>8</v>
      </c>
      <c r="E77" s="1">
        <v>4</v>
      </c>
      <c r="F77" s="1" t="str">
        <v/>
      </c>
      <c r="G77" s="1" t="str">
        <v/>
      </c>
      <c r="H77" s="1" t="str">
        <v/>
      </c>
      <c r="I77" s="1" t="str">
        <v/>
      </c>
      <c r="J77" s="1" t="str">
        <v/>
      </c>
      <c r="K77" s="1" t="str">
        <v>ok</v>
      </c>
      <c r="L77" s="1" t="str">
        <v/>
      </c>
      <c r="M77" s="1" t="str">
        <v/>
      </c>
      <c r="N77" s="1" t="str">
        <v/>
      </c>
      <c r="O77" s="1" t="b">
        <v>0</v>
      </c>
      <c r="P77" s="1" t="str">
        <v>ok</v>
      </c>
      <c r="Q77" s="1" t="str">
        <v/>
      </c>
    </row>
    <row r="78" spans="3:17" x14ac:dyDescent="0.25">
      <c r="C78" s="1">
        <v>75</v>
      </c>
      <c r="D78" s="1">
        <v>8</v>
      </c>
      <c r="E78" s="1">
        <v>5</v>
      </c>
      <c r="F78" s="1" t="str">
        <v>srv02;pcie_1/1</v>
      </c>
      <c r="G78" s="1">
        <v>3</v>
      </c>
      <c r="H78" s="1" t="str">
        <v>srv02</v>
      </c>
      <c r="I78" s="1" t="str">
        <v>ok</v>
      </c>
      <c r="J78" s="1" t="str">
        <v>ok</v>
      </c>
      <c r="K78" s="1" t="str">
        <v>ok</v>
      </c>
      <c r="L78" s="1">
        <v>75</v>
      </c>
      <c r="M78" s="1">
        <v>75</v>
      </c>
      <c r="N78" s="1">
        <v>8</v>
      </c>
      <c r="O78" s="1" t="b">
        <v>0</v>
      </c>
      <c r="P78" s="1" t="str">
        <v>ok</v>
      </c>
      <c r="Q78" s="1">
        <v>1</v>
      </c>
    </row>
    <row r="79" spans="3:17" x14ac:dyDescent="0.25">
      <c r="C79" s="1">
        <v>76</v>
      </c>
      <c r="D79" s="1">
        <v>8</v>
      </c>
      <c r="E79" s="1">
        <v>6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>ok</v>
      </c>
      <c r="L79" s="1" t="str">
        <v/>
      </c>
      <c r="M79" s="1" t="str">
        <v/>
      </c>
      <c r="N79" s="1" t="str">
        <v/>
      </c>
      <c r="O79" s="1" t="b">
        <v>0</v>
      </c>
      <c r="P79" s="1" t="str">
        <v>ok</v>
      </c>
      <c r="Q79" s="1" t="str">
        <v/>
      </c>
    </row>
    <row r="80" spans="3:17" x14ac:dyDescent="0.25">
      <c r="C80" s="1">
        <v>77</v>
      </c>
      <c r="D80" s="1">
        <v>8</v>
      </c>
      <c r="E80" s="1">
        <v>7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>ok</v>
      </c>
      <c r="L80" s="1" t="str">
        <v/>
      </c>
      <c r="M80" s="1" t="str">
        <v/>
      </c>
      <c r="N80" s="1" t="str">
        <v/>
      </c>
      <c r="O80" s="1" t="b">
        <v>0</v>
      </c>
      <c r="P80" s="1" t="str">
        <v>ok</v>
      </c>
      <c r="Q80" s="1" t="str">
        <v/>
      </c>
    </row>
    <row r="81" spans="3:17" x14ac:dyDescent="0.25">
      <c r="C81" s="1">
        <v>78</v>
      </c>
      <c r="D81" s="1">
        <v>8</v>
      </c>
      <c r="E81" s="1">
        <v>8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>ok</v>
      </c>
      <c r="L81" s="1" t="str">
        <v/>
      </c>
      <c r="M81" s="1" t="str">
        <v/>
      </c>
      <c r="N81" s="1" t="str">
        <v/>
      </c>
      <c r="O81" s="1" t="b">
        <v>0</v>
      </c>
      <c r="P81" s="1" t="str">
        <v>ok</v>
      </c>
      <c r="Q81" s="1" t="str">
        <v/>
      </c>
    </row>
    <row r="82" spans="3:17" x14ac:dyDescent="0.25">
      <c r="C82" s="1">
        <v>79</v>
      </c>
      <c r="D82" s="1">
        <v>8</v>
      </c>
      <c r="E82" s="1">
        <v>9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>ok</v>
      </c>
      <c r="L82" s="1" t="str">
        <v/>
      </c>
      <c r="M82" s="1" t="str">
        <v/>
      </c>
      <c r="N82" s="1" t="str">
        <v/>
      </c>
      <c r="O82" s="1" t="b">
        <v>0</v>
      </c>
      <c r="P82" s="1" t="str">
        <v>ok</v>
      </c>
      <c r="Q82" s="1" t="str">
        <v/>
      </c>
    </row>
    <row r="83" spans="3:17" x14ac:dyDescent="0.25">
      <c r="C83" s="1">
        <v>80</v>
      </c>
      <c r="D83" s="1">
        <v>8</v>
      </c>
      <c r="E83" s="1">
        <v>10</v>
      </c>
      <c r="F83" s="1" t="str">
        <v/>
      </c>
      <c r="G83" s="1" t="str">
        <v/>
      </c>
      <c r="H83" s="1" t="str">
        <v/>
      </c>
      <c r="I83" s="1" t="str">
        <v/>
      </c>
      <c r="J83" s="1" t="str">
        <v/>
      </c>
      <c r="K83" s="1" t="str">
        <v>ok</v>
      </c>
      <c r="L83" s="1" t="str">
        <v/>
      </c>
      <c r="M83" s="1" t="str">
        <v/>
      </c>
      <c r="N83" s="1" t="str">
        <v/>
      </c>
      <c r="O83" s="1" t="b">
        <v>0</v>
      </c>
      <c r="P83" s="1" t="str">
        <v>ok</v>
      </c>
      <c r="Q83" s="1" t="str"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996C-6FB7-4A4C-B628-936D3A464234}">
  <dimension ref="A1:U14"/>
  <sheetViews>
    <sheetView topLeftCell="B1" workbookViewId="0">
      <selection activeCell="G7" sqref="G7"/>
    </sheetView>
  </sheetViews>
  <sheetFormatPr defaultRowHeight="15" x14ac:dyDescent="0.25"/>
  <cols>
    <col min="1" max="2" width="9.140625" style="26"/>
    <col min="3" max="3" width="20.85546875" style="26" customWidth="1"/>
    <col min="4" max="4" width="32.5703125" style="26" customWidth="1"/>
    <col min="5" max="5" width="15.5703125" style="1" customWidth="1"/>
    <col min="6" max="6" width="13.28515625" style="1" customWidth="1"/>
    <col min="7" max="7" width="26.140625" style="1" customWidth="1"/>
    <col min="8" max="8" width="19.7109375" style="1" customWidth="1"/>
    <col min="9" max="9" width="22" style="1" customWidth="1"/>
    <col min="10" max="10" width="24.140625" style="1" customWidth="1"/>
    <col min="11" max="11" width="60" style="1" customWidth="1"/>
    <col min="12" max="12" width="27.28515625" style="1" customWidth="1"/>
    <col min="13" max="13" width="19.140625" style="1" customWidth="1"/>
    <col min="14" max="14" width="20" style="1" customWidth="1"/>
    <col min="15" max="15" width="22" style="1" customWidth="1"/>
    <col min="16" max="21" width="9.140625" style="1"/>
    <col min="22" max="16384" width="9.140625" style="26"/>
  </cols>
  <sheetData>
    <row r="1" spans="1:21" x14ac:dyDescent="0.25">
      <c r="D1" s="34"/>
    </row>
    <row r="2" spans="1:21" x14ac:dyDescent="0.25">
      <c r="C2" s="35" t="s">
        <v>143</v>
      </c>
      <c r="D2" s="33" t="s">
        <v>79</v>
      </c>
    </row>
    <row r="3" spans="1:21" x14ac:dyDescent="0.25">
      <c r="I3" s="32" t="s">
        <v>148</v>
      </c>
      <c r="J3" s="32" t="s">
        <v>148</v>
      </c>
    </row>
    <row r="4" spans="1:21" s="29" customFormat="1" x14ac:dyDescent="0.25">
      <c r="A4" s="26"/>
      <c r="B4" s="26"/>
      <c r="C4" s="26"/>
      <c r="D4" s="27" t="s">
        <v>138</v>
      </c>
      <c r="E4" s="3" t="s">
        <v>139</v>
      </c>
      <c r="F4" s="3" t="s">
        <v>142</v>
      </c>
      <c r="G4" s="3" t="s">
        <v>129</v>
      </c>
      <c r="H4" s="3" t="s">
        <v>133</v>
      </c>
      <c r="I4" s="32" t="s">
        <v>146</v>
      </c>
      <c r="J4" s="32" t="s">
        <v>147</v>
      </c>
      <c r="K4" s="28" t="s">
        <v>140</v>
      </c>
      <c r="L4" s="28" cm="1">
        <f t="array" ref="L4:U4">_xlfn.LET(_xlpm.max_hops,         _xlfn.XLOOKUP("hop_count", tbl_variable[name], tbl_variable[value], "FIXME", 0),
     _xlpm.headers,          _xlfn.SEQUENCE(1, _xlpm.max_hops, 1, 1),
     _xlpm.return,           _xlpm.headers,
     _xlpm.return)</f>
        <v>1</v>
      </c>
      <c r="M4" s="28">
        <v>2</v>
      </c>
      <c r="N4" s="28">
        <v>3</v>
      </c>
      <c r="O4" s="28">
        <v>4</v>
      </c>
      <c r="P4" s="28">
        <v>5</v>
      </c>
      <c r="Q4" s="28">
        <v>6</v>
      </c>
      <c r="R4" s="28">
        <v>7</v>
      </c>
      <c r="S4" s="28">
        <v>8</v>
      </c>
      <c r="T4" s="28">
        <v>9</v>
      </c>
      <c r="U4" s="28">
        <v>10</v>
      </c>
    </row>
    <row r="5" spans="1:21" x14ac:dyDescent="0.25">
      <c r="D5" s="26" t="str" cm="1">
        <f t="array" ref="D5:D14">_xlfn.LET(_xlpm.target_device_name,       D2,
     _xlpm.name_type,                D1,
     _xlpm.devices_names,            tbl_interfaces[device_handle_cleaned],
     _xlpm.if_ids,                   tbl_interfaces[if_id],
     _xlpm.temp_table,               _xlfn.HSTACK(_xlpm.devices_names, _xlpm.if_ids),
     _xlpm.target_if_ids,            _xlfn.CHOOSECOLS(_xlfn._xlws.FILTER(_xlpm.temp_table, _xlfn.CHOOSECOLS(_xlpm.temp_table, 1) = _xlpm.target_device_name), 2),
     _xlpm.t_if_ids_sorted_uniqued,  _xlfn._xlws.SORT(_xlfn.UNIQUE(_xlpm.target_if_ids)),
     _xlpm.return,                   _xlpm.t_if_ids_sorted_uniqued,
     _xlpm.return)</f>
        <v>leaf01;01</v>
      </c>
      <c r="E5" s="1" t="str" cm="1">
        <f t="array" ref="E5:E14">_xlfn.LET(_xlpm.given_if_ids,_xlfn.ANCHORARRAY(           D5),
     _xlpm.input_if_ids,           tbl_interfaces[if_id],
     _xlpm.associated_path_ids,    tbl_interfaces[associated_ok_path_indicies],
     _xlpm.temp_table,             _xlfn.HSTACK(_xlpm.input_if_ids, _xlpm.associated_path_ids),
     _xlpm.temp_table_de_naed,     _xlfn._xlws.FILTER(_xlpm.temp_table,
                                    (_xlfn.CHOOSECOLS(_xlpm.temp_table, 2) &lt;&gt;  "my_na")),
     _xlpm.map_lambda,             _xlfn.LAMBDA(_xlpm.if_id,
                                    _xlfn.LET(_xlpm.target_path_ids,      _xlfn._xlws.FILTER(_xlpm.temp_table_de_naed,
                                                                     _xlfn.CHOOSECOLS(_xlpm.temp_table_de_naed, 1) = _xlpm.if_id,
                                                                     ""),
                                        _xlpm.path_ids,             IF(COLUMNS(_xlpm.target_path_ids) = 2,
                                                                 _xlfn.ARRAYTOTEXT(_xlfn.CHOOSECOLS(_xlpm.target_path_ids, 2)),
                                                                 ""),
                                        _xlpm.return,               _xlpm.path_ids,
                                        _xlpm.return)),
     _xlpm.path_ids,               _xlfn.MAP(_xlpm.given_if_ids, _xlpm.map_lambda),
     _xlpm.path_ids)</f>
        <v>2</v>
      </c>
      <c r="F5" s="1" cm="1">
        <f t="array" aca="1" ref="F5:F14" ca="1">_xlfn.LET(_xlpm.path_ids,_xlfn.ANCHORARRAY(                    E5),
     _xlpm.path_vertex_counts,          _xlfn.XLOOKUP(_xlfn.VALUETOTEXT(_xlfn.ANCHORARRAY(report_cnx_per_device!E5)), _xlfn.VALUETOTEXT(tbl_paths[manual_index]), tbl_paths[vertex_count], "ERROR::::can_find_manual_index", 0),
     _xlpm.lookup_vertex_count_fn,      _xlfn.LAMBDA(_xlpm.path_id,
                                         IF(LEN(_xlpm.path_id) = 0,
                                            "",
                                            _xlfn.XLOOKUP(_xlfn.VALUETOTEXT(_xlpm.path_id),
                                                    _xlfn.VALUETOTEXT(tbl_paths[manual_index]),
                                                                tbl_paths[vertex_count], "ERROR::::can_find_manual_index", 0))),
     _xlpm.vertex_counts,                _xlfn.MAP(_xlpm.path_ids,
                                       _xlpm.lookup_vertex_count_fn),
     _xlpm.return,                       _xlpm.vertex_counts,
     _xlpm.return)</f>
        <v>3</v>
      </c>
      <c r="G5" s="1" t="str" cm="1">
        <f t="array" aca="1" ref="G5:G14" ca="1">_xlfn.LET(_xlpm.chosen_if_ids,_xlfn.ANCHORARRAY(       D5),
     _xlpm.given_a_if_ids,_xlfn.ANCHORARRAY(      I5),
     _xlpm.given_z_if_ids,_xlfn.ANCHORARRAY(      J5),
     _xlpm.map_lambda,          _xlfn.LAMBDA(_xlpm.chosen_if_id,_xlpm.given_a_if_id,_xlpm.given_z_if_id,
                                 _xlfn.IFS(_xlpm.chosen_if_id = _xlpm.given_a_if_id,
                                     _xlpm.given_a_if_id,
                                     _xlpm.chosen_if_id = _xlpm.given_z_if_id,
                                     _xlpm.given_z_if_id,
                                     TRUE,
                                     _xlpm.given_a_if_id)),
     _xlpm.mapping,              _xlfn.MAP(_xlpm.chosen_if_ids, _xlpm.given_a_if_ids, _xlpm.given_z_if_ids,
                               _xlpm.map_lambda),
     _xlpm.mapping)</f>
        <v>leaf01;01</v>
      </c>
      <c r="H5" s="1" t="str" cm="1">
        <f t="array" aca="1" ref="H5:H14" ca="1">_xlfn.LET(_xlpm.chosen_if_ids,_xlfn.ANCHORARRAY(       D5),
     _xlpm.given_a_if_ids,_xlfn.ANCHORARRAY(      I5),
     _xlpm.given_z_if_ids,_xlfn.ANCHORARRAY(      J5),
     _xlpm.map_lambda,          _xlfn.LAMBDA(_xlpm.chosen_if_id,_xlpm.given_a_if_id,_xlpm.given_z_if_id,
                                 _xlfn.IFS(_xlpm.chosen_if_id = _xlpm.given_a_if_id,
                                     _xlpm.given_z_if_id,
                                     _xlpm.chosen_if_id = _xlpm.given_z_if_id,
                                     _xlpm.given_a_if_id,
                                     TRUE,
                                     _xlpm.given_z_if_id)),
     _xlpm.mapping,              _xlfn.MAP(_xlpm.chosen_if_ids, _xlpm.given_a_if_ids, _xlpm.given_z_if_ids,
                               _xlpm.map_lambda),
     _xlpm.mapping)</f>
        <v>srv01;ob/1</v>
      </c>
      <c r="I5" s="1" t="str" cm="1">
        <f t="array" ref="I5:I14">_xlfn.LET(_xlpm.given_path_ids,        VALUE(_xlfn.ANCHORARRAY(E5)),
     _xlpm.path_ids_for_lookup,_xlfn.ANCHORARRAY(   path_decomposed!D4),
     _xlpm.hop_ids_for_lookup,_xlfn.ANCHORARRAY(    path_decomposed!G4),
     _xlpm.if_ids_for_lookup,_xlfn.ANCHORARRAY(     path_decomposed!F4),
     _xlpm.map_lambda,            _xlfn.LAMBDA(_xlpm.path_id,
                                   IF(ISERROR(_xlpm.path_id),
                                      "",
                                      _xlfn.XLOOKUP(1,
                                              ((_xlpm.path_id = _xlpm.path_ids_for_lookup) *
                                               (1       = _xlpm.hop_ids_for_lookup)),
                                              _xlpm.if_ids_for_lookup,
                                              "FIXME", 0))),
     _xlpm.if_ids,              _xlfn.MAP(_xlpm.given_path_ids,
                              _xlpm.map_lambda),
     _xlpm.return,                  _xlpm.if_ids,
     _xlpm.return)</f>
        <v>srv01;ob/1</v>
      </c>
      <c r="J5" s="1" t="str" cm="1">
        <f t="array" aca="1" ref="J5:J14" ca="1">_xlfn.LET(_xlpm.given_path_ids,        VALUE(_xlfn.ANCHORARRAY(E5)),
     _xlpm.given_hop_ids_01,_xlfn.ANCHORARRAY(      F5),
     _xlpm.given_hop_ids_02,      _xlfn.MAP(_xlpm.given_hop_ids_01,
                                _xlfn.LAMBDA(_xlpm.hop_id,
                                       IF(LEN(_xlpm.hop_id) = 0,
                                          0,
                                          VALUE(_xlpm.hop_id)))),
     _xlpm.path_ids_for_lookup,_xlfn.ANCHORARRAY(   path_decomposed!D4),
     _xlpm.hop_ids_for_lookup,_xlfn.ANCHORARRAY(    path_decomposed!G4),
     _xlpm.if_ids_for_lookup,_xlfn.ANCHORARRAY(     path_decomposed!F4),
     _xlpm.map_lambda,            _xlfn.LAMBDA(_xlpm.path_id,_xlpm.hop_id,
                                   IF(ISERROR(_xlpm.path_id),
                                      "",
                                      _xlfn.XLOOKUP(1,
                                              ((_xlpm.path_id = _xlpm.path_ids_for_lookup) *
                                               (_xlpm.hop_id = _xlpm.hop_ids_for_lookup)),
                                              _xlpm.if_ids_for_lookup,
                                              "FIXME", 0))),
     _xlpm.if_ids,              _xlfn.MAP(_xlpm.given_path_ids, _xlpm.given_hop_ids_02,
                              _xlpm.map_lambda),
     _xlpm.return,              _xlpm.if_ids,
     _xlpm.if_ids)</f>
        <v>leaf01;01</v>
      </c>
      <c r="K5" s="1" t="str" cm="1">
        <f t="array" ref="K5:K14">_xlfn.LET(_xlpm.path_ids,_xlfn.ANCHORARRAY(                 E5),
     _xlpm.path_ids_for_filtering,_xlfn.ANCHORARRAY(   path_decomposed!D4),
     _xlpm.if_ids_for_filtering,_xlfn.ANCHORARRAY(     path_decomposed!F4),
     _xlpm.temp_table,               _xlfn.HSTACK(_xlpm.path_ids_for_filtering, _xlpm.if_ids_for_filtering),
     _xlpm.map_lambda,               _xlfn.LAMBDA(_xlpm.path_id,
                                      IF(LEN(_xlpm.path_id) = 0,
                                         "",
                                         _xlfn.LET(_xlpm.path_id_valued,         VALUE(_xlpm.path_id),
                                             _xlpm.filter_01,              _xlfn._xlws.FILTER(_xlpm.temp_table,
                                                                            _xlfn.CHOOSECOLS(_xlpm.temp_table, 1) = _xlpm.path_id_valued),
                                             _xlpm.if_ids,                 _xlfn.CHOOSECOLS(_xlpm.filter_01, 2),
                                             _xlpm.if_ids_compressed,      _xlfn._xlws.FILTER(_xlpm.if_ids,
                                                                            LEN(_xlpm.if_ids) &gt; 0),
                                             _xlpm.text_array,             _xlfn.ARRAYTOTEXT(_xlpm.if_ids_compressed),
                                             _xlpm.text_array_de_spaced,   SUBSTITUTE(_xlpm.text_array, " ", ""),
                                             _xlpm.text_array_de_spaced))),
     _xlpm.path_text_array,          _xlfn.MAP(_xlpm.path_ids,
                                   _xlpm.map_lambda),
     _xlpm.path_text_array)</f>
        <v>srv01;ob/1,mgmtsw01;01,leaf01;01</v>
      </c>
      <c r="L5" s="1" t="str" cm="1">
        <f t="array" aca="1" ref="L5:U14" ca="1">_xlfn.LET(_xlpm.path_ids,_xlfn.ANCHORARRAY(            E5),
     _xlpm.hop_counts,_xlfn.ANCHORARRAY(          F5),
     _xlpm.path_id_lookup,_xlfn.ANCHORARRAY(      path_decomposed!D4),
     _xlpm.hop_id_lookup,_xlfn.ANCHORARRAY(       path_decomposed!G4),
     _xlpm.if_id_lookup,_xlfn.ANCHORARRAY(        path_decomposed!F4),
     _xlpm.path_ids_valued,     _xlfn.MAP(_xlpm.path_ids,
                              _xlfn.LAMBDA(_xlpm.path_id,
                                     IF(LEN(_xlpm.path_id) = 0,
                                        0,
                                        VALUE(_xlpm.path_id)))),
     _xlpm.array_lambda,         _xlfn.LAMBDA(_xlpm.path_id,_xlpm.hop_id,
                                  _xlfn.LET(_xlpm.actual_path_id,     INDEX(_xlpm.path_ids_valued, _xlpm.path_id),
                                      _xlpm.hop_count,          INDEX(_xlpm.hop_counts,      _xlpm.path_id),
                                      _xlpm.lookup,             IF(OR(_xlpm.actual_path_id = 0, _xlpm.hop_id &gt; _xlpm.hop_count),
                                                             "",
                                                             _xlfn.XLOOKUP(1,
                                                                     ((_xlpm.actual_path_id = _xlpm.path_id_lookup) *
                                                                      (VALUE(_xlpm.hop_id)  = _xlpm.hop_id_lookup)),
                                                                      _xlpm.if_id_lookup)),
                                       _xlpm.return,            _xlpm.lookup,
                                       _xlpm.return)),
     _xlpm.made_array,           _xlfn.MAKEARRAY(ROWS(_xlpm.path_ids_valued), COLUMNS(_xlfn.ANCHORARRAY(L4)),
                                     _xlpm.array_lambda),
     _xlpm.return,               _xlpm.made_array,
     _xlpm.return)</f>
        <v>srv01;ob/1</v>
      </c>
      <c r="M5" s="1" t="str">
        <f ca="1"/>
        <v>mgmtsw01;01</v>
      </c>
      <c r="N5" s="1" t="str">
        <f ca="1"/>
        <v>leaf01;01</v>
      </c>
      <c r="O5" s="1" t="str">
        <f ca="1"/>
        <v/>
      </c>
      <c r="P5" s="1" t="str">
        <f ca="1"/>
        <v/>
      </c>
      <c r="Q5" s="1" t="str">
        <f ca="1"/>
        <v/>
      </c>
      <c r="R5" s="1" t="str">
        <f ca="1"/>
        <v/>
      </c>
      <c r="S5" s="1" t="str">
        <f ca="1"/>
        <v/>
      </c>
      <c r="T5" s="1" t="str">
        <f ca="1"/>
        <v/>
      </c>
      <c r="U5" s="1" t="str">
        <f ca="1"/>
        <v/>
      </c>
    </row>
    <row r="6" spans="1:21" x14ac:dyDescent="0.25">
      <c r="D6" s="26" t="str">
        <v>leaf01;02</v>
      </c>
      <c r="E6" s="1" t="str">
        <v>3</v>
      </c>
      <c r="F6" s="1">
        <f ca="1"/>
        <v>2</v>
      </c>
      <c r="G6" s="1" t="str">
        <f ca="1"/>
        <v>leaf01;02</v>
      </c>
      <c r="H6" s="1" t="str">
        <f ca="1"/>
        <v>srv01;ob/2</v>
      </c>
      <c r="I6" s="1" t="str">
        <v>srv01;ob/2</v>
      </c>
      <c r="J6" s="1" t="str">
        <f ca="1"/>
        <v>leaf01;02</v>
      </c>
      <c r="K6" s="1" t="str">
        <v>srv01;ob/2,leaf01;02</v>
      </c>
      <c r="L6" s="1" t="str">
        <f ca="1"/>
        <v>srv01;ob/2</v>
      </c>
      <c r="M6" s="1" t="str">
        <f ca="1"/>
        <v>leaf01;02</v>
      </c>
      <c r="N6" s="1" t="str">
        <f ca="1"/>
        <v/>
      </c>
      <c r="O6" s="1" t="str">
        <f ca="1"/>
        <v/>
      </c>
      <c r="P6" s="1" t="str">
        <f ca="1"/>
        <v/>
      </c>
      <c r="Q6" s="1" t="str">
        <f ca="1"/>
        <v/>
      </c>
      <c r="R6" s="1" t="str">
        <f ca="1"/>
        <v/>
      </c>
      <c r="S6" s="1" t="str">
        <f ca="1"/>
        <v/>
      </c>
      <c r="T6" s="1" t="str">
        <f ca="1"/>
        <v/>
      </c>
      <c r="U6" s="1" t="str">
        <f ca="1"/>
        <v/>
      </c>
    </row>
    <row r="7" spans="1:21" x14ac:dyDescent="0.25">
      <c r="D7" s="26" t="str">
        <v>leaf01;03</v>
      </c>
      <c r="E7" s="1" t="str">
        <v/>
      </c>
      <c r="F7" s="1" t="str">
        <f ca="1"/>
        <v/>
      </c>
      <c r="G7" s="1" t="str">
        <f ca="1"/>
        <v/>
      </c>
      <c r="H7" s="1" t="str">
        <f ca="1"/>
        <v/>
      </c>
      <c r="I7" s="1" t="str">
        <v/>
      </c>
      <c r="J7" s="1" t="str">
        <f ca="1"/>
        <v/>
      </c>
      <c r="K7" s="1" t="str">
        <v/>
      </c>
      <c r="L7" s="1" t="str">
        <f ca="1"/>
        <v/>
      </c>
      <c r="M7" s="1" t="str">
        <f ca="1"/>
        <v/>
      </c>
      <c r="N7" s="1" t="str">
        <f ca="1"/>
        <v/>
      </c>
      <c r="O7" s="1" t="str">
        <f ca="1"/>
        <v/>
      </c>
      <c r="P7" s="1" t="str">
        <f ca="1"/>
        <v/>
      </c>
      <c r="Q7" s="1" t="str">
        <f ca="1"/>
        <v/>
      </c>
      <c r="R7" s="1" t="str">
        <f ca="1"/>
        <v/>
      </c>
      <c r="S7" s="1" t="str">
        <f ca="1"/>
        <v/>
      </c>
      <c r="T7" s="1" t="str">
        <f ca="1"/>
        <v/>
      </c>
      <c r="U7" s="1" t="str">
        <f ca="1"/>
        <v/>
      </c>
    </row>
    <row r="8" spans="1:21" x14ac:dyDescent="0.25">
      <c r="D8" s="26" t="str">
        <v>leaf01;04</v>
      </c>
      <c r="E8" s="1" t="str">
        <v>8</v>
      </c>
      <c r="F8" s="1">
        <f ca="1"/>
        <v>3</v>
      </c>
      <c r="G8" s="1" t="str">
        <f ca="1"/>
        <v>leaf01;04</v>
      </c>
      <c r="H8" s="1" t="str">
        <f ca="1"/>
        <v>srv02;pcie_1/1</v>
      </c>
      <c r="I8" s="1" t="str">
        <v>leaf01;04</v>
      </c>
      <c r="J8" s="1" t="str">
        <f ca="1"/>
        <v>srv02;pcie_1/1</v>
      </c>
      <c r="K8" s="1" t="str">
        <v>leaf01;04,spine02;05,srv02;pcie_1/1</v>
      </c>
      <c r="L8" s="1" t="str">
        <f ca="1"/>
        <v>leaf01;04</v>
      </c>
      <c r="M8" s="1" t="str">
        <f ca="1"/>
        <v>spine02;05</v>
      </c>
      <c r="N8" s="1" t="str">
        <f ca="1"/>
        <v>srv02;pcie_1/1</v>
      </c>
      <c r="O8" s="1" t="str">
        <f ca="1"/>
        <v/>
      </c>
      <c r="P8" s="1" t="str">
        <f ca="1"/>
        <v/>
      </c>
      <c r="Q8" s="1" t="str">
        <f ca="1"/>
        <v/>
      </c>
      <c r="R8" s="1" t="str">
        <f ca="1"/>
        <v/>
      </c>
      <c r="S8" s="1" t="str">
        <f ca="1"/>
        <v/>
      </c>
      <c r="T8" s="1" t="str">
        <f ca="1"/>
        <v/>
      </c>
      <c r="U8" s="1" t="str">
        <f ca="1"/>
        <v/>
      </c>
    </row>
    <row r="9" spans="1:21" x14ac:dyDescent="0.25">
      <c r="D9" s="26" t="str">
        <v>leaf01;05</v>
      </c>
      <c r="E9" s="1" t="str">
        <v/>
      </c>
      <c r="F9" s="1" t="str">
        <f ca="1"/>
        <v/>
      </c>
      <c r="G9" s="1" t="str">
        <f ca="1"/>
        <v/>
      </c>
      <c r="H9" s="1" t="str">
        <f ca="1"/>
        <v/>
      </c>
      <c r="I9" s="1" t="str">
        <v/>
      </c>
      <c r="J9" s="1" t="str">
        <f ca="1"/>
        <v/>
      </c>
      <c r="K9" s="1" t="str">
        <v/>
      </c>
      <c r="L9" s="1" t="str">
        <f ca="1"/>
        <v/>
      </c>
      <c r="M9" s="1" t="str">
        <f ca="1"/>
        <v/>
      </c>
      <c r="N9" s="1" t="str">
        <f ca="1"/>
        <v/>
      </c>
      <c r="O9" s="1" t="str">
        <f ca="1"/>
        <v/>
      </c>
      <c r="P9" s="1" t="str">
        <f ca="1"/>
        <v/>
      </c>
      <c r="Q9" s="1" t="str">
        <f ca="1"/>
        <v/>
      </c>
      <c r="R9" s="1" t="str">
        <f ca="1"/>
        <v/>
      </c>
      <c r="S9" s="1" t="str">
        <f ca="1"/>
        <v/>
      </c>
      <c r="T9" s="1" t="str">
        <f ca="1"/>
        <v/>
      </c>
      <c r="U9" s="1" t="str">
        <f ca="1"/>
        <v/>
      </c>
    </row>
    <row r="10" spans="1:21" x14ac:dyDescent="0.25">
      <c r="D10" s="26" t="str">
        <v>leaf01;06</v>
      </c>
      <c r="E10" s="1" t="str">
        <v/>
      </c>
      <c r="F10" s="1" t="str">
        <f ca="1"/>
        <v/>
      </c>
      <c r="G10" s="1" t="str">
        <f ca="1"/>
        <v/>
      </c>
      <c r="H10" s="1" t="str">
        <f ca="1"/>
        <v/>
      </c>
      <c r="I10" s="1" t="str">
        <v/>
      </c>
      <c r="J10" s="1" t="str">
        <f ca="1"/>
        <v/>
      </c>
      <c r="K10" s="1" t="str">
        <v/>
      </c>
      <c r="L10" s="1" t="str">
        <f ca="1"/>
        <v/>
      </c>
      <c r="M10" s="1" t="str">
        <f ca="1"/>
        <v/>
      </c>
      <c r="N10" s="1" t="str">
        <f ca="1"/>
        <v/>
      </c>
      <c r="O10" s="1" t="str">
        <f ca="1"/>
        <v/>
      </c>
      <c r="P10" s="1" t="str">
        <f ca="1"/>
        <v/>
      </c>
      <c r="Q10" s="1" t="str">
        <f ca="1"/>
        <v/>
      </c>
      <c r="R10" s="1" t="str">
        <f ca="1"/>
        <v/>
      </c>
      <c r="S10" s="1" t="str">
        <f ca="1"/>
        <v/>
      </c>
      <c r="T10" s="1" t="str">
        <f ca="1"/>
        <v/>
      </c>
      <c r="U10" s="1" t="str">
        <f ca="1"/>
        <v/>
      </c>
    </row>
    <row r="11" spans="1:21" x14ac:dyDescent="0.25">
      <c r="D11" s="26" t="str">
        <v>leaf01;07</v>
      </c>
      <c r="E11" s="1" t="str">
        <v>5</v>
      </c>
      <c r="F11" s="1">
        <f ca="1"/>
        <v>4</v>
      </c>
      <c r="G11" s="1" t="str">
        <f ca="1"/>
        <v>leaf01;07</v>
      </c>
      <c r="H11" s="1" t="str">
        <f ca="1"/>
        <v>spine01;01</v>
      </c>
      <c r="I11" s="1" t="str">
        <v>leaf01;07</v>
      </c>
      <c r="J11" s="1" t="str">
        <f ca="1"/>
        <v>spine01;01</v>
      </c>
      <c r="K11" s="1" t="str">
        <v>leaf01;07,spine01;03,rtr01;g_0/0/1,spine01;01</v>
      </c>
      <c r="L11" s="1" t="str">
        <f ca="1"/>
        <v>leaf01;07</v>
      </c>
      <c r="M11" s="1" t="str">
        <f ca="1"/>
        <v>spine01;03</v>
      </c>
      <c r="N11" s="1" t="str">
        <f ca="1"/>
        <v>rtr01;g_0/0/1</v>
      </c>
      <c r="O11" s="1" t="str">
        <f ca="1"/>
        <v>spine01;01</v>
      </c>
      <c r="P11" s="1" t="str">
        <f ca="1"/>
        <v/>
      </c>
      <c r="Q11" s="1" t="str">
        <f ca="1"/>
        <v/>
      </c>
      <c r="R11" s="1" t="str">
        <f ca="1"/>
        <v/>
      </c>
      <c r="S11" s="1" t="str">
        <f ca="1"/>
        <v/>
      </c>
      <c r="T11" s="1" t="str">
        <f ca="1"/>
        <v/>
      </c>
      <c r="U11" s="1" t="str">
        <f ca="1"/>
        <v/>
      </c>
    </row>
    <row r="12" spans="1:21" x14ac:dyDescent="0.25">
      <c r="D12" s="26" t="str">
        <v>leaf01;08</v>
      </c>
      <c r="E12" s="1" t="str">
        <v>6</v>
      </c>
      <c r="F12" s="1">
        <f ca="1"/>
        <v>2</v>
      </c>
      <c r="G12" s="1" t="str">
        <f ca="1"/>
        <v>leaf01;08</v>
      </c>
      <c r="H12" s="1" t="str">
        <f ca="1"/>
        <v>spine02;01</v>
      </c>
      <c r="I12" s="1" t="str">
        <v>leaf01;08</v>
      </c>
      <c r="J12" s="1" t="str">
        <f ca="1"/>
        <v>spine02;01</v>
      </c>
      <c r="K12" s="1" t="str">
        <v>leaf01;08,spine02;01</v>
      </c>
      <c r="L12" s="1" t="str">
        <f ca="1"/>
        <v>leaf01;08</v>
      </c>
      <c r="M12" s="1" t="str">
        <f ca="1"/>
        <v>spine02;01</v>
      </c>
      <c r="N12" s="1" t="str">
        <f ca="1"/>
        <v/>
      </c>
      <c r="O12" s="1" t="str">
        <f ca="1"/>
        <v/>
      </c>
      <c r="P12" s="1" t="str">
        <f ca="1"/>
        <v/>
      </c>
      <c r="Q12" s="1" t="str">
        <f ca="1"/>
        <v/>
      </c>
      <c r="R12" s="1" t="str">
        <f ca="1"/>
        <v/>
      </c>
      <c r="S12" s="1" t="str">
        <f ca="1"/>
        <v/>
      </c>
      <c r="T12" s="1" t="str">
        <f ca="1"/>
        <v/>
      </c>
      <c r="U12" s="1" t="str">
        <f ca="1"/>
        <v/>
      </c>
    </row>
    <row r="13" spans="1:21" x14ac:dyDescent="0.25">
      <c r="D13" s="26" t="str">
        <v>leaf01;console</v>
      </c>
      <c r="E13" s="1" t="str">
        <v/>
      </c>
      <c r="F13" s="1" t="str">
        <f ca="1"/>
        <v/>
      </c>
      <c r="G13" s="1" t="str">
        <f ca="1"/>
        <v/>
      </c>
      <c r="H13" s="1" t="str">
        <f ca="1"/>
        <v/>
      </c>
      <c r="I13" s="1" t="str">
        <v/>
      </c>
      <c r="J13" s="1" t="str">
        <f ca="1"/>
        <v/>
      </c>
      <c r="K13" s="1" t="str">
        <v/>
      </c>
      <c r="L13" s="1" t="str">
        <f ca="1"/>
        <v/>
      </c>
      <c r="M13" s="1" t="str">
        <f ca="1"/>
        <v/>
      </c>
      <c r="N13" s="1" t="str">
        <f ca="1"/>
        <v/>
      </c>
      <c r="O13" s="1" t="str">
        <f ca="1"/>
        <v/>
      </c>
      <c r="P13" s="1" t="str">
        <f ca="1"/>
        <v/>
      </c>
      <c r="Q13" s="1" t="str">
        <f ca="1"/>
        <v/>
      </c>
      <c r="R13" s="1" t="str">
        <f ca="1"/>
        <v/>
      </c>
      <c r="S13" s="1" t="str">
        <f ca="1"/>
        <v/>
      </c>
      <c r="T13" s="1" t="str">
        <f ca="1"/>
        <v/>
      </c>
      <c r="U13" s="1" t="str">
        <f ca="1"/>
        <v/>
      </c>
    </row>
    <row r="14" spans="1:21" x14ac:dyDescent="0.25">
      <c r="D14" s="26" t="str">
        <v>leaf01;mgmt</v>
      </c>
      <c r="E14" s="1" t="str">
        <v>7</v>
      </c>
      <c r="F14" s="1">
        <f ca="1"/>
        <v>2</v>
      </c>
      <c r="G14" s="1" t="str">
        <f ca="1"/>
        <v>leaf01;mgmt</v>
      </c>
      <c r="H14" s="1" t="str">
        <f ca="1"/>
        <v>mgmtsw01;07</v>
      </c>
      <c r="I14" s="1" t="str">
        <v>leaf01;mgmt</v>
      </c>
      <c r="J14" s="1" t="str">
        <f ca="1"/>
        <v>mgmtsw01;07</v>
      </c>
      <c r="K14" s="1" t="str">
        <v>leaf01;mgmt,mgmtsw01;07</v>
      </c>
      <c r="L14" s="1" t="str">
        <f ca="1"/>
        <v>leaf01;mgmt</v>
      </c>
      <c r="M14" s="1" t="str">
        <f ca="1"/>
        <v>mgmtsw01;07</v>
      </c>
      <c r="N14" s="1" t="str">
        <f ca="1"/>
        <v/>
      </c>
      <c r="O14" s="1" t="str">
        <f ca="1"/>
        <v/>
      </c>
      <c r="P14" s="1" t="str">
        <f ca="1"/>
        <v/>
      </c>
      <c r="Q14" s="1" t="str">
        <f ca="1"/>
        <v/>
      </c>
      <c r="R14" s="1" t="str">
        <f ca="1"/>
        <v/>
      </c>
      <c r="S14" s="1" t="str">
        <f ca="1"/>
        <v/>
      </c>
      <c r="T14" s="1" t="str">
        <f ca="1"/>
        <v/>
      </c>
      <c r="U14" s="1" t="str">
        <f ca="1"/>
        <v/>
      </c>
    </row>
  </sheetData>
  <dataValidations count="1">
    <dataValidation type="list" allowBlank="1" showInputMessage="1" showErrorMessage="1" sqref="D1" xr:uid="{8E28E605-CF55-4194-8C37-694F1EE1CC81}">
      <formula1>"handle,name,coord_name"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889EDD-03BE-4908-9CA4-218FDEB164D6}">
          <x14:formula1>
            <xm:f>devices!$L$5:$L$1048576</xm:f>
          </x14:formula1>
          <xm:sqref>D2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411A-5FEE-4ED7-A052-29344BA4C848}">
  <dimension ref="A1:S14"/>
  <sheetViews>
    <sheetView topLeftCell="G1" workbookViewId="0">
      <selection activeCell="I3" sqref="I2:I3"/>
    </sheetView>
  </sheetViews>
  <sheetFormatPr defaultRowHeight="15" x14ac:dyDescent="0.25"/>
  <cols>
    <col min="1" max="2" width="9.140625" style="1"/>
    <col min="3" max="3" width="20.7109375" style="1" bestFit="1" customWidth="1"/>
    <col min="4" max="4" width="27" style="14" customWidth="1"/>
    <col min="5" max="5" width="20.85546875" style="1" customWidth="1"/>
    <col min="6" max="6" width="17.7109375" style="1" customWidth="1"/>
    <col min="7" max="7" width="38.85546875" style="1" customWidth="1"/>
    <col min="8" max="8" width="25.85546875" style="1" customWidth="1"/>
    <col min="9" max="9" width="54.5703125" style="14" customWidth="1"/>
    <col min="10" max="10" width="22.28515625" style="1" customWidth="1"/>
    <col min="11" max="11" width="18.85546875" style="1" customWidth="1"/>
    <col min="12" max="12" width="22" style="1" customWidth="1"/>
    <col min="13" max="13" width="15.85546875" style="1" customWidth="1"/>
    <col min="14" max="16384" width="9.140625" style="1"/>
  </cols>
  <sheetData>
    <row r="1" spans="1:19" x14ac:dyDescent="0.25">
      <c r="D1" s="36" t="s">
        <v>204</v>
      </c>
      <c r="E1" s="36" t="s">
        <v>154</v>
      </c>
    </row>
    <row r="2" spans="1:19" x14ac:dyDescent="0.25">
      <c r="C2" s="36" t="s">
        <v>168</v>
      </c>
      <c r="D2" s="33" t="s">
        <v>210</v>
      </c>
      <c r="E2" s="33" t="s">
        <v>154</v>
      </c>
    </row>
    <row r="3" spans="1:19" x14ac:dyDescent="0.25">
      <c r="D3" s="1"/>
    </row>
    <row r="4" spans="1:19" s="3" customFormat="1" x14ac:dyDescent="0.25">
      <c r="A4" s="1"/>
      <c r="B4" s="1"/>
      <c r="C4" s="1"/>
      <c r="D4" s="3" t="s">
        <v>138</v>
      </c>
      <c r="E4" s="3" t="s">
        <v>139</v>
      </c>
      <c r="F4" s="3" t="s">
        <v>142</v>
      </c>
      <c r="G4" s="3" t="s">
        <v>129</v>
      </c>
      <c r="H4" s="3" t="s">
        <v>133</v>
      </c>
      <c r="I4" s="3" t="s">
        <v>140</v>
      </c>
      <c r="J4" s="3" cm="1">
        <f t="array" ref="J4:S4">_xlfn.LET(_xlpm.max_hops,         _xlfn.XLOOKUP("hop_count", tbl_variable[name], tbl_variable[value], "FIXME", 0),
     _xlpm.headers,          _xlfn.SEQUENCE(1, _xlpm.max_hops, 1, 1),
     _xlpm.return,           _xlpm.headers,
     _xlpm.return)</f>
        <v>1</v>
      </c>
      <c r="K4" s="3">
        <v>2</v>
      </c>
      <c r="L4" s="3">
        <v>3</v>
      </c>
      <c r="M4" s="3">
        <v>4</v>
      </c>
      <c r="N4" s="3">
        <v>5</v>
      </c>
      <c r="O4" s="3">
        <v>6</v>
      </c>
      <c r="P4" s="3">
        <v>7</v>
      </c>
      <c r="Q4" s="3">
        <v>8</v>
      </c>
      <c r="R4" s="3">
        <v>9</v>
      </c>
      <c r="S4" s="3">
        <v>10</v>
      </c>
    </row>
    <row r="5" spans="1:19" x14ac:dyDescent="0.25">
      <c r="D5" s="14" t="str" cm="1">
        <f t="array" ref="D5:D14">_xlfn.LET(_xlpm.name_directive,          D2,
     _xlpm.if_name_directive,       E2,
     _xlpm.delimiter,               _xlfn.XLOOKUP("delimiter_device_if_name",
                                      tbl_variable[name], tbl_variable[value], "FIXME", 0),
     _xlpm.handle_based_if_ids,_xlfn.ANCHORARRAY(     report_cnx_per_device!D5),
     _xlpm.device_handles,          _xlfn.TEXTBEFORE(_xlpm.handle_based_if_ids, _xlpm.delimiter),
     _xlpm.device_cases,            _xlfn.SWITCH(_xlpm.name_directive,
                                     "handle",
                                     _xlpm.device_handles,
                                     "name",
                                     _xlfn.XLOOKUP(_xlpm.device_handles,
                                             tbl_devices[handle_permanent_cleaned],
                                             tbl_devices[name],
                                             "FIXME", 0),
                                     "coord_name",
                                     _xlfn.XLOOKUP(_xlpm.device_handles,
                                             tbl_devices[handle_permanent_cleaned],
                                             tbl_devices[coord_base_name],
                                             "FIXME", 0),
                                     "alias_01",
                                     _xlfn.XLOOKUP(_xlpm.device_handles,
                                             tbl_devices[handle_permanent_cleaned],
                                             tbl_devices[alias_01],
                                             "FIXME", 0),
                                     "alias_02",
                                     _xlfn.XLOOKUP(_xlpm.device_handles,
                                             tbl_devices[handle_permanent_cleaned],
                                             tbl_devices[alias_02],
                                             "FIXME", 0)),
      _xlpm.device_cases_dezeroed,  IF(LEN(_xlpm.device_cases) = 0,
                                 "",
                                 _xlpm.device_cases),
     _xlpm.if_name_cases,            _xlfn.SWITCH(_xlpm.if_name_directive,
                                     "if_name",
                                     _xlfn.XLOOKUP(_xlpm.handle_based_if_ids,
                                             tbl_interfaces[if_id],
                                             tbl_interfaces[if_name_cleaned],
                                             "FIXME", 0),
                                     "alias_01",
                                     _xlfn.XLOOKUP(_xlpm.handle_based_if_ids,
                                             tbl_interfaces[if_id],
                                             tbl_interfaces[alias_01],
                                             "FIXME", 0),
                                     "alias_02",
                                     _xlfn.XLOOKUP(_xlpm.handle_based_if_ids,
                                             tbl_interfaces[if_id],
                                             tbl_interfaces[alias_02],
                                             "FIXME", 0)),
      _xlpm.if_name_cases_dezeroed,  IF(LEN(_xlpm.if_name_cases) = 0,
                                  "",
                                  _xlpm.if_name_cases),
      _xlpm.return,                 CONCATENATE(_xlpm.device_cases_dezeroed, _xlpm.delimiter, _xlpm.if_name_cases_dezeroed),
      _xlpm.return)</f>
        <v>leaf01;01</v>
      </c>
      <c r="E5" s="1" t="str" cm="1">
        <f t="array" ref="E5:E14">_xlfn.ANCHORARRAY(report_cnx_per_device!E5)</f>
        <v>2</v>
      </c>
      <c r="F5" s="1" cm="1">
        <f t="array" aca="1" ref="F5:F14" ca="1">_xlfn.ANCHORARRAY(report_cnx_per_device!F5)</f>
        <v>3</v>
      </c>
      <c r="G5" s="1" t="str" cm="1">
        <f t="array" aca="1" ref="G5:G14" ca="1">_xlfn.LET(_xlpm.name_directive,          D2,
     _xlpm.if_name_directive,       E2,
     _xlpm.delimiter,               _xlfn.XLOOKUP("delimiter_device_if_name",
                                      tbl_variable[name], tbl_variable[value], "FIXME", 0),
     _xlpm.handle_based_if_ids,_xlfn.ANCHORARRAY(     report_cnx_per_device!G5),
     _xlpm.device_handles,          _xlfn.TEXTBEFORE(_xlpm.handle_based_if_ids, _xlpm.delimiter),
     _xlpm.device_cases,            IF(ISERROR(_xlpm.device_handles),
                                 "",
                                 _xlfn.SWITCH(_xlpm.name_directive,
                                     "handle",
                                     _xlpm.device_handles,
                                     "name",
                                     _xlfn.XLOOKUP(_xlpm.device_handles,
                                             tbl_devices[handle_permanent_cleaned],
                                             tbl_devices[name],
                                             "FIXME", 0),
                                     "coord_name",
                                     _xlfn.XLOOKUP(_xlpm.device_handles,
                                             tbl_devices[handle_permanent_cleaned],
                                             tbl_devices[coord_base_name],
                                             "FIXME", 0),
                                     "alias_01",
                                     _xlfn.XLOOKUP(_xlpm.device_handles,
                                             tbl_devices[handle_permanent_cleaned],
                                             tbl_devices[alias_01],
                                             "FIXME", 0),
                                     "alias_02",
                                     _xlfn.XLOOKUP(_xlpm.device_handles,
                                             tbl_devices[handle_permanent_cleaned],
                                             tbl_devices[alias_02],
                                             "FIXME", 0))),
      _xlpm.device_cases_dezeroed,  IF(LEN(_xlpm.device_cases) = 0,
                                 "",
                                 _xlpm.device_cases),
     _xlpm.if_name_cases,            _xlfn.SWITCH(_xlpm.if_name_directive,
                                     "if_name",
                                     _xlfn.XLOOKUP(_xlpm.handle_based_if_ids,
                                             tbl_interfaces[if_id],
                                             tbl_interfaces[if_name_cleaned],
                                             "", 0),
                                     "alias_01",
                                     _xlfn.XLOOKUP(_xlpm.handle_based_if_ids,
                                             tbl_interfaces[if_id],
                                             tbl_interfaces[alias_01],
                                             "", 0),
                                     "alias_02",
                                     _xlfn.XLOOKUP(_xlpm.handle_based_if_ids,
                                             tbl_interfaces[if_id],
                                             tbl_interfaces[alias_02],
                                             "", 0)),
      _xlpm.if_name_cases_dezeroed,  IF(LEN(_xlpm.if_name_cases) = 0,
                                  "",
                                  _xlpm.if_name_cases),
      _xlpm.if_ids,                  CONCATENATE(_xlpm.device_cases_dezeroed, _xlpm.delimiter, _xlpm.if_name_cases_dezeroed),
      _xlpm.if_ids_no_single_semis,  IF(_xlpm.if_ids = ";",
                                  "",
                                  _xlpm.if_ids),
      _xlpm.if_ids_no_single_semis)</f>
        <v>leaf01;01</v>
      </c>
      <c r="H5" s="1" t="str" cm="1">
        <f t="array" aca="1" ref="H5:H14" ca="1">_xlfn.LET(_xlpm.name_directive,          D2,
     _xlpm.if_name_directive,       E2,
     _xlpm.delimiter,               _xlfn.XLOOKUP("delimiter_device_if_name",
                                      tbl_variable[name], tbl_variable[value], "FIXME", 0),
     _xlpm.handle_based_if_ids,_xlfn.ANCHORARRAY(     report_cnx_per_device!H5),
     _xlpm.device_handles,          _xlfn.TEXTBEFORE(_xlpm.handle_based_if_ids, _xlpm.delimiter),
     _xlpm.device_cases,            IF(ISERROR(_xlpm.device_handles),
                                 "",
                                 _xlfn.SWITCH(_xlpm.name_directive,
                                     "handle",
                                     _xlpm.device_handles,
                                     "name",
                                     _xlfn.XLOOKUP(_xlpm.device_handles,
                                             tbl_devices[handle_permanent_cleaned],
                                             tbl_devices[name],
                                             "FIXME", 0),
                                     "coord_name",
                                     _xlfn.XLOOKUP(_xlpm.device_handles,
                                             tbl_devices[handle_permanent_cleaned],
                                             tbl_devices[coord_base_name],
                                             "FIXME", 0),
                                     "alias_01",
                                     _xlfn.XLOOKUP(_xlpm.device_handles,
                                             tbl_devices[handle_permanent_cleaned],
                                             tbl_devices[alias_01],
                                             "FIXME", 0),
                                     "alias_02",
                                     _xlfn.XLOOKUP(_xlpm.device_handles,
                                             tbl_devices[handle_permanent_cleaned],
                                             tbl_devices[alias_02],
                                             "FIXME", 0))),
      _xlpm.device_cases_dezeroed,  IF(LEN(_xlpm.device_cases) = 0,
                                 "",
                                 _xlpm.device_cases),
     _xlpm.if_name_cases,            _xlfn.SWITCH(_xlpm.if_name_directive,
                                     "if_name",
                                     _xlfn.XLOOKUP(_xlpm.handle_based_if_ids,
                                             tbl_interfaces[if_id],
                                             tbl_interfaces[if_name_cleaned],
                                             "", 0),
                                     "alias_01",
                                     _xlfn.XLOOKUP(_xlpm.handle_based_if_ids,
                                             tbl_interfaces[if_id],
                                             tbl_interfaces[alias_01],
                                             "", 0),
                                     "alias_02",
                                     _xlfn.XLOOKUP(_xlpm.handle_based_if_ids,
                                             tbl_interfaces[if_id],
                                             tbl_interfaces[alias_02],
                                             "", 0)),
      _xlpm.if_name_cases_dezeroed,  IF(LEN(_xlpm.if_name_cases) = 0,
                                  "",
                                  _xlpm.if_name_cases),
      _xlpm.if_ids,                  CONCATENATE(_xlpm.device_cases_dezeroed, _xlpm.delimiter, _xlpm.if_name_cases_dezeroed),
      _xlpm.if_ids_no_single_semis,  IF(_xlpm.if_ids = ";",
                                  "",
                                  _xlpm.if_ids),
      _xlpm.if_ids_no_single_semis)</f>
        <v>srv01;ob/1</v>
      </c>
      <c r="I5" s="14" t="str" cm="1">
        <f t="array" aca="1" ref="I5:I14" ca="1">_xlfn.LET(_xlpm.delimiter,           _xlfn.XLOOKUP("delimiter_text_array_element",
                                  tbl_variable[name], tbl_variable[value], "FIXME", 0),
     _xlpm.row_count,           ROWS(_xlfn.ANCHORARRAY(J5)),
     _xlpm.spilled_tbl,_xlfn.ANCHORARRAY(         J5),
     _xlpm.iter_index,          _xlfn.SEQUENCE(_xlpm.row_count, 1, 1, 1),
     _xlpm.map_lambda,          _xlfn.LAMBDA(_xlpm.iter_i,
                                 _xlfn.LET(_xlpm.ith_row,     _xlfn.CHOOSEROWS(_xlpm.spilled_tbl, _xlpm.iter_i),
                                     _xlpm.return,      _xlfn.TEXTJOIN(_xlpm.delimiter, TRUE, _xlpm.ith_row),
                                     _xlpm.return)),
     _xlpm.return,               _xlfn.MAP(_xlpm.iter_index, _xlpm.map_lambda),
     _xlpm.return)</f>
        <v>srv01;ob/1,mgmtsw01;01,leaf01;01</v>
      </c>
      <c r="J5" s="1" t="str" cm="1">
        <f t="array" aca="1" ref="J5:S14" ca="1">_xlfn.LET(_xlpm.name_directive,          D2,
     _xlpm.if_name_directive,       E2,
     _xlpm.delimiter,               _xlfn.XLOOKUP("delimiter_device_if_name",
                                      tbl_variable[name], tbl_variable[value], "FIXME", 0),
     _xlpm.handle_based_if_ids,_xlfn.ANCHORARRAY(     report_cnx_per_device!L5),
     _xlpm.device_handles,          _xlfn.TEXTBEFORE(_xlpm.handle_based_if_ids, _xlpm.delimiter),
     _xlpm.device_cases,            IF(ISERROR(_xlpm.device_handles),
                                 "",
                                 _xlfn.SWITCH(_xlpm.name_directive,
                                     "handle",
                                     _xlpm.device_handles,
                                     "name",
                                     _xlfn.XLOOKUP(_xlpm.device_handles,
                                             tbl_devices[handle_permanent_cleaned],
                                             tbl_devices[name],
                                             "FIXME", 0),
                                     "coord_name",
                                     _xlfn.XLOOKUP(_xlpm.device_handles,
                                             tbl_devices[handle_permanent_cleaned],
                                             tbl_devices[coord_base_name],
                                             "FIXME", 0),
                                     "alias_01",
                                     _xlfn.XLOOKUP(_xlpm.device_handles,
                                             tbl_devices[handle_permanent_cleaned],
                                             tbl_devices[alias_01],
                                             "FIXME", 0),
                                     "alias_02",
                                     _xlfn.XLOOKUP(_xlpm.device_handles,
                                             tbl_devices[handle_permanent_cleaned],
                                             tbl_devices[alias_02],
                                             "FIXME", 0))),
      _xlpm.device_cases_dezeroed,  IF(LEN(_xlpm.device_cases) = 0,
                                 "",
                                 _xlpm.device_cases),
     _xlpm.if_name_cases,            _xlfn.SWITCH(_xlpm.if_name_directive,
                                     "if_name",
                                     _xlfn.XLOOKUP(_xlpm.handle_based_if_ids,
                                             tbl_interfaces[if_id],
                                             tbl_interfaces[if_name_cleaned],
                                             "", 0),
                                     "alias_01",
                                     _xlfn.XLOOKUP(_xlpm.handle_based_if_ids,
                                             tbl_interfaces[if_id],
                                             tbl_interfaces[alias_01],
                                             "", 0),
                                     "alias_02",
                                     _xlfn.XLOOKUP(_xlpm.handle_based_if_ids,
                                             tbl_interfaces[if_id],
                                             tbl_interfaces[alias_02],
                                             "", 0)),
      _xlpm.if_name_cases_dezeroed,  IF(LEN(_xlpm.if_name_cases) = 0,
                                  "",
                                  _xlpm.if_name_cases),
      _xlpm.if_ids,                  CONCATENATE(_xlpm.device_cases_dezeroed, _xlpm.delimiter, _xlpm.if_name_cases_dezeroed),
      _xlpm.if_ids_no_single_semis,  IF(_xlpm.if_ids = ";",
                                  "",
                                  _xlpm.if_ids),
      _xlpm.if_ids_no_single_semis)</f>
        <v>srv01;ob/1</v>
      </c>
      <c r="K5" s="1" t="str">
        <f ca="1"/>
        <v>mgmtsw01;01</v>
      </c>
      <c r="L5" s="1" t="str">
        <f ca="1"/>
        <v>leaf01;01</v>
      </c>
      <c r="M5" s="1" t="str">
        <f ca="1"/>
        <v/>
      </c>
      <c r="N5" s="1" t="str">
        <f ca="1"/>
        <v/>
      </c>
      <c r="O5" s="1" t="str">
        <f ca="1"/>
        <v/>
      </c>
      <c r="P5" s="1" t="str">
        <f ca="1"/>
        <v/>
      </c>
      <c r="Q5" s="1" t="str">
        <f ca="1"/>
        <v/>
      </c>
      <c r="R5" s="1" t="str">
        <f ca="1"/>
        <v/>
      </c>
      <c r="S5" s="1" t="str">
        <f ca="1"/>
        <v/>
      </c>
    </row>
    <row r="6" spans="1:19" x14ac:dyDescent="0.25">
      <c r="D6" s="14" t="str">
        <v>leaf01;02</v>
      </c>
      <c r="E6" s="1" t="str">
        <v>3</v>
      </c>
      <c r="F6" s="1">
        <f ca="1"/>
        <v>2</v>
      </c>
      <c r="G6" s="1" t="str">
        <f ca="1"/>
        <v>leaf01;02</v>
      </c>
      <c r="H6" s="1" t="str">
        <f ca="1"/>
        <v>srv01;ob/2</v>
      </c>
      <c r="I6" s="14" t="str">
        <f ca="1"/>
        <v>srv01;ob/2,leaf01;02</v>
      </c>
      <c r="J6" s="1" t="str">
        <f ca="1"/>
        <v>srv01;ob/2</v>
      </c>
      <c r="K6" s="1" t="str">
        <f ca="1"/>
        <v>leaf01;02</v>
      </c>
      <c r="L6" s="1" t="str">
        <f ca="1"/>
        <v/>
      </c>
      <c r="M6" s="1" t="str">
        <f ca="1"/>
        <v/>
      </c>
      <c r="N6" s="1" t="str">
        <f ca="1"/>
        <v/>
      </c>
      <c r="O6" s="1" t="str">
        <f ca="1"/>
        <v/>
      </c>
      <c r="P6" s="1" t="str">
        <f ca="1"/>
        <v/>
      </c>
      <c r="Q6" s="1" t="str">
        <f ca="1"/>
        <v/>
      </c>
      <c r="R6" s="1" t="str">
        <f ca="1"/>
        <v/>
      </c>
      <c r="S6" s="1" t="str">
        <f ca="1"/>
        <v/>
      </c>
    </row>
    <row r="7" spans="1:19" x14ac:dyDescent="0.25">
      <c r="D7" s="14" t="str">
        <v>leaf01;03</v>
      </c>
      <c r="E7" s="1" t="str">
        <v/>
      </c>
      <c r="F7" s="1" t="str">
        <f ca="1"/>
        <v/>
      </c>
      <c r="G7" s="1" t="str">
        <f ca="1"/>
        <v/>
      </c>
      <c r="H7" s="1" t="str">
        <f ca="1"/>
        <v/>
      </c>
      <c r="I7" s="14" t="str">
        <f ca="1"/>
        <v/>
      </c>
      <c r="J7" s="1" t="str">
        <f ca="1"/>
        <v/>
      </c>
      <c r="K7" s="1" t="str">
        <f ca="1"/>
        <v/>
      </c>
      <c r="L7" s="1" t="str">
        <f ca="1"/>
        <v/>
      </c>
      <c r="M7" s="1" t="str">
        <f ca="1"/>
        <v/>
      </c>
      <c r="N7" s="1" t="str">
        <f ca="1"/>
        <v/>
      </c>
      <c r="O7" s="1" t="str">
        <f ca="1"/>
        <v/>
      </c>
      <c r="P7" s="1" t="str">
        <f ca="1"/>
        <v/>
      </c>
      <c r="Q7" s="1" t="str">
        <f ca="1"/>
        <v/>
      </c>
      <c r="R7" s="1" t="str">
        <f ca="1"/>
        <v/>
      </c>
      <c r="S7" s="1" t="str">
        <f ca="1"/>
        <v/>
      </c>
    </row>
    <row r="8" spans="1:19" x14ac:dyDescent="0.25">
      <c r="D8" s="14" t="str">
        <v>leaf01;04</v>
      </c>
      <c r="E8" s="1" t="str">
        <v>8</v>
      </c>
      <c r="F8" s="1">
        <f ca="1"/>
        <v>3</v>
      </c>
      <c r="G8" s="1" t="str">
        <f ca="1"/>
        <v>leaf01;04</v>
      </c>
      <c r="H8" s="1" t="str">
        <f ca="1"/>
        <v>srv02;pcie_1/1</v>
      </c>
      <c r="I8" s="14" t="str">
        <f ca="1"/>
        <v>leaf01;04,spine02;05,srv02;pcie_1/1</v>
      </c>
      <c r="J8" s="1" t="str">
        <f ca="1"/>
        <v>leaf01;04</v>
      </c>
      <c r="K8" s="1" t="str">
        <f ca="1"/>
        <v>spine02;05</v>
      </c>
      <c r="L8" s="1" t="str">
        <f ca="1"/>
        <v>srv02;pcie_1/1</v>
      </c>
      <c r="M8" s="1" t="str">
        <f ca="1"/>
        <v/>
      </c>
      <c r="N8" s="1" t="str">
        <f ca="1"/>
        <v/>
      </c>
      <c r="O8" s="1" t="str">
        <f ca="1"/>
        <v/>
      </c>
      <c r="P8" s="1" t="str">
        <f ca="1"/>
        <v/>
      </c>
      <c r="Q8" s="1" t="str">
        <f ca="1"/>
        <v/>
      </c>
      <c r="R8" s="1" t="str">
        <f ca="1"/>
        <v/>
      </c>
      <c r="S8" s="1" t="str">
        <f ca="1"/>
        <v/>
      </c>
    </row>
    <row r="9" spans="1:19" x14ac:dyDescent="0.25">
      <c r="D9" s="14" t="str">
        <v>leaf01;05</v>
      </c>
      <c r="E9" s="1" t="str">
        <v/>
      </c>
      <c r="F9" s="1" t="str">
        <f ca="1"/>
        <v/>
      </c>
      <c r="G9" s="1" t="str">
        <f ca="1"/>
        <v/>
      </c>
      <c r="H9" s="1" t="str">
        <f ca="1"/>
        <v/>
      </c>
      <c r="I9" s="14" t="str">
        <f ca="1"/>
        <v/>
      </c>
      <c r="J9" s="1" t="str">
        <f ca="1"/>
        <v/>
      </c>
      <c r="K9" s="1" t="str">
        <f ca="1"/>
        <v/>
      </c>
      <c r="L9" s="1" t="str">
        <f ca="1"/>
        <v/>
      </c>
      <c r="M9" s="1" t="str">
        <f ca="1"/>
        <v/>
      </c>
      <c r="N9" s="1" t="str">
        <f ca="1"/>
        <v/>
      </c>
      <c r="O9" s="1" t="str">
        <f ca="1"/>
        <v/>
      </c>
      <c r="P9" s="1" t="str">
        <f ca="1"/>
        <v/>
      </c>
      <c r="Q9" s="1" t="str">
        <f ca="1"/>
        <v/>
      </c>
      <c r="R9" s="1" t="str">
        <f ca="1"/>
        <v/>
      </c>
      <c r="S9" s="1" t="str">
        <f ca="1"/>
        <v/>
      </c>
    </row>
    <row r="10" spans="1:19" x14ac:dyDescent="0.25">
      <c r="D10" s="14" t="str">
        <v>leaf01;06</v>
      </c>
      <c r="E10" s="1" t="str">
        <v/>
      </c>
      <c r="F10" s="1" t="str">
        <f ca="1"/>
        <v/>
      </c>
      <c r="G10" s="1" t="str">
        <f ca="1"/>
        <v/>
      </c>
      <c r="H10" s="1" t="str">
        <f ca="1"/>
        <v/>
      </c>
      <c r="I10" s="14" t="str">
        <f ca="1"/>
        <v/>
      </c>
      <c r="J10" s="1" t="str">
        <f ca="1"/>
        <v/>
      </c>
      <c r="K10" s="1" t="str">
        <f ca="1"/>
        <v/>
      </c>
      <c r="L10" s="1" t="str">
        <f ca="1"/>
        <v/>
      </c>
      <c r="M10" s="1" t="str">
        <f ca="1"/>
        <v/>
      </c>
      <c r="N10" s="1" t="str">
        <f ca="1"/>
        <v/>
      </c>
      <c r="O10" s="1" t="str">
        <f ca="1"/>
        <v/>
      </c>
      <c r="P10" s="1" t="str">
        <f ca="1"/>
        <v/>
      </c>
      <c r="Q10" s="1" t="str">
        <f ca="1"/>
        <v/>
      </c>
      <c r="R10" s="1" t="str">
        <f ca="1"/>
        <v/>
      </c>
      <c r="S10" s="1" t="str">
        <f ca="1"/>
        <v/>
      </c>
    </row>
    <row r="11" spans="1:19" x14ac:dyDescent="0.25">
      <c r="D11" s="14" t="str">
        <v>leaf01;07</v>
      </c>
      <c r="E11" s="1" t="str">
        <v>5</v>
      </c>
      <c r="F11" s="1">
        <f ca="1"/>
        <v>4</v>
      </c>
      <c r="G11" s="1" t="str">
        <f ca="1"/>
        <v>leaf01;07</v>
      </c>
      <c r="H11" s="1" t="str">
        <f ca="1"/>
        <v>spine01;01</v>
      </c>
      <c r="I11" s="14" t="str">
        <f ca="1"/>
        <v>leaf01;07,spine01;03,rtr01;g_0/0/1,spine01;01</v>
      </c>
      <c r="J11" s="1" t="str">
        <f ca="1"/>
        <v>leaf01;07</v>
      </c>
      <c r="K11" s="1" t="str">
        <f ca="1"/>
        <v>spine01;03</v>
      </c>
      <c r="L11" s="1" t="str">
        <f ca="1"/>
        <v>rtr01;g_0/0/1</v>
      </c>
      <c r="M11" s="1" t="str">
        <f ca="1"/>
        <v>spine01;01</v>
      </c>
      <c r="N11" s="1" t="str">
        <f ca="1"/>
        <v/>
      </c>
      <c r="O11" s="1" t="str">
        <f ca="1"/>
        <v/>
      </c>
      <c r="P11" s="1" t="str">
        <f ca="1"/>
        <v/>
      </c>
      <c r="Q11" s="1" t="str">
        <f ca="1"/>
        <v/>
      </c>
      <c r="R11" s="1" t="str">
        <f ca="1"/>
        <v/>
      </c>
      <c r="S11" s="1" t="str">
        <f ca="1"/>
        <v/>
      </c>
    </row>
    <row r="12" spans="1:19" x14ac:dyDescent="0.25">
      <c r="D12" s="14" t="str">
        <v>leaf01;08</v>
      </c>
      <c r="E12" s="1" t="str">
        <v>6</v>
      </c>
      <c r="F12" s="1">
        <f ca="1"/>
        <v>2</v>
      </c>
      <c r="G12" s="1" t="str">
        <f ca="1"/>
        <v>leaf01;08</v>
      </c>
      <c r="H12" s="1" t="str">
        <f ca="1"/>
        <v>spine02;01</v>
      </c>
      <c r="I12" s="14" t="str">
        <f ca="1"/>
        <v>leaf01;08,spine02;01</v>
      </c>
      <c r="J12" s="1" t="str">
        <f ca="1"/>
        <v>leaf01;08</v>
      </c>
      <c r="K12" s="1" t="str">
        <f ca="1"/>
        <v>spine02;01</v>
      </c>
      <c r="L12" s="1" t="str">
        <f ca="1"/>
        <v/>
      </c>
      <c r="M12" s="1" t="str">
        <f ca="1"/>
        <v/>
      </c>
      <c r="N12" s="1" t="str">
        <f ca="1"/>
        <v/>
      </c>
      <c r="O12" s="1" t="str">
        <f ca="1"/>
        <v/>
      </c>
      <c r="P12" s="1" t="str">
        <f ca="1"/>
        <v/>
      </c>
      <c r="Q12" s="1" t="str">
        <f ca="1"/>
        <v/>
      </c>
      <c r="R12" s="1" t="str">
        <f ca="1"/>
        <v/>
      </c>
      <c r="S12" s="1" t="str">
        <f ca="1"/>
        <v/>
      </c>
    </row>
    <row r="13" spans="1:19" x14ac:dyDescent="0.25">
      <c r="D13" s="14" t="str">
        <v>leaf01;console</v>
      </c>
      <c r="E13" s="1" t="str">
        <v/>
      </c>
      <c r="F13" s="1" t="str">
        <f ca="1"/>
        <v/>
      </c>
      <c r="G13" s="1" t="str">
        <f ca="1"/>
        <v/>
      </c>
      <c r="H13" s="1" t="str">
        <f ca="1"/>
        <v/>
      </c>
      <c r="I13" s="14" t="str">
        <f ca="1"/>
        <v/>
      </c>
      <c r="J13" s="1" t="str">
        <f ca="1"/>
        <v/>
      </c>
      <c r="K13" s="1" t="str">
        <f ca="1"/>
        <v/>
      </c>
      <c r="L13" s="1" t="str">
        <f ca="1"/>
        <v/>
      </c>
      <c r="M13" s="1" t="str">
        <f ca="1"/>
        <v/>
      </c>
      <c r="N13" s="1" t="str">
        <f ca="1"/>
        <v/>
      </c>
      <c r="O13" s="1" t="str">
        <f ca="1"/>
        <v/>
      </c>
      <c r="P13" s="1" t="str">
        <f ca="1"/>
        <v/>
      </c>
      <c r="Q13" s="1" t="str">
        <f ca="1"/>
        <v/>
      </c>
      <c r="R13" s="1" t="str">
        <f ca="1"/>
        <v/>
      </c>
      <c r="S13" s="1" t="str">
        <f ca="1"/>
        <v/>
      </c>
    </row>
    <row r="14" spans="1:19" x14ac:dyDescent="0.25">
      <c r="D14" s="14" t="str">
        <v>leaf01;mgmt</v>
      </c>
      <c r="E14" s="1" t="str">
        <v>7</v>
      </c>
      <c r="F14" s="1">
        <f ca="1"/>
        <v>2</v>
      </c>
      <c r="G14" s="1" t="str">
        <f ca="1"/>
        <v>leaf01;mgmt</v>
      </c>
      <c r="H14" s="1" t="str">
        <f ca="1"/>
        <v>mgmtsw01;07</v>
      </c>
      <c r="I14" s="14" t="str">
        <f ca="1"/>
        <v>leaf01;mgmt,mgmtsw01;07</v>
      </c>
      <c r="J14" s="1" t="str">
        <f ca="1"/>
        <v>leaf01;mgmt</v>
      </c>
      <c r="K14" s="1" t="str">
        <f ca="1"/>
        <v>mgmtsw01;07</v>
      </c>
      <c r="L14" s="1" t="str">
        <f ca="1"/>
        <v/>
      </c>
      <c r="M14" s="1" t="str">
        <f ca="1"/>
        <v/>
      </c>
      <c r="N14" s="1" t="str">
        <f ca="1"/>
        <v/>
      </c>
      <c r="O14" s="1" t="str">
        <f ca="1"/>
        <v/>
      </c>
      <c r="P14" s="1" t="str">
        <f ca="1"/>
        <v/>
      </c>
      <c r="Q14" s="1" t="str">
        <f ca="1"/>
        <v/>
      </c>
      <c r="R14" s="1" t="str">
        <f ca="1"/>
        <v/>
      </c>
      <c r="S14" s="1" t="str">
        <f ca="1"/>
        <v/>
      </c>
    </row>
  </sheetData>
  <dataValidations count="2">
    <dataValidation type="list" allowBlank="1" showInputMessage="1" showErrorMessage="1" sqref="D2" xr:uid="{B9A8236D-8C3F-4F96-A89B-AB2115B67A7E}">
      <formula1>"handle,name,coord_name,alias_01,alias_02"</formula1>
    </dataValidation>
    <dataValidation type="list" allowBlank="1" showInputMessage="1" showErrorMessage="1" sqref="E2" xr:uid="{59981C6C-1142-42F5-8FAD-CBA0A94A573D}">
      <formula1>"if_name,alias_01,alias_02"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47C0-377D-4D1B-A48E-B201BAC2638E}">
  <dimension ref="C3:AF10"/>
  <sheetViews>
    <sheetView workbookViewId="0">
      <selection activeCell="A5" sqref="A5"/>
    </sheetView>
  </sheetViews>
  <sheetFormatPr defaultRowHeight="15" x14ac:dyDescent="0.25"/>
  <cols>
    <col min="1" max="3" width="9.140625" style="1"/>
    <col min="4" max="4" width="14.28515625" style="1" customWidth="1"/>
    <col min="5" max="7" width="9.140625" style="1"/>
    <col min="8" max="8" width="14.5703125" style="1" customWidth="1"/>
    <col min="9" max="9" width="16" style="1" customWidth="1"/>
    <col min="10" max="10" width="14.7109375" style="1" customWidth="1"/>
    <col min="11" max="11" width="18.28515625" style="1" customWidth="1"/>
    <col min="12" max="12" width="15.140625" style="1" customWidth="1"/>
    <col min="13" max="13" width="16.85546875" style="1" customWidth="1"/>
    <col min="14" max="15" width="7.140625" style="1" customWidth="1"/>
    <col min="16" max="16" width="16.140625" style="1" customWidth="1"/>
    <col min="17" max="18" width="23.5703125" style="1" customWidth="1"/>
    <col min="19" max="19" width="21.5703125" style="1" customWidth="1"/>
    <col min="20" max="20" width="26.140625" style="1" customWidth="1"/>
    <col min="21" max="21" width="19.85546875" style="1" customWidth="1"/>
    <col min="22" max="22" width="32.28515625" style="1" customWidth="1"/>
    <col min="23" max="23" width="25" style="1" customWidth="1"/>
    <col min="24" max="24" width="3.85546875" style="23" customWidth="1"/>
    <col min="25" max="25" width="23.42578125" style="1" customWidth="1"/>
    <col min="26" max="28" width="20.28515625" style="1" customWidth="1"/>
    <col min="29" max="29" width="26" style="1" customWidth="1"/>
    <col min="30" max="31" width="27.85546875" style="1" customWidth="1"/>
    <col min="32" max="32" width="30.42578125" style="1" customWidth="1"/>
    <col min="33" max="16384" width="9.140625" style="1"/>
  </cols>
  <sheetData>
    <row r="3" spans="3:32" ht="45" x14ac:dyDescent="0.25">
      <c r="C3" s="1" t="s">
        <v>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P3" s="20" t="s">
        <v>118</v>
      </c>
      <c r="Q3" s="20" t="s">
        <v>108</v>
      </c>
      <c r="R3" s="24" t="s">
        <v>119</v>
      </c>
      <c r="S3" s="24" t="s">
        <v>120</v>
      </c>
      <c r="T3" s="20" t="s">
        <v>110</v>
      </c>
      <c r="U3" s="20" t="s">
        <v>111</v>
      </c>
      <c r="V3" s="20" t="s">
        <v>121</v>
      </c>
      <c r="W3" s="20" t="s">
        <v>122</v>
      </c>
      <c r="X3" s="22"/>
      <c r="Y3" s="20" t="s">
        <v>118</v>
      </c>
      <c r="Z3" s="20" t="s">
        <v>109</v>
      </c>
      <c r="AA3" s="24" t="s">
        <v>123</v>
      </c>
      <c r="AB3" s="24" t="s">
        <v>124</v>
      </c>
      <c r="AC3" s="20" t="s">
        <v>112</v>
      </c>
      <c r="AD3" s="20" t="s">
        <v>113</v>
      </c>
      <c r="AE3" s="20" t="s">
        <v>144</v>
      </c>
      <c r="AF3" s="20" t="s">
        <v>122</v>
      </c>
    </row>
    <row r="4" spans="3:32" x14ac:dyDescent="0.25">
      <c r="C4" s="1">
        <v>1</v>
      </c>
      <c r="D4" s="1" t="s">
        <v>114</v>
      </c>
      <c r="G4" s="1" t="s">
        <v>115</v>
      </c>
      <c r="J4" s="1" t="s">
        <v>96</v>
      </c>
      <c r="L4" s="1" t="s">
        <v>125</v>
      </c>
      <c r="P4" s="1" cm="1">
        <f t="array" ref="P4:P10">_xlfn.SEQUENCE(ROWS(_xlfn.ANCHORARRAY(Q4)), 1, 1, 1)</f>
        <v>1</v>
      </c>
      <c r="Q4" s="1" t="str" cm="1">
        <f t="array" ref="Q4:Q10">_xlfn.LET(_xlpm.all_entries,             _xlfn.TOCOL(tbl_paths_input_tester[[1]:[10]]),
     _xlpm.all_entries_cleaned,     LOWER(SUBSTITUTE(CLEAN(TRIM(_xlpm.all_entries)), " ", "")),
     _xlpm.all_entries_deblanked,   _xlfn._xlws.FILTER(_xlpm.all_entries_cleaned,
                                     LEN(_xlpm.all_entries_cleaned) &gt; 0),
     _xlpm.return,                  _xlfn._xlws.SORT(_xlfn.UNIQUE(_xlpm.all_entries_deblanked)),
     _xlpm.all_entries_deblanked)</f>
        <v>boobs;1</v>
      </c>
      <c r="R4" s="1" t="b" cm="1">
        <f t="array" ref="R4:R10">_xlfn.LET(_xlpm.test_if_ids,_xlfn.ANCHORARRAY(        Q4),
     _xlpm.all_defined_if_ids, tbl_interfaces[if_id],
     _xlpm.map_lambda,         _xlfn.LAMBDA(_xlpm.if_id,
                                _xlfn.XMATCH(_xlpm.if_id, _xlpm.all_defined_if_ids,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S4" s="1" t="b" cm="1">
        <f t="array" ref="S4:S10">_xlfn.LET(_xlpm.test_if_ids,_xlfn.ANCHORARRAY(         Q4),
     _xlpm.all_defined_if_ids,  tbl_interfaces[if_id],
     _xlpm.if_ids_final_states, tbl_interfaces[final_state],
     _xlpm.map_lambda,         _xlfn.LAMBDA(_xlpm.if_id,
                                MATCH(1,
                                      (_xlpm.if_id = _xlpm.all_defined_if_ids) *
                                      ("ok"  = _xlpm.if_ids_final_states),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T4" s="1" t="str" cm="1">
        <f t="array" ref="T4:T6">_xlfn.LET(_xlpm.temp_table,         _xlfn.HSTACK(_xlfn.ANCHORARRAY(Q4),_xlfn.ANCHORARRAY( R4)),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U4" s="1" t="str" cm="1">
        <f t="array" ref="U4:U7">_xlfn.LET(_xlpm.temp_table,         _xlfn.HSTACK(_xlfn.ANCHORARRAY(Q4),_xlfn.ANCHORARRAY( R4)),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V4" s="1" t="str" cm="1">
        <f t="array" ref="V4:V5">_xlfn.LET(_xlpm.temp_table,         _xlfn.HSTACK(_xlfn.ANCHORARRAY(Q4),_xlfn.ANCHORARRAY( S4)),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W4" s="1" t="str" cm="1">
        <f t="array" ref="W4:W8">_xlfn.LET(_xlpm.temp_table,         _xlfn.HSTACK(_xlfn.ANCHORARRAY(Q4),_xlfn.ANCHORARRAY( S4)),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Y4" s="1" cm="1">
        <f t="array" ref="Y4:Y10">_xlfn.SEQUENCE(ROWS(_xlfn.ANCHORARRAY(Z4)), 1, 1, 1)</f>
        <v>1</v>
      </c>
      <c r="Z4" s="1" t="str" cm="1">
        <f t="array" ref="Z4:Z10">_xlfn.LET(_xlpm.delim,       _xlfn.XLOOKUP("delimiter_device_if_name", tbl_variable[name], tbl_variable[value], "FIXME", 0),
     _xlpm.return,      _xlfn._xlws.SORT(_xlfn.UNIQUE(_xlfn.TEXTBEFORE(_xlfn.ANCHORARRAY(paths_input_tester!Q4), _xlpm.delim))),
     _xlpm.return)</f>
        <v>big</v>
      </c>
      <c r="AA4" s="1" t="b" cm="1">
        <f t="array" ref="AA4:AA10">_xlfn.LET(_xlpm.tests,_xlfn.ANCHORARRAY(                Z4),
     _xlpm.all_defined_devices,  tbl_devices[handle_permanent_cleaned],
     _xlpm.map_lambda,           _xlfn.LAMBDA(_xlpm.test,
                                  _xlfn.XMATCH(_xlpm.test, _xlpm.all_defined_devices, 0)),
     _xlpm.mapping,              _xlfn.MAP(_xlpm.tests,
                               _xlpm.map_lambda),
     _xlpm.return,               IF(ISERROR(_xlpm.mapping),
                              FALSE,
                              TRUE),
     _xlpm.return)</f>
        <v>0</v>
      </c>
      <c r="AB4" s="1" t="b" cm="1">
        <f t="array" ref="AB4:AB10">_xlfn.LET(_xlpm.tests,_xlfn.ANCHORARRAY(              Z4),
     _xlpm.all_defined,        tbl_devices[handle_permanent_cleaned],
     _xlpm.final_states,       tbl_devices[final_state],
     _xlpm.map_lambda,         _xlfn.LAMBDA(_xlpm.if_id,
                                MATCH(1,
                                      (_xlpm.if_id = _xlpm.all_defined) *
                                      ("ok"  = _xlpm.final_states), 0)),
     _xlpm.mapping,            _xlfn.MAP(_xlpm.tests,
                             _xlpm.map_lambda),
     _xlpm.return,             IF(ISERROR(_xlpm.mapping),
                            FALSE,
                            TRUE),
     _xlpm.return)</f>
        <v>0</v>
      </c>
      <c r="AC4" s="1" t="str" cm="1">
        <f t="array" ref="AC4:AC6">_xlfn.LET(_xlpm.temp_table,         _xlfn.HSTACK(_xlfn.ANCHORARRAY(Z4),_xlfn.ANCHORARRAY( AA4)),
     _xlpm.return,             _xlfn.CHOOSECOLS(_xlfn._xlws.FILTER(_xlpm.temp_table,
                                           _xlfn.CHOOSECOLS(_xlpm.temp_table, 2)),
                                    1),
     _xlpm.return)</f>
        <v>fw02</v>
      </c>
      <c r="AD4" s="1" t="str" cm="1">
        <f t="array" ref="AD4:AD7">_xlfn.LET(_xlpm.temp_table,         _xlfn.HSTACK(_xlfn.ANCHORARRAY(Z4),_xlfn.ANCHORARRAY( AA4)),
     _xlpm.return,             _xlfn.CHOOSECOLS(_xlfn._xlws.FILTER(_xlpm.temp_table,
                                           NOT(_xlfn.CHOOSECOLS(_xlpm.temp_table, 2))),
                                    1),
     _xlpm.return)</f>
        <v>big</v>
      </c>
      <c r="AE4" s="1" t="str" cm="1">
        <f t="array" ref="AE4:AE5">_xlfn.LET(_xlpm.temp_table,         _xlfn.HSTACK(_xlfn.ANCHORARRAY(Z4),_xlfn.ANCHORARRAY( AB4)),
     _xlpm.return,             _xlfn.CHOOSECOLS(_xlfn._xlws.FILTER(_xlpm.temp_table,
                                           _xlfn.CHOOSECOLS(_xlpm.temp_table, 2)),
                                    1),
     _xlpm.return)</f>
        <v>leaf01</v>
      </c>
      <c r="AF4" s="1" t="str" cm="1">
        <f t="array" ref="AF4:AF8">_xlfn.LET(_xlpm.temp_table,         _xlfn.HSTACK(_xlfn.ANCHORARRAY(Z4),_xlfn.ANCHORARRAY( AB4)),
     _xlpm.return,             _xlfn.CHOOSECOLS(_xlfn._xlws.FILTER(_xlpm.temp_table,
                                           NOT(_xlfn.CHOOSECOLS(_xlpm.temp_table, 2))),
                                    1),
     _xlpm.return)</f>
        <v>big</v>
      </c>
    </row>
    <row r="5" spans="3:32" x14ac:dyDescent="0.25">
      <c r="C5" s="1">
        <v>2</v>
      </c>
      <c r="D5" s="1" t="s">
        <v>116</v>
      </c>
      <c r="H5" s="1" t="s">
        <v>93</v>
      </c>
      <c r="J5" s="1" t="s">
        <v>117</v>
      </c>
      <c r="P5" s="1">
        <v>2</v>
      </c>
      <c r="Q5" s="1" t="str">
        <v>big;2</v>
      </c>
      <c r="R5" s="1" t="b">
        <v>0</v>
      </c>
      <c r="S5" s="1" t="b">
        <v>0</v>
      </c>
      <c r="T5" s="1" t="str">
        <v>fw02;mgmt</v>
      </c>
      <c r="U5" s="1" t="str">
        <v>big;2</v>
      </c>
      <c r="V5" s="1" t="str">
        <v>spine01;01</v>
      </c>
      <c r="W5" s="1" t="str">
        <v>big;2</v>
      </c>
      <c r="Y5" s="1">
        <v>2</v>
      </c>
      <c r="Z5" s="1" t="str">
        <v>boobs</v>
      </c>
      <c r="AA5" s="1" t="b">
        <v>0</v>
      </c>
      <c r="AB5" s="1" t="b">
        <v>0</v>
      </c>
      <c r="AC5" s="1" t="str">
        <v>leaf01</v>
      </c>
      <c r="AD5" s="1" t="str">
        <v>boobs</v>
      </c>
      <c r="AE5" s="1" t="str">
        <v>spine01</v>
      </c>
      <c r="AF5" s="1" t="str">
        <v>boobs</v>
      </c>
    </row>
    <row r="6" spans="3:32" x14ac:dyDescent="0.25">
      <c r="P6" s="1">
        <v>3</v>
      </c>
      <c r="Q6" s="1" t="str">
        <v>leaf01;mgmt</v>
      </c>
      <c r="R6" s="1" t="b">
        <v>1</v>
      </c>
      <c r="S6" s="1" t="b">
        <v>1</v>
      </c>
      <c r="T6" s="1" t="str">
        <v>spine01;01</v>
      </c>
      <c r="U6" s="1" t="str">
        <v>farts;69</v>
      </c>
      <c r="W6" s="1" t="str">
        <v>fw02;mgmt</v>
      </c>
      <c r="Y6" s="1">
        <v>3</v>
      </c>
      <c r="Z6" s="1" t="str">
        <v>farts</v>
      </c>
      <c r="AA6" s="1" t="b">
        <v>0</v>
      </c>
      <c r="AB6" s="1" t="b">
        <v>0</v>
      </c>
      <c r="AC6" s="1" t="str">
        <v>spine01</v>
      </c>
      <c r="AD6" s="1" t="str">
        <v>farts</v>
      </c>
      <c r="AF6" s="1" t="str">
        <v>farts</v>
      </c>
    </row>
    <row r="7" spans="3:32" x14ac:dyDescent="0.25">
      <c r="P7" s="1">
        <v>4</v>
      </c>
      <c r="Q7" s="1" t="str">
        <v>fw02;mgmt</v>
      </c>
      <c r="R7" s="1" t="b">
        <v>1</v>
      </c>
      <c r="S7" s="1" t="b">
        <v>0</v>
      </c>
      <c r="U7" s="1" t="str">
        <v>lazah_beams;420</v>
      </c>
      <c r="W7" s="1" t="str">
        <v>farts;69</v>
      </c>
      <c r="Y7" s="1">
        <v>4</v>
      </c>
      <c r="Z7" s="1" t="str">
        <v>fw02</v>
      </c>
      <c r="AA7" s="1" t="b">
        <v>1</v>
      </c>
      <c r="AB7" s="1" t="b">
        <v>0</v>
      </c>
      <c r="AD7" s="1" t="str">
        <v>lazah_beams</v>
      </c>
      <c r="AF7" s="1" t="str">
        <v>fw02</v>
      </c>
    </row>
    <row r="8" spans="3:32" x14ac:dyDescent="0.25">
      <c r="P8" s="1">
        <v>5</v>
      </c>
      <c r="Q8" s="1" t="str">
        <v>farts;69</v>
      </c>
      <c r="R8" s="1" t="b">
        <v>0</v>
      </c>
      <c r="S8" s="1" t="b">
        <v>0</v>
      </c>
      <c r="W8" s="1" t="str">
        <v>lazah_beams;420</v>
      </c>
      <c r="Y8" s="1">
        <v>5</v>
      </c>
      <c r="Z8" s="1" t="str">
        <v>lazah_beams</v>
      </c>
      <c r="AA8" s="1" t="b">
        <v>0</v>
      </c>
      <c r="AB8" s="1" t="b">
        <v>0</v>
      </c>
      <c r="AF8" s="1" t="str">
        <v>lazah_beams</v>
      </c>
    </row>
    <row r="9" spans="3:32" x14ac:dyDescent="0.25">
      <c r="P9" s="1">
        <v>6</v>
      </c>
      <c r="Q9" s="1" t="str">
        <v>spine01;01</v>
      </c>
      <c r="R9" s="1" t="b">
        <v>1</v>
      </c>
      <c r="S9" s="1" t="b">
        <v>1</v>
      </c>
      <c r="Y9" s="1">
        <v>6</v>
      </c>
      <c r="Z9" s="1" t="str">
        <v>leaf01</v>
      </c>
      <c r="AA9" s="1" t="b">
        <v>1</v>
      </c>
      <c r="AB9" s="1" t="b">
        <v>1</v>
      </c>
    </row>
    <row r="10" spans="3:32" x14ac:dyDescent="0.25">
      <c r="P10" s="1">
        <v>7</v>
      </c>
      <c r="Q10" s="1" t="str">
        <v>lazah_beams;420</v>
      </c>
      <c r="R10" s="1" t="b">
        <v>0</v>
      </c>
      <c r="S10" s="1" t="b">
        <v>0</v>
      </c>
      <c r="Y10" s="1">
        <v>7</v>
      </c>
      <c r="Z10" s="1" t="str">
        <v>spine01</v>
      </c>
      <c r="AA10" s="1" t="b">
        <v>1</v>
      </c>
      <c r="AB10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devices</vt:lpstr>
      <vt:lpstr>interfaces</vt:lpstr>
      <vt:lpstr>paths</vt:lpstr>
      <vt:lpstr>port_templates</vt:lpstr>
      <vt:lpstr>ifs_from_templates</vt:lpstr>
      <vt:lpstr>material</vt:lpstr>
      <vt:lpstr>path_decomposed</vt:lpstr>
      <vt:lpstr>report_cnx_per_device</vt:lpstr>
      <vt:lpstr>report_cnx_with_names_change</vt:lpstr>
      <vt:lpstr>paths_input_tester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2025-06-10T23:46:01Z</dcterms:modified>
</cp:coreProperties>
</file>