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S" sheetId="1" r:id="rId4"/>
    <sheet state="visible" name="RESULTADOS ZONA" sheetId="2" r:id="rId5"/>
    <sheet state="visible" name="CRUCES" sheetId="3" r:id="rId6"/>
  </sheets>
  <definedNames/>
  <calcPr/>
</workbook>
</file>

<file path=xl/sharedStrings.xml><?xml version="1.0" encoding="utf-8"?>
<sst xmlns="http://schemas.openxmlformats.org/spreadsheetml/2006/main" count="64" uniqueCount="25">
  <si>
    <t>ZONA 1</t>
  </si>
  <si>
    <t>Pos.</t>
  </si>
  <si>
    <t>EQUIPOS</t>
  </si>
  <si>
    <t>PUNTOS</t>
  </si>
  <si>
    <t>PJ</t>
  </si>
  <si>
    <t>GANADOS</t>
  </si>
  <si>
    <t>PERDIDOS</t>
  </si>
  <si>
    <t>SET +</t>
  </si>
  <si>
    <t>SET -</t>
  </si>
  <si>
    <t>COEF. SET</t>
  </si>
  <si>
    <t>PUNTOS +</t>
  </si>
  <si>
    <t>PUNTOS -</t>
  </si>
  <si>
    <t>COEF. PUNTOS</t>
  </si>
  <si>
    <t>Ausente</t>
  </si>
  <si>
    <t>ZONA 2</t>
  </si>
  <si>
    <t>ZONA 3</t>
  </si>
  <si>
    <t>ZONA 4</t>
  </si>
  <si>
    <t>10.00
CAA 3</t>
  </si>
  <si>
    <t>10.00
CAA 4</t>
  </si>
  <si>
    <t>11.00
CAA 3</t>
  </si>
  <si>
    <t>11.00
CAA 4</t>
  </si>
  <si>
    <t>12.00
CAA 3</t>
  </si>
  <si>
    <t>13.00
CAA 3</t>
  </si>
  <si>
    <t>16.00
CAA 4</t>
  </si>
  <si>
    <t>18.00
CAA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</si>
</sst>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0">
    <font>
      <sz val="10.0"/>
      <color rgb="FF000000"/>
      <name val="Arial"/>
      <scheme val="minor"/>
    </font>
    <font>
      <b/>
      <i/>
      <sz val="20.0"/>
      <color theme="1"/>
      <name val="Arial"/>
      <scheme val="minor"/>
    </font>
    <font/>
    <font>
      <b/>
      <i/>
      <sz val="12.0"/>
      <color theme="1"/>
      <name val="Arial"/>
    </font>
    <font>
      <b/>
      <sz val="12.0"/>
      <color theme="1"/>
      <name val="Arial"/>
    </font>
    <font>
      <color theme="1"/>
      <name val="Arial"/>
    </font>
    <font>
      <color theme="1"/>
      <name val="Arial"/>
      <scheme val="minor"/>
    </font>
    <font>
      <b/>
      <i/>
      <sz val="15.0"/>
      <color theme="1"/>
      <name val="Arial"/>
      <scheme val="minor"/>
    </font>
    <font>
      <b/>
      <sz val="11.0"/>
      <color theme="1"/>
      <name val="Arial"/>
    </font>
    <font>
      <b/>
      <sz val="13.0"/>
      <color theme="1"/>
      <name val="&quot;Comic Sans MS&quot;"/>
    </font>
  </fonts>
  <fills count="10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3C78D8"/>
        <bgColor rgb="FF3C78D8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6B26B"/>
        <bgColor rgb="FFF6B26B"/>
      </patternFill>
    </fill>
  </fills>
  <borders count="13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readingOrder="0" vertical="bottom"/>
    </xf>
    <xf borderId="6" fillId="0" fontId="3" numFmtId="0" xfId="0" applyAlignment="1" applyBorder="1" applyFont="1">
      <alignment horizontal="center" readingOrder="0" vertical="bottom"/>
    </xf>
    <xf borderId="7" fillId="0" fontId="4" numFmtId="0" xfId="0" applyAlignment="1" applyBorder="1" applyFont="1">
      <alignment horizontal="center" readingOrder="0" vertical="bottom"/>
    </xf>
    <xf borderId="8" fillId="0" fontId="4" numFmtId="0" xfId="0" applyAlignment="1" applyBorder="1" applyFont="1">
      <alignment horizontal="center" readingOrder="0" vertical="bottom"/>
    </xf>
    <xf borderId="9" fillId="0" fontId="5" numFmtId="0" xfId="0" applyAlignment="1" applyBorder="1" applyFont="1">
      <alignment horizontal="center" readingOrder="0" vertical="bottom"/>
    </xf>
    <xf borderId="8" fillId="0" fontId="5" numFmtId="0" xfId="0" applyAlignment="1" applyBorder="1" applyFont="1">
      <alignment horizontal="center" readingOrder="0" vertical="bottom"/>
    </xf>
    <xf borderId="8" fillId="0" fontId="5" numFmtId="164" xfId="0" applyAlignment="1" applyBorder="1" applyFont="1" applyNumberFormat="1">
      <alignment horizontal="center" readingOrder="0" vertical="bottom"/>
    </xf>
    <xf borderId="4" fillId="0" fontId="4" numFmtId="0" xfId="0" applyAlignment="1" applyBorder="1" applyFont="1">
      <alignment horizontal="center" readingOrder="0" vertical="bottom"/>
    </xf>
    <xf borderId="5" fillId="0" fontId="4" numFmtId="0" xfId="0" applyAlignment="1" applyBorder="1" applyFont="1">
      <alignment horizontal="center" readingOrder="0" vertical="bottom"/>
    </xf>
    <xf borderId="6" fillId="0" fontId="5" numFmtId="0" xfId="0" applyAlignment="1" applyBorder="1" applyFont="1">
      <alignment horizontal="center" readingOrder="0" vertical="bottom"/>
    </xf>
    <xf borderId="5" fillId="0" fontId="5" numFmtId="0" xfId="0" applyAlignment="1" applyBorder="1" applyFont="1">
      <alignment horizontal="center" readingOrder="0" vertical="bottom"/>
    </xf>
    <xf borderId="5" fillId="0" fontId="5" numFmtId="164" xfId="0" applyAlignment="1" applyBorder="1" applyFont="1" applyNumberFormat="1">
      <alignment horizontal="center" readingOrder="0" vertical="bottom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0" fillId="0" fontId="6" numFmtId="0" xfId="0" applyFont="1"/>
    <xf borderId="10" fillId="0" fontId="5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6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7" fillId="0" fontId="3" numFmtId="0" xfId="0" applyAlignment="1" applyBorder="1" applyFont="1">
      <alignment horizontal="center" vertical="bottom"/>
    </xf>
    <xf borderId="9" fillId="6" fontId="5" numFmtId="0" xfId="0" applyAlignment="1" applyBorder="1" applyFill="1" applyFont="1">
      <alignment vertical="bottom"/>
    </xf>
    <xf borderId="9" fillId="0" fontId="5" numFmtId="0" xfId="0" applyAlignment="1" applyBorder="1" applyFont="1">
      <alignment horizontal="center" vertical="bottom"/>
    </xf>
    <xf borderId="8" fillId="0" fontId="5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6" fillId="0" fontId="5" numFmtId="0" xfId="0" applyAlignment="1" applyBorder="1" applyFont="1">
      <alignment horizontal="center" vertical="bottom"/>
    </xf>
    <xf borderId="5" fillId="6" fontId="5" numFmtId="0" xfId="0" applyAlignment="1" applyBorder="1" applyFont="1">
      <alignment vertical="bottom"/>
    </xf>
    <xf borderId="1" fillId="0" fontId="7" numFmtId="0" xfId="0" applyAlignment="1" applyBorder="1" applyFont="1">
      <alignment horizontal="center"/>
    </xf>
    <xf borderId="11" fillId="7" fontId="8" numFmtId="0" xfId="0" applyAlignment="1" applyBorder="1" applyFill="1" applyFont="1">
      <alignment horizontal="center" readingOrder="0" vertical="center"/>
    </xf>
    <xf borderId="9" fillId="7" fontId="9" numFmtId="0" xfId="0" applyAlignment="1" applyBorder="1" applyFont="1">
      <alignment horizontal="center" vertical="bottom"/>
    </xf>
    <xf borderId="9" fillId="7" fontId="5" numFmtId="0" xfId="0" applyAlignment="1" applyBorder="1" applyFont="1">
      <alignment horizontal="center" vertical="bottom"/>
    </xf>
    <xf borderId="8" fillId="7" fontId="5" numFmtId="0" xfId="0" applyAlignment="1" applyBorder="1" applyFont="1">
      <alignment vertical="bottom"/>
    </xf>
    <xf borderId="4" fillId="0" fontId="2" numFmtId="0" xfId="0" applyBorder="1" applyFont="1"/>
    <xf borderId="6" fillId="7" fontId="9" numFmtId="0" xfId="0" applyAlignment="1" applyBorder="1" applyFont="1">
      <alignment horizontal="center" vertical="bottom"/>
    </xf>
    <xf borderId="6" fillId="7" fontId="5" numFmtId="0" xfId="0" applyAlignment="1" applyBorder="1" applyFont="1">
      <alignment horizontal="center" vertical="bottom"/>
    </xf>
    <xf borderId="5" fillId="7" fontId="5" numFmtId="0" xfId="0" applyAlignment="1" applyBorder="1" applyFont="1">
      <alignment vertical="bottom"/>
    </xf>
    <xf borderId="5" fillId="0" fontId="5" numFmtId="0" xfId="0" applyAlignment="1" applyBorder="1" applyFont="1">
      <alignment vertical="center"/>
    </xf>
    <xf borderId="12" fillId="0" fontId="5" numFmtId="0" xfId="0" applyAlignment="1" applyBorder="1" applyFont="1">
      <alignment vertical="bottom"/>
    </xf>
    <xf borderId="11" fillId="8" fontId="8" numFmtId="0" xfId="0" applyAlignment="1" applyBorder="1" applyFill="1" applyFont="1">
      <alignment horizontal="center" readingOrder="0" vertical="center"/>
    </xf>
    <xf borderId="9" fillId="8" fontId="9" numFmtId="0" xfId="0" applyAlignment="1" applyBorder="1" applyFont="1">
      <alignment horizontal="center" vertical="bottom"/>
    </xf>
    <xf borderId="9" fillId="8" fontId="5" numFmtId="0" xfId="0" applyAlignment="1" applyBorder="1" applyFont="1">
      <alignment horizontal="center" vertical="bottom"/>
    </xf>
    <xf borderId="8" fillId="8" fontId="5" numFmtId="0" xfId="0" applyAlignment="1" applyBorder="1" applyFont="1">
      <alignment vertical="bottom"/>
    </xf>
    <xf borderId="6" fillId="8" fontId="9" numFmtId="0" xfId="0" applyAlignment="1" applyBorder="1" applyFont="1">
      <alignment horizontal="center" vertical="bottom"/>
    </xf>
    <xf borderId="6" fillId="8" fontId="5" numFmtId="0" xfId="0" applyAlignment="1" applyBorder="1" applyFont="1">
      <alignment horizontal="center" vertical="bottom"/>
    </xf>
    <xf borderId="5" fillId="8" fontId="5" numFmtId="0" xfId="0" applyAlignment="1" applyBorder="1" applyFont="1">
      <alignment vertical="bottom"/>
    </xf>
    <xf borderId="11" fillId="9" fontId="8" numFmtId="0" xfId="0" applyAlignment="1" applyBorder="1" applyFill="1" applyFont="1">
      <alignment horizontal="center" readingOrder="0" vertical="center"/>
    </xf>
    <xf borderId="9" fillId="9" fontId="9" numFmtId="0" xfId="0" applyAlignment="1" applyBorder="1" applyFont="1">
      <alignment horizontal="center" vertical="bottom"/>
    </xf>
    <xf borderId="9" fillId="9" fontId="5" numFmtId="0" xfId="0" applyAlignment="1" applyBorder="1" applyFont="1">
      <alignment horizontal="center" vertical="bottom"/>
    </xf>
    <xf borderId="8" fillId="9" fontId="5" numFmtId="0" xfId="0" applyAlignment="1" applyBorder="1" applyFont="1">
      <alignment vertical="bottom"/>
    </xf>
    <xf borderId="6" fillId="9" fontId="9" numFmtId="0" xfId="0" applyAlignment="1" applyBorder="1" applyFont="1">
      <alignment horizontal="center" vertical="bottom"/>
    </xf>
    <xf borderId="6" fillId="9" fontId="5" numFmtId="0" xfId="0" applyAlignment="1" applyBorder="1" applyFont="1">
      <alignment horizontal="center" vertical="bottom"/>
    </xf>
    <xf borderId="5" fillId="9" fontId="5" numFmtId="0" xfId="0" applyAlignment="1" applyBorder="1" applyFont="1">
      <alignment vertical="bottom"/>
    </xf>
    <xf borderId="11" fillId="3" fontId="8" numFmtId="0" xfId="0" applyAlignment="1" applyBorder="1" applyFont="1">
      <alignment horizontal="center" readingOrder="0" vertical="center"/>
    </xf>
    <xf borderId="9" fillId="3" fontId="9" numFmtId="0" xfId="0" applyAlignment="1" applyBorder="1" applyFont="1">
      <alignment horizontal="center" vertical="bottom"/>
    </xf>
    <xf borderId="9" fillId="3" fontId="5" numFmtId="0" xfId="0" applyAlignment="1" applyBorder="1" applyFont="1">
      <alignment horizontal="center" vertical="bottom"/>
    </xf>
    <xf borderId="8" fillId="3" fontId="5" numFmtId="0" xfId="0" applyAlignment="1" applyBorder="1" applyFont="1">
      <alignment vertical="bottom"/>
    </xf>
    <xf borderId="6" fillId="3" fontId="9" numFmtId="0" xfId="0" applyAlignment="1" applyBorder="1" applyFont="1">
      <alignment horizontal="center" vertical="bottom"/>
    </xf>
    <xf borderId="6" fillId="3" fontId="5" numFmtId="0" xfId="0" applyAlignment="1" applyBorder="1" applyFont="1">
      <alignment horizontal="center" vertical="bottom"/>
    </xf>
    <xf borderId="5" fillId="3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5.75"/>
    <col customWidth="1" min="3" max="3" width="9.38"/>
    <col customWidth="1" min="4" max="4" width="3.5"/>
    <col customWidth="1" min="5" max="5" width="11.25"/>
    <col customWidth="1" min="6" max="6" width="11.63"/>
    <col customWidth="1" min="7" max="7" width="6.63"/>
    <col customWidth="1" min="8" max="8" width="6.13"/>
    <col customWidth="1" min="9" max="9" width="11.5"/>
    <col customWidth="1" min="10" max="10" width="11.0"/>
    <col customWidth="1" min="11" max="11" width="10.5"/>
    <col customWidth="1" min="12" max="12" width="15.88"/>
    <col customWidth="1" min="13" max="13" width="9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5" t="s">
        <v>3</v>
      </c>
      <c r="D2" s="6" t="s">
        <v>4</v>
      </c>
      <c r="E2" s="6" t="s">
        <v>5</v>
      </c>
      <c r="F2" s="5" t="s">
        <v>6</v>
      </c>
      <c r="G2" s="6" t="s">
        <v>7</v>
      </c>
      <c r="H2" s="6" t="s">
        <v>8</v>
      </c>
      <c r="I2" s="5" t="s">
        <v>9</v>
      </c>
      <c r="J2" s="6" t="s">
        <v>10</v>
      </c>
      <c r="K2" s="6" t="s">
        <v>11</v>
      </c>
      <c r="L2" s="5" t="s">
        <v>12</v>
      </c>
      <c r="M2" s="5" t="s">
        <v>13</v>
      </c>
    </row>
    <row r="3">
      <c r="A3" s="7">
        <f>IFERROR(__xludf.DUMMYFUNCTION("IMPORTRANGE(""https://docs.google.com/spreadsheets/d/1rGqDBT0LB4FMee2YBr8Tyd77ICWULnu_xNghg0iadLs/edit#gid=1381430768"",
""TABLA MASCULINO DEF!b2:N5"")"),1.0)</f>
        <v>1</v>
      </c>
      <c r="B3" s="8" t="str">
        <f>IFERROR(__xludf.DUMMYFUNCTION("""COMPUTED_VALUE"""),"Argentino SC")</f>
        <v>Argentino SC</v>
      </c>
      <c r="C3" s="8">
        <f>IFERROR(__xludf.DUMMYFUNCTION("""COMPUTED_VALUE"""),6.0)</f>
        <v>6</v>
      </c>
      <c r="D3" s="9">
        <f>IFERROR(__xludf.DUMMYFUNCTION("""COMPUTED_VALUE"""),3.0)</f>
        <v>3</v>
      </c>
      <c r="E3" s="9">
        <f>IFERROR(__xludf.DUMMYFUNCTION("""COMPUTED_VALUE"""),3.0)</f>
        <v>3</v>
      </c>
      <c r="F3" s="10">
        <f>IFERROR(__xludf.DUMMYFUNCTION("""COMPUTED_VALUE"""),0.0)</f>
        <v>0</v>
      </c>
      <c r="G3" s="9">
        <f>IFERROR(__xludf.DUMMYFUNCTION("""COMPUTED_VALUE"""),6.0)</f>
        <v>6</v>
      </c>
      <c r="H3" s="9">
        <f>IFERROR(__xludf.DUMMYFUNCTION("""COMPUTED_VALUE"""),1.0)</f>
        <v>1</v>
      </c>
      <c r="I3" s="11">
        <f>IFERROR(__xludf.DUMMYFUNCTION("""COMPUTED_VALUE"""),6.0)</f>
        <v>6</v>
      </c>
      <c r="J3" s="9">
        <f>IFERROR(__xludf.DUMMYFUNCTION("""COMPUTED_VALUE"""),158.0)</f>
        <v>158</v>
      </c>
      <c r="K3" s="9">
        <f>IFERROR(__xludf.DUMMYFUNCTION("""COMPUTED_VALUE"""),125.0)</f>
        <v>125</v>
      </c>
      <c r="L3" s="11">
        <f>IFERROR(__xludf.DUMMYFUNCTION("""COMPUTED_VALUE"""),1.264)</f>
        <v>1.264</v>
      </c>
      <c r="M3" s="10">
        <f>IFERROR(__xludf.DUMMYFUNCTION("""COMPUTED_VALUE"""),0.0)</f>
        <v>0</v>
      </c>
    </row>
    <row r="4">
      <c r="A4" s="7">
        <f>IFERROR(__xludf.DUMMYFUNCTION("""COMPUTED_VALUE"""),2.0)</f>
        <v>2</v>
      </c>
      <c r="B4" s="8" t="str">
        <f>IFERROR(__xludf.DUMMYFUNCTION("""COMPUTED_VALUE"""),"La Emilia")</f>
        <v>La Emilia</v>
      </c>
      <c r="C4" s="8">
        <f>IFERROR(__xludf.DUMMYFUNCTION("""COMPUTED_VALUE"""),5.0)</f>
        <v>5</v>
      </c>
      <c r="D4" s="9">
        <f>IFERROR(__xludf.DUMMYFUNCTION("""COMPUTED_VALUE"""),3.0)</f>
        <v>3</v>
      </c>
      <c r="E4" s="9">
        <f>IFERROR(__xludf.DUMMYFUNCTION("""COMPUTED_VALUE"""),2.0)</f>
        <v>2</v>
      </c>
      <c r="F4" s="10">
        <f>IFERROR(__xludf.DUMMYFUNCTION("""COMPUTED_VALUE"""),1.0)</f>
        <v>1</v>
      </c>
      <c r="G4" s="9">
        <f>IFERROR(__xludf.DUMMYFUNCTION("""COMPUTED_VALUE"""),5.0)</f>
        <v>5</v>
      </c>
      <c r="H4" s="9">
        <f>IFERROR(__xludf.DUMMYFUNCTION("""COMPUTED_VALUE"""),3.0)</f>
        <v>3</v>
      </c>
      <c r="I4" s="11">
        <f>IFERROR(__xludf.DUMMYFUNCTION("""COMPUTED_VALUE"""),1.6666666666666667)</f>
        <v>1.666666667</v>
      </c>
      <c r="J4" s="9">
        <f>IFERROR(__xludf.DUMMYFUNCTION("""COMPUTED_VALUE"""),168.0)</f>
        <v>168</v>
      </c>
      <c r="K4" s="9">
        <f>IFERROR(__xludf.DUMMYFUNCTION("""COMPUTED_VALUE"""),151.0)</f>
        <v>151</v>
      </c>
      <c r="L4" s="11">
        <f>IFERROR(__xludf.DUMMYFUNCTION("""COMPUTED_VALUE"""),1.1125827814569536)</f>
        <v>1.112582781</v>
      </c>
      <c r="M4" s="10">
        <f>IFERROR(__xludf.DUMMYFUNCTION("""COMPUTED_VALUE"""),0.0)</f>
        <v>0</v>
      </c>
    </row>
    <row r="5">
      <c r="A5" s="7">
        <f>IFERROR(__xludf.DUMMYFUNCTION("""COMPUTED_VALUE"""),3.0)</f>
        <v>3</v>
      </c>
      <c r="B5" s="8" t="str">
        <f>IFERROR(__xludf.DUMMYFUNCTION("""COMPUTED_VALUE"""),"Club Ferrocarril")</f>
        <v>Club Ferrocarril</v>
      </c>
      <c r="C5" s="8">
        <f>IFERROR(__xludf.DUMMYFUNCTION("""COMPUTED_VALUE"""),4.0)</f>
        <v>4</v>
      </c>
      <c r="D5" s="9">
        <f>IFERROR(__xludf.DUMMYFUNCTION("""COMPUTED_VALUE"""),3.0)</f>
        <v>3</v>
      </c>
      <c r="E5" s="9">
        <f>IFERROR(__xludf.DUMMYFUNCTION("""COMPUTED_VALUE"""),1.0)</f>
        <v>1</v>
      </c>
      <c r="F5" s="10">
        <f>IFERROR(__xludf.DUMMYFUNCTION("""COMPUTED_VALUE"""),2.0)</f>
        <v>2</v>
      </c>
      <c r="G5" s="9">
        <f>IFERROR(__xludf.DUMMYFUNCTION("""COMPUTED_VALUE"""),3.0)</f>
        <v>3</v>
      </c>
      <c r="H5" s="9">
        <f>IFERROR(__xludf.DUMMYFUNCTION("""COMPUTED_VALUE"""),5.0)</f>
        <v>5</v>
      </c>
      <c r="I5" s="11">
        <f>IFERROR(__xludf.DUMMYFUNCTION("""COMPUTED_VALUE"""),0.6)</f>
        <v>0.6</v>
      </c>
      <c r="J5" s="9">
        <f>IFERROR(__xludf.DUMMYFUNCTION("""COMPUTED_VALUE"""),145.0)</f>
        <v>145</v>
      </c>
      <c r="K5" s="9">
        <f>IFERROR(__xludf.DUMMYFUNCTION("""COMPUTED_VALUE"""),167.0)</f>
        <v>167</v>
      </c>
      <c r="L5" s="11">
        <f>IFERROR(__xludf.DUMMYFUNCTION("""COMPUTED_VALUE"""),0.8682634730538922)</f>
        <v>0.8682634731</v>
      </c>
      <c r="M5" s="10">
        <f>IFERROR(__xludf.DUMMYFUNCTION("""COMPUTED_VALUE"""),0.0)</f>
        <v>0</v>
      </c>
    </row>
    <row r="6">
      <c r="A6" s="12">
        <f>IFERROR(__xludf.DUMMYFUNCTION("""COMPUTED_VALUE"""),4.0)</f>
        <v>4</v>
      </c>
      <c r="B6" s="13" t="str">
        <f>IFERROR(__xludf.DUMMYFUNCTION("""COMPUTED_VALUE"""),"Sal Marina")</f>
        <v>Sal Marina</v>
      </c>
      <c r="C6" s="13">
        <f>IFERROR(__xludf.DUMMYFUNCTION("""COMPUTED_VALUE"""),3.0)</f>
        <v>3</v>
      </c>
      <c r="D6" s="14">
        <f>IFERROR(__xludf.DUMMYFUNCTION("""COMPUTED_VALUE"""),3.0)</f>
        <v>3</v>
      </c>
      <c r="E6" s="14">
        <f>IFERROR(__xludf.DUMMYFUNCTION("""COMPUTED_VALUE"""),0.0)</f>
        <v>0</v>
      </c>
      <c r="F6" s="15">
        <f>IFERROR(__xludf.DUMMYFUNCTION("""COMPUTED_VALUE"""),3.0)</f>
        <v>3</v>
      </c>
      <c r="G6" s="14">
        <f>IFERROR(__xludf.DUMMYFUNCTION("""COMPUTED_VALUE"""),1.0)</f>
        <v>1</v>
      </c>
      <c r="H6" s="14">
        <f>IFERROR(__xludf.DUMMYFUNCTION("""COMPUTED_VALUE"""),6.0)</f>
        <v>6</v>
      </c>
      <c r="I6" s="16">
        <f>IFERROR(__xludf.DUMMYFUNCTION("""COMPUTED_VALUE"""),0.16666666666666666)</f>
        <v>0.1666666667</v>
      </c>
      <c r="J6" s="14">
        <f>IFERROR(__xludf.DUMMYFUNCTION("""COMPUTED_VALUE"""),132.0)</f>
        <v>132</v>
      </c>
      <c r="K6" s="14">
        <f>IFERROR(__xludf.DUMMYFUNCTION("""COMPUTED_VALUE"""),160.0)</f>
        <v>160</v>
      </c>
      <c r="L6" s="16">
        <f>IFERROR(__xludf.DUMMYFUNCTION("""COMPUTED_VALUE"""),0.825)</f>
        <v>0.825</v>
      </c>
      <c r="M6" s="15">
        <f>IFERROR(__xludf.DUMMYFUNCTION("""COMPUTED_VALUE"""),0.0)</f>
        <v>0</v>
      </c>
    </row>
    <row r="7">
      <c r="A7" s="17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4" t="s">
        <v>1</v>
      </c>
      <c r="B8" s="5" t="s">
        <v>2</v>
      </c>
      <c r="C8" s="5" t="s">
        <v>3</v>
      </c>
      <c r="D8" s="6" t="s">
        <v>4</v>
      </c>
      <c r="E8" s="6" t="s">
        <v>5</v>
      </c>
      <c r="F8" s="5" t="s">
        <v>6</v>
      </c>
      <c r="G8" s="6" t="s">
        <v>7</v>
      </c>
      <c r="H8" s="6" t="s">
        <v>8</v>
      </c>
      <c r="I8" s="5" t="s">
        <v>9</v>
      </c>
      <c r="J8" s="6" t="s">
        <v>10</v>
      </c>
      <c r="K8" s="6" t="s">
        <v>11</v>
      </c>
      <c r="L8" s="5" t="s">
        <v>12</v>
      </c>
      <c r="M8" s="5" t="s">
        <v>13</v>
      </c>
    </row>
    <row r="9">
      <c r="A9" s="7">
        <f>IFERROR(__xludf.DUMMYFUNCTION("IMPORTRANGE(""https://docs.google.com/spreadsheets/d/1rGqDBT0LB4FMee2YBr8Tyd77ICWULnu_xNghg0iadLs/edit#gid=1381430768"",
""TABLA MASCULINO DEF!B6:N9"")"),1.0)</f>
        <v>1</v>
      </c>
      <c r="B9" s="8" t="str">
        <f>IFERROR(__xludf.DUMMYFUNCTION("""COMPUTED_VALUE"""),"C.A. Sastre")</f>
        <v>C.A. Sastre</v>
      </c>
      <c r="C9" s="8">
        <f>IFERROR(__xludf.DUMMYFUNCTION("""COMPUTED_VALUE"""),6.0)</f>
        <v>6</v>
      </c>
      <c r="D9" s="9">
        <f>IFERROR(__xludf.DUMMYFUNCTION("""COMPUTED_VALUE"""),3.0)</f>
        <v>3</v>
      </c>
      <c r="E9" s="9">
        <f>IFERROR(__xludf.DUMMYFUNCTION("""COMPUTED_VALUE"""),3.0)</f>
        <v>3</v>
      </c>
      <c r="F9" s="10">
        <f>IFERROR(__xludf.DUMMYFUNCTION("""COMPUTED_VALUE"""),0.0)</f>
        <v>0</v>
      </c>
      <c r="G9" s="9">
        <f>IFERROR(__xludf.DUMMYFUNCTION("""COMPUTED_VALUE"""),6.0)</f>
        <v>6</v>
      </c>
      <c r="H9" s="9">
        <f>IFERROR(__xludf.DUMMYFUNCTION("""COMPUTED_VALUE"""),1.0)</f>
        <v>1</v>
      </c>
      <c r="I9" s="11">
        <f>IFERROR(__xludf.DUMMYFUNCTION("""COMPUTED_VALUE"""),6.0)</f>
        <v>6</v>
      </c>
      <c r="J9" s="9">
        <f>IFERROR(__xludf.DUMMYFUNCTION("""COMPUTED_VALUE"""),163.0)</f>
        <v>163</v>
      </c>
      <c r="K9" s="9">
        <f>IFERROR(__xludf.DUMMYFUNCTION("""COMPUTED_VALUE"""),102.0)</f>
        <v>102</v>
      </c>
      <c r="L9" s="11">
        <f>IFERROR(__xludf.DUMMYFUNCTION("""COMPUTED_VALUE"""),1.5980392156862746)</f>
        <v>1.598039216</v>
      </c>
      <c r="M9" s="10">
        <f>IFERROR(__xludf.DUMMYFUNCTION("""COMPUTED_VALUE"""),0.0)</f>
        <v>0</v>
      </c>
    </row>
    <row r="10">
      <c r="A10" s="7">
        <f>IFERROR(__xludf.DUMMYFUNCTION("""COMPUTED_VALUE"""),2.0)</f>
        <v>2</v>
      </c>
      <c r="B10" s="8" t="str">
        <f>IFERROR(__xludf.DUMMYFUNCTION("""COMPUTED_VALUE"""),"Ciclón Norte Cayasta")</f>
        <v>Ciclón Norte Cayasta</v>
      </c>
      <c r="C10" s="8">
        <f>IFERROR(__xludf.DUMMYFUNCTION("""COMPUTED_VALUE"""),5.0)</f>
        <v>5</v>
      </c>
      <c r="D10" s="9">
        <f>IFERROR(__xludf.DUMMYFUNCTION("""COMPUTED_VALUE"""),3.0)</f>
        <v>3</v>
      </c>
      <c r="E10" s="9">
        <f>IFERROR(__xludf.DUMMYFUNCTION("""COMPUTED_VALUE"""),2.0)</f>
        <v>2</v>
      </c>
      <c r="F10" s="10">
        <f>IFERROR(__xludf.DUMMYFUNCTION("""COMPUTED_VALUE"""),1.0)</f>
        <v>1</v>
      </c>
      <c r="G10" s="9">
        <f>IFERROR(__xludf.DUMMYFUNCTION("""COMPUTED_VALUE"""),5.0)</f>
        <v>5</v>
      </c>
      <c r="H10" s="9">
        <f>IFERROR(__xludf.DUMMYFUNCTION("""COMPUTED_VALUE"""),2.0)</f>
        <v>2</v>
      </c>
      <c r="I10" s="11">
        <f>IFERROR(__xludf.DUMMYFUNCTION("""COMPUTED_VALUE"""),2.5)</f>
        <v>2.5</v>
      </c>
      <c r="J10" s="9">
        <f>IFERROR(__xludf.DUMMYFUNCTION("""COMPUTED_VALUE"""),142.0)</f>
        <v>142</v>
      </c>
      <c r="K10" s="9">
        <f>IFERROR(__xludf.DUMMYFUNCTION("""COMPUTED_VALUE"""),115.0)</f>
        <v>115</v>
      </c>
      <c r="L10" s="11">
        <f>IFERROR(__xludf.DUMMYFUNCTION("""COMPUTED_VALUE"""),1.2347826086956522)</f>
        <v>1.234782609</v>
      </c>
      <c r="M10" s="10">
        <f>IFERROR(__xludf.DUMMYFUNCTION("""COMPUTED_VALUE"""),0.0)</f>
        <v>0</v>
      </c>
    </row>
    <row r="11">
      <c r="A11" s="7">
        <f>IFERROR(__xludf.DUMMYFUNCTION("""COMPUTED_VALUE"""),3.0)</f>
        <v>3</v>
      </c>
      <c r="B11" s="8" t="str">
        <f>IFERROR(__xludf.DUMMYFUNCTION("""COMPUTED_VALUE"""),"Humboldt Voley")</f>
        <v>Humboldt Voley</v>
      </c>
      <c r="C11" s="8">
        <f>IFERROR(__xludf.DUMMYFUNCTION("""COMPUTED_VALUE"""),4.0)</f>
        <v>4</v>
      </c>
      <c r="D11" s="9">
        <f>IFERROR(__xludf.DUMMYFUNCTION("""COMPUTED_VALUE"""),3.0)</f>
        <v>3</v>
      </c>
      <c r="E11" s="9">
        <f>IFERROR(__xludf.DUMMYFUNCTION("""COMPUTED_VALUE"""),1.0)</f>
        <v>1</v>
      </c>
      <c r="F11" s="10">
        <f>IFERROR(__xludf.DUMMYFUNCTION("""COMPUTED_VALUE"""),2.0)</f>
        <v>2</v>
      </c>
      <c r="G11" s="9">
        <f>IFERROR(__xludf.DUMMYFUNCTION("""COMPUTED_VALUE"""),2.0)</f>
        <v>2</v>
      </c>
      <c r="H11" s="9">
        <f>IFERROR(__xludf.DUMMYFUNCTION("""COMPUTED_VALUE"""),4.0)</f>
        <v>4</v>
      </c>
      <c r="I11" s="11">
        <f>IFERROR(__xludf.DUMMYFUNCTION("""COMPUTED_VALUE"""),0.5)</f>
        <v>0.5</v>
      </c>
      <c r="J11" s="9">
        <f>IFERROR(__xludf.DUMMYFUNCTION("""COMPUTED_VALUE"""),107.0)</f>
        <v>107</v>
      </c>
      <c r="K11" s="9">
        <f>IFERROR(__xludf.DUMMYFUNCTION("""COMPUTED_VALUE"""),138.0)</f>
        <v>138</v>
      </c>
      <c r="L11" s="11">
        <f>IFERROR(__xludf.DUMMYFUNCTION("""COMPUTED_VALUE"""),0.7753623188405797)</f>
        <v>0.7753623188</v>
      </c>
      <c r="M11" s="10">
        <f>IFERROR(__xludf.DUMMYFUNCTION("""COMPUTED_VALUE"""),0.0)</f>
        <v>0</v>
      </c>
    </row>
    <row r="12">
      <c r="A12" s="12">
        <f>IFERROR(__xludf.DUMMYFUNCTION("""COMPUTED_VALUE"""),4.0)</f>
        <v>4</v>
      </c>
      <c r="B12" s="13" t="str">
        <f>IFERROR(__xludf.DUMMYFUNCTION("""COMPUTED_VALUE"""),"Newell's Old Boys")</f>
        <v>Newell's Old Boys</v>
      </c>
      <c r="C12" s="13">
        <f>IFERROR(__xludf.DUMMYFUNCTION("""COMPUTED_VALUE"""),3.0)</f>
        <v>3</v>
      </c>
      <c r="D12" s="14">
        <f>IFERROR(__xludf.DUMMYFUNCTION("""COMPUTED_VALUE"""),3.0)</f>
        <v>3</v>
      </c>
      <c r="E12" s="14">
        <f>IFERROR(__xludf.DUMMYFUNCTION("""COMPUTED_VALUE"""),0.0)</f>
        <v>0</v>
      </c>
      <c r="F12" s="15">
        <f>IFERROR(__xludf.DUMMYFUNCTION("""COMPUTED_VALUE"""),3.0)</f>
        <v>3</v>
      </c>
      <c r="G12" s="14">
        <f>IFERROR(__xludf.DUMMYFUNCTION("""COMPUTED_VALUE"""),0.0)</f>
        <v>0</v>
      </c>
      <c r="H12" s="14">
        <f>IFERROR(__xludf.DUMMYFUNCTION("""COMPUTED_VALUE"""),6.0)</f>
        <v>6</v>
      </c>
      <c r="I12" s="16">
        <f>IFERROR(__xludf.DUMMYFUNCTION("""COMPUTED_VALUE"""),0.0)</f>
        <v>0</v>
      </c>
      <c r="J12" s="14">
        <f>IFERROR(__xludf.DUMMYFUNCTION("""COMPUTED_VALUE"""),93.0)</f>
        <v>93</v>
      </c>
      <c r="K12" s="14">
        <f>IFERROR(__xludf.DUMMYFUNCTION("""COMPUTED_VALUE"""),150.0)</f>
        <v>150</v>
      </c>
      <c r="L12" s="16">
        <f>IFERROR(__xludf.DUMMYFUNCTION("""COMPUTED_VALUE"""),0.62)</f>
        <v>0.62</v>
      </c>
      <c r="M12" s="15">
        <f>IFERROR(__xludf.DUMMYFUNCTION("""COMPUTED_VALUE"""),0.0)</f>
        <v>0</v>
      </c>
    </row>
    <row r="13">
      <c r="A13" s="18" t="s">
        <v>15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3"/>
    </row>
    <row r="14">
      <c r="A14" s="4" t="s">
        <v>1</v>
      </c>
      <c r="B14" s="5" t="s">
        <v>2</v>
      </c>
      <c r="C14" s="5" t="s">
        <v>3</v>
      </c>
      <c r="D14" s="6" t="s">
        <v>4</v>
      </c>
      <c r="E14" s="6" t="s">
        <v>5</v>
      </c>
      <c r="F14" s="5" t="s">
        <v>6</v>
      </c>
      <c r="G14" s="6" t="s">
        <v>7</v>
      </c>
      <c r="H14" s="6" t="s">
        <v>8</v>
      </c>
      <c r="I14" s="5" t="s">
        <v>9</v>
      </c>
      <c r="J14" s="6" t="s">
        <v>10</v>
      </c>
      <c r="K14" s="6" t="s">
        <v>11</v>
      </c>
      <c r="L14" s="5" t="s">
        <v>12</v>
      </c>
      <c r="M14" s="5" t="s">
        <v>13</v>
      </c>
    </row>
    <row r="15">
      <c r="A15" s="7">
        <f>IFERROR(__xludf.DUMMYFUNCTION("IMPORTRANGE(""https://docs.google.com/spreadsheets/d/1rGqDBT0LB4FMee2YBr8Tyd77ICWULnu_xNghg0iadLs/edit#gid=1381430768"",
""TABLA MASCULINO DEF!B10:N13"")"),1.0)</f>
        <v>1</v>
      </c>
      <c r="B15" s="8" t="str">
        <f>IFERROR(__xludf.DUMMYFUNCTION("""COMPUTED_VALUE"""),"Municipal de Reconquista")</f>
        <v>Municipal de Reconquista</v>
      </c>
      <c r="C15" s="8">
        <f>IFERROR(__xludf.DUMMYFUNCTION("""COMPUTED_VALUE"""),6.0)</f>
        <v>6</v>
      </c>
      <c r="D15" s="9">
        <f>IFERROR(__xludf.DUMMYFUNCTION("""COMPUTED_VALUE"""),3.0)</f>
        <v>3</v>
      </c>
      <c r="E15" s="9">
        <f>IFERROR(__xludf.DUMMYFUNCTION("""COMPUTED_VALUE"""),3.0)</f>
        <v>3</v>
      </c>
      <c r="F15" s="10">
        <f>IFERROR(__xludf.DUMMYFUNCTION("""COMPUTED_VALUE"""),0.0)</f>
        <v>0</v>
      </c>
      <c r="G15" s="9">
        <f>IFERROR(__xludf.DUMMYFUNCTION("""COMPUTED_VALUE"""),6.0)</f>
        <v>6</v>
      </c>
      <c r="H15" s="9">
        <f>IFERROR(__xludf.DUMMYFUNCTION("""COMPUTED_VALUE"""),0.0)</f>
        <v>0</v>
      </c>
      <c r="I15" s="11">
        <f>IFERROR(__xludf.DUMMYFUNCTION("""COMPUTED_VALUE"""),999.0)</f>
        <v>999</v>
      </c>
      <c r="J15" s="9">
        <f>IFERROR(__xludf.DUMMYFUNCTION("""COMPUTED_VALUE"""),157.0)</f>
        <v>157</v>
      </c>
      <c r="K15" s="9">
        <f>IFERROR(__xludf.DUMMYFUNCTION("""COMPUTED_VALUE"""),132.0)</f>
        <v>132</v>
      </c>
      <c r="L15" s="11">
        <f>IFERROR(__xludf.DUMMYFUNCTION("""COMPUTED_VALUE"""),1.1893939393939394)</f>
        <v>1.189393939</v>
      </c>
      <c r="M15" s="10">
        <f>IFERROR(__xludf.DUMMYFUNCTION("""COMPUTED_VALUE"""),0.0)</f>
        <v>0</v>
      </c>
    </row>
    <row r="16">
      <c r="A16" s="7">
        <f>IFERROR(__xludf.DUMMYFUNCTION("""COMPUTED_VALUE"""),2.0)</f>
        <v>2</v>
      </c>
      <c r="B16" s="8" t="str">
        <f>IFERROR(__xludf.DUMMYFUNCTION("""COMPUTED_VALUE"""),"Libertad de Nelsón")</f>
        <v>Libertad de Nelsón</v>
      </c>
      <c r="C16" s="8">
        <f>IFERROR(__xludf.DUMMYFUNCTION("""COMPUTED_VALUE"""),5.0)</f>
        <v>5</v>
      </c>
      <c r="D16" s="9">
        <f>IFERROR(__xludf.DUMMYFUNCTION("""COMPUTED_VALUE"""),3.0)</f>
        <v>3</v>
      </c>
      <c r="E16" s="9">
        <f>IFERROR(__xludf.DUMMYFUNCTION("""COMPUTED_VALUE"""),2.0)</f>
        <v>2</v>
      </c>
      <c r="F16" s="10">
        <f>IFERROR(__xludf.DUMMYFUNCTION("""COMPUTED_VALUE"""),1.0)</f>
        <v>1</v>
      </c>
      <c r="G16" s="9">
        <f>IFERROR(__xludf.DUMMYFUNCTION("""COMPUTED_VALUE"""),4.0)</f>
        <v>4</v>
      </c>
      <c r="H16" s="9">
        <f>IFERROR(__xludf.DUMMYFUNCTION("""COMPUTED_VALUE"""),3.0)</f>
        <v>3</v>
      </c>
      <c r="I16" s="11">
        <f>IFERROR(__xludf.DUMMYFUNCTION("""COMPUTED_VALUE"""),1.3333333333333333)</f>
        <v>1.333333333</v>
      </c>
      <c r="J16" s="9">
        <f>IFERROR(__xludf.DUMMYFUNCTION("""COMPUTED_VALUE"""),170.0)</f>
        <v>170</v>
      </c>
      <c r="K16" s="9">
        <f>IFERROR(__xludf.DUMMYFUNCTION("""COMPUTED_VALUE"""),155.0)</f>
        <v>155</v>
      </c>
      <c r="L16" s="11">
        <f>IFERROR(__xludf.DUMMYFUNCTION("""COMPUTED_VALUE"""),1.096774193548387)</f>
        <v>1.096774194</v>
      </c>
      <c r="M16" s="10">
        <f>IFERROR(__xludf.DUMMYFUNCTION("""COMPUTED_VALUE"""),0.0)</f>
        <v>0</v>
      </c>
    </row>
    <row r="17">
      <c r="A17" s="7">
        <f>IFERROR(__xludf.DUMMYFUNCTION("""COMPUTED_VALUE"""),3.0)</f>
        <v>3</v>
      </c>
      <c r="B17" s="8" t="str">
        <f>IFERROR(__xludf.DUMMYFUNCTION("""COMPUTED_VALUE"""),"Primer Tiempo")</f>
        <v>Primer Tiempo</v>
      </c>
      <c r="C17" s="8">
        <f>IFERROR(__xludf.DUMMYFUNCTION("""COMPUTED_VALUE"""),4.0)</f>
        <v>4</v>
      </c>
      <c r="D17" s="9">
        <f>IFERROR(__xludf.DUMMYFUNCTION("""COMPUTED_VALUE"""),3.0)</f>
        <v>3</v>
      </c>
      <c r="E17" s="9">
        <f>IFERROR(__xludf.DUMMYFUNCTION("""COMPUTED_VALUE"""),1.0)</f>
        <v>1</v>
      </c>
      <c r="F17" s="10">
        <f>IFERROR(__xludf.DUMMYFUNCTION("""COMPUTED_VALUE"""),2.0)</f>
        <v>2</v>
      </c>
      <c r="G17" s="9">
        <f>IFERROR(__xludf.DUMMYFUNCTION("""COMPUTED_VALUE"""),2.0)</f>
        <v>2</v>
      </c>
      <c r="H17" s="9">
        <f>IFERROR(__xludf.DUMMYFUNCTION("""COMPUTED_VALUE"""),5.0)</f>
        <v>5</v>
      </c>
      <c r="I17" s="11">
        <f>IFERROR(__xludf.DUMMYFUNCTION("""COMPUTED_VALUE"""),0.4)</f>
        <v>0.4</v>
      </c>
      <c r="J17" s="9">
        <f>IFERROR(__xludf.DUMMYFUNCTION("""COMPUTED_VALUE"""),146.0)</f>
        <v>146</v>
      </c>
      <c r="K17" s="9">
        <f>IFERROR(__xludf.DUMMYFUNCTION("""COMPUTED_VALUE"""),158.0)</f>
        <v>158</v>
      </c>
      <c r="L17" s="11">
        <f>IFERROR(__xludf.DUMMYFUNCTION("""COMPUTED_VALUE"""),0.9240506329113924)</f>
        <v>0.9240506329</v>
      </c>
      <c r="M17" s="10">
        <f>IFERROR(__xludf.DUMMYFUNCTION("""COMPUTED_VALUE"""),0.0)</f>
        <v>0</v>
      </c>
    </row>
    <row r="18">
      <c r="A18" s="12">
        <f>IFERROR(__xludf.DUMMYFUNCTION("""COMPUTED_VALUE"""),4.0)</f>
        <v>4</v>
      </c>
      <c r="B18" s="13" t="str">
        <f>IFERROR(__xludf.DUMMYFUNCTION("""COMPUTED_VALUE"""),"Rosario Voley")</f>
        <v>Rosario Voley</v>
      </c>
      <c r="C18" s="13">
        <f>IFERROR(__xludf.DUMMYFUNCTION("""COMPUTED_VALUE"""),3.0)</f>
        <v>3</v>
      </c>
      <c r="D18" s="14">
        <f>IFERROR(__xludf.DUMMYFUNCTION("""COMPUTED_VALUE"""),3.0)</f>
        <v>3</v>
      </c>
      <c r="E18" s="14">
        <f>IFERROR(__xludf.DUMMYFUNCTION("""COMPUTED_VALUE"""),0.0)</f>
        <v>0</v>
      </c>
      <c r="F18" s="15">
        <f>IFERROR(__xludf.DUMMYFUNCTION("""COMPUTED_VALUE"""),3.0)</f>
        <v>3</v>
      </c>
      <c r="G18" s="14">
        <f>IFERROR(__xludf.DUMMYFUNCTION("""COMPUTED_VALUE"""),2.0)</f>
        <v>2</v>
      </c>
      <c r="H18" s="14">
        <f>IFERROR(__xludf.DUMMYFUNCTION("""COMPUTED_VALUE"""),6.0)</f>
        <v>6</v>
      </c>
      <c r="I18" s="16">
        <f>IFERROR(__xludf.DUMMYFUNCTION("""COMPUTED_VALUE"""),0.3333333333333333)</f>
        <v>0.3333333333</v>
      </c>
      <c r="J18" s="14">
        <f>IFERROR(__xludf.DUMMYFUNCTION("""COMPUTED_VALUE"""),152.0)</f>
        <v>152</v>
      </c>
      <c r="K18" s="14">
        <f>IFERROR(__xludf.DUMMYFUNCTION("""COMPUTED_VALUE"""),180.0)</f>
        <v>180</v>
      </c>
      <c r="L18" s="16">
        <f>IFERROR(__xludf.DUMMYFUNCTION("""COMPUTED_VALUE"""),0.8444444444444444)</f>
        <v>0.8444444444</v>
      </c>
      <c r="M18" s="15">
        <f>IFERROR(__xludf.DUMMYFUNCTION("""COMPUTED_VALUE"""),0.0)</f>
        <v>0</v>
      </c>
    </row>
    <row r="19">
      <c r="A19" s="19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</row>
    <row r="20">
      <c r="A20" s="4" t="s">
        <v>1</v>
      </c>
      <c r="B20" s="5" t="s">
        <v>2</v>
      </c>
      <c r="C20" s="5" t="s">
        <v>3</v>
      </c>
      <c r="D20" s="6" t="s">
        <v>4</v>
      </c>
      <c r="E20" s="6" t="s">
        <v>5</v>
      </c>
      <c r="F20" s="5" t="s">
        <v>6</v>
      </c>
      <c r="G20" s="6" t="s">
        <v>7</v>
      </c>
      <c r="H20" s="6" t="s">
        <v>8</v>
      </c>
      <c r="I20" s="5" t="s">
        <v>9</v>
      </c>
      <c r="J20" s="6" t="s">
        <v>10</v>
      </c>
      <c r="K20" s="6" t="s">
        <v>11</v>
      </c>
      <c r="L20" s="5" t="s">
        <v>12</v>
      </c>
      <c r="M20" s="5" t="s">
        <v>13</v>
      </c>
    </row>
    <row r="21">
      <c r="A21" s="7">
        <f>IFERROR(__xludf.DUMMYFUNCTION("IMPORTRANGE(""https://docs.google.com/spreadsheets/d/1rGqDBT0LB4FMee2YBr8Tyd77ICWULnu_xNghg0iadLs/edit#gid=1381430768"",
""TABLA MASCULINO DEF!B14:N17"")"),1.0)</f>
        <v>1</v>
      </c>
      <c r="B21" s="8" t="str">
        <f>IFERROR(__xludf.DUMMYFUNCTION("""COMPUTED_VALUE"""),"Maxi Banco")</f>
        <v>Maxi Banco</v>
      </c>
      <c r="C21" s="8">
        <f>IFERROR(__xludf.DUMMYFUNCTION("""COMPUTED_VALUE"""),6.0)</f>
        <v>6</v>
      </c>
      <c r="D21" s="9">
        <f>IFERROR(__xludf.DUMMYFUNCTION("""COMPUTED_VALUE"""),3.0)</f>
        <v>3</v>
      </c>
      <c r="E21" s="9">
        <f>IFERROR(__xludf.DUMMYFUNCTION("""COMPUTED_VALUE"""),3.0)</f>
        <v>3</v>
      </c>
      <c r="F21" s="10">
        <f>IFERROR(__xludf.DUMMYFUNCTION("""COMPUTED_VALUE"""),0.0)</f>
        <v>0</v>
      </c>
      <c r="G21" s="9">
        <f>IFERROR(__xludf.DUMMYFUNCTION("""COMPUTED_VALUE"""),6.0)</f>
        <v>6</v>
      </c>
      <c r="H21" s="9">
        <f>IFERROR(__xludf.DUMMYFUNCTION("""COMPUTED_VALUE"""),0.0)</f>
        <v>0</v>
      </c>
      <c r="I21" s="11">
        <f>IFERROR(__xludf.DUMMYFUNCTION("""COMPUTED_VALUE"""),999.0)</f>
        <v>999</v>
      </c>
      <c r="J21" s="9">
        <f>IFERROR(__xludf.DUMMYFUNCTION("""COMPUTED_VALUE"""),150.0)</f>
        <v>150</v>
      </c>
      <c r="K21" s="9">
        <f>IFERROR(__xludf.DUMMYFUNCTION("""COMPUTED_VALUE"""),106.0)</f>
        <v>106</v>
      </c>
      <c r="L21" s="11">
        <f>IFERROR(__xludf.DUMMYFUNCTION("""COMPUTED_VALUE"""),1.4150943396226414)</f>
        <v>1.41509434</v>
      </c>
      <c r="M21" s="10">
        <f>IFERROR(__xludf.DUMMYFUNCTION("""COMPUTED_VALUE"""),0.0)</f>
        <v>0</v>
      </c>
    </row>
    <row r="22">
      <c r="A22" s="7">
        <f>IFERROR(__xludf.DUMMYFUNCTION("""COMPUTED_VALUE"""),2.0)</f>
        <v>2</v>
      </c>
      <c r="B22" s="8" t="str">
        <f>IFERROR(__xludf.DUMMYFUNCTION("""COMPUTED_VALUE"""),"9 de Julio Rafaela")</f>
        <v>9 de Julio Rafaela</v>
      </c>
      <c r="C22" s="8">
        <f>IFERROR(__xludf.DUMMYFUNCTION("""COMPUTED_VALUE"""),5.0)</f>
        <v>5</v>
      </c>
      <c r="D22" s="9">
        <f>IFERROR(__xludf.DUMMYFUNCTION("""COMPUTED_VALUE"""),3.0)</f>
        <v>3</v>
      </c>
      <c r="E22" s="9">
        <f>IFERROR(__xludf.DUMMYFUNCTION("""COMPUTED_VALUE"""),2.0)</f>
        <v>2</v>
      </c>
      <c r="F22" s="10">
        <f>IFERROR(__xludf.DUMMYFUNCTION("""COMPUTED_VALUE"""),1.0)</f>
        <v>1</v>
      </c>
      <c r="G22" s="9">
        <f>IFERROR(__xludf.DUMMYFUNCTION("""COMPUTED_VALUE"""),4.0)</f>
        <v>4</v>
      </c>
      <c r="H22" s="9">
        <f>IFERROR(__xludf.DUMMYFUNCTION("""COMPUTED_VALUE"""),3.0)</f>
        <v>3</v>
      </c>
      <c r="I22" s="11">
        <f>IFERROR(__xludf.DUMMYFUNCTION("""COMPUTED_VALUE"""),1.3333333333333333)</f>
        <v>1.333333333</v>
      </c>
      <c r="J22" s="9">
        <f>IFERROR(__xludf.DUMMYFUNCTION("""COMPUTED_VALUE"""),139.0)</f>
        <v>139</v>
      </c>
      <c r="K22" s="9">
        <f>IFERROR(__xludf.DUMMYFUNCTION("""COMPUTED_VALUE"""),131.0)</f>
        <v>131</v>
      </c>
      <c r="L22" s="11">
        <f>IFERROR(__xludf.DUMMYFUNCTION("""COMPUTED_VALUE"""),1.0610687022900764)</f>
        <v>1.061068702</v>
      </c>
      <c r="M22" s="10">
        <f>IFERROR(__xludf.DUMMYFUNCTION("""COMPUTED_VALUE"""),0.0)</f>
        <v>0</v>
      </c>
    </row>
    <row r="23">
      <c r="A23" s="7">
        <f>IFERROR(__xludf.DUMMYFUNCTION("""COMPUTED_VALUE"""),3.0)</f>
        <v>3</v>
      </c>
      <c r="B23" s="8" t="str">
        <f>IFERROR(__xludf.DUMMYFUNCTION("""COMPUTED_VALUE"""),"Sportivo Videla")</f>
        <v>Sportivo Videla</v>
      </c>
      <c r="C23" s="8">
        <f>IFERROR(__xludf.DUMMYFUNCTION("""COMPUTED_VALUE"""),4.0)</f>
        <v>4</v>
      </c>
      <c r="D23" s="9">
        <f>IFERROR(__xludf.DUMMYFUNCTION("""COMPUTED_VALUE"""),3.0)</f>
        <v>3</v>
      </c>
      <c r="E23" s="9">
        <f>IFERROR(__xludf.DUMMYFUNCTION("""COMPUTED_VALUE"""),1.0)</f>
        <v>1</v>
      </c>
      <c r="F23" s="10">
        <f>IFERROR(__xludf.DUMMYFUNCTION("""COMPUTED_VALUE"""),2.0)</f>
        <v>2</v>
      </c>
      <c r="G23" s="9">
        <f>IFERROR(__xludf.DUMMYFUNCTION("""COMPUTED_VALUE"""),2.0)</f>
        <v>2</v>
      </c>
      <c r="H23" s="9">
        <f>IFERROR(__xludf.DUMMYFUNCTION("""COMPUTED_VALUE"""),4.0)</f>
        <v>4</v>
      </c>
      <c r="I23" s="11">
        <f>IFERROR(__xludf.DUMMYFUNCTION("""COMPUTED_VALUE"""),0.5)</f>
        <v>0.5</v>
      </c>
      <c r="J23" s="9">
        <f>IFERROR(__xludf.DUMMYFUNCTION("""COMPUTED_VALUE"""),126.0)</f>
        <v>126</v>
      </c>
      <c r="K23" s="9">
        <f>IFERROR(__xludf.DUMMYFUNCTION("""COMPUTED_VALUE"""),135.0)</f>
        <v>135</v>
      </c>
      <c r="L23" s="11">
        <f>IFERROR(__xludf.DUMMYFUNCTION("""COMPUTED_VALUE"""),0.9333333333333333)</f>
        <v>0.9333333333</v>
      </c>
      <c r="M23" s="10">
        <f>IFERROR(__xludf.DUMMYFUNCTION("""COMPUTED_VALUE"""),0.0)</f>
        <v>0</v>
      </c>
    </row>
    <row r="24">
      <c r="A24" s="12">
        <f>IFERROR(__xludf.DUMMYFUNCTION("""COMPUTED_VALUE"""),4.0)</f>
        <v>4</v>
      </c>
      <c r="B24" s="13" t="str">
        <f>IFERROR(__xludf.DUMMYFUNCTION("""COMPUTED_VALUE"""),"Colón SF")</f>
        <v>Colón SF</v>
      </c>
      <c r="C24" s="13">
        <f>IFERROR(__xludf.DUMMYFUNCTION("""COMPUTED_VALUE"""),3.0)</f>
        <v>3</v>
      </c>
      <c r="D24" s="14">
        <f>IFERROR(__xludf.DUMMYFUNCTION("""COMPUTED_VALUE"""),3.0)</f>
        <v>3</v>
      </c>
      <c r="E24" s="14">
        <f>IFERROR(__xludf.DUMMYFUNCTION("""COMPUTED_VALUE"""),0.0)</f>
        <v>0</v>
      </c>
      <c r="F24" s="15">
        <f>IFERROR(__xludf.DUMMYFUNCTION("""COMPUTED_VALUE"""),3.0)</f>
        <v>3</v>
      </c>
      <c r="G24" s="14">
        <f>IFERROR(__xludf.DUMMYFUNCTION("""COMPUTED_VALUE"""),1.0)</f>
        <v>1</v>
      </c>
      <c r="H24" s="14">
        <f>IFERROR(__xludf.DUMMYFUNCTION("""COMPUTED_VALUE"""),6.0)</f>
        <v>6</v>
      </c>
      <c r="I24" s="16">
        <f>IFERROR(__xludf.DUMMYFUNCTION("""COMPUTED_VALUE"""),0.16666666666666666)</f>
        <v>0.1666666667</v>
      </c>
      <c r="J24" s="14">
        <f>IFERROR(__xludf.DUMMYFUNCTION("""COMPUTED_VALUE"""),113.0)</f>
        <v>113</v>
      </c>
      <c r="K24" s="14">
        <f>IFERROR(__xludf.DUMMYFUNCTION("""COMPUTED_VALUE"""),156.0)</f>
        <v>156</v>
      </c>
      <c r="L24" s="16">
        <f>IFERROR(__xludf.DUMMYFUNCTION("""COMPUTED_VALUE"""),0.7243589743589743)</f>
        <v>0.7243589744</v>
      </c>
      <c r="M24" s="15">
        <f>IFERROR(__xludf.DUMMYFUNCTION("""COMPUTED_VALUE"""),0.0)</f>
        <v>0</v>
      </c>
    </row>
  </sheetData>
  <mergeCells count="4">
    <mergeCell ref="A1:M1"/>
    <mergeCell ref="A7:M7"/>
    <mergeCell ref="A13:M13"/>
    <mergeCell ref="A19:M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  <col customWidth="1" min="3" max="3" width="13.75"/>
    <col customWidth="1" min="4" max="4" width="21.13"/>
    <col customWidth="1" min="5" max="5" width="18.25"/>
    <col customWidth="1" min="6" max="6" width="16.25"/>
    <col customWidth="1" min="8" max="8" width="25.75"/>
    <col customWidth="1" min="9" max="9" width="19.0"/>
    <col customWidth="1" min="10" max="10" width="15.5"/>
    <col customWidth="1" min="11" max="11" width="25.63"/>
    <col customWidth="1" min="12" max="12" width="15.13"/>
  </cols>
  <sheetData>
    <row r="1">
      <c r="A1" s="20" t="str">
        <f>IFERROR(__xludf.DUMMYFUNCTION("IMPORTRANGE(""https://docs.google.com/spreadsheets/d/1rGqDBT0LB4FMee2YBr8Tyd77ICWULnu_xNghg0iadLs/edit#gid=1381430768"",""CUADRO DE RESULTADOS!A1:L12"")"),"")</f>
        <v/>
      </c>
      <c r="B1" s="1" t="str">
        <f>IFERROR(__xludf.DUMMYFUNCTION("""COMPUTED_VALUE"""),"ZONA 1")</f>
        <v>ZONA 1</v>
      </c>
      <c r="C1" s="2"/>
      <c r="D1" s="2"/>
      <c r="E1" s="2"/>
      <c r="F1" s="3"/>
      <c r="G1" s="21"/>
      <c r="H1" s="18" t="str">
        <f>IFERROR(__xludf.DUMMYFUNCTION("""COMPUTED_VALUE"""),"ZONA 3")</f>
        <v>ZONA 3</v>
      </c>
      <c r="I1" s="2"/>
      <c r="J1" s="2"/>
      <c r="K1" s="2"/>
      <c r="L1" s="3"/>
    </row>
    <row r="2">
      <c r="A2" s="20"/>
      <c r="B2" s="22"/>
      <c r="C2" s="23" t="str">
        <f>IFERROR(__xludf.DUMMYFUNCTION("""COMPUTED_VALUE"""),"Argentino SC")</f>
        <v>Argentino SC</v>
      </c>
      <c r="D2" s="23" t="str">
        <f>IFERROR(__xludf.DUMMYFUNCTION("""COMPUTED_VALUE"""),"Club Ferrocarril")</f>
        <v>Club Ferrocarril</v>
      </c>
      <c r="E2" s="23" t="str">
        <f>IFERROR(__xludf.DUMMYFUNCTION("""COMPUTED_VALUE"""),"La Emilia")</f>
        <v>La Emilia</v>
      </c>
      <c r="F2" s="24" t="str">
        <f>IFERROR(__xludf.DUMMYFUNCTION("""COMPUTED_VALUE"""),"Sal Marina")</f>
        <v>Sal Marina</v>
      </c>
      <c r="G2" s="25"/>
      <c r="H2" s="22"/>
      <c r="I2" s="23" t="str">
        <f>IFERROR(__xludf.DUMMYFUNCTION("""COMPUTED_VALUE"""),"Libertad de Nelsón")</f>
        <v>Libertad de Nelsón</v>
      </c>
      <c r="J2" s="23" t="str">
        <f>IFERROR(__xludf.DUMMYFUNCTION("""COMPUTED_VALUE"""),"Rosario Voley")</f>
        <v>Rosario Voley</v>
      </c>
      <c r="K2" s="23" t="str">
        <f>IFERROR(__xludf.DUMMYFUNCTION("""COMPUTED_VALUE"""),"Municipal de Reconquista")</f>
        <v>Municipal de Reconquista</v>
      </c>
      <c r="L2" s="24" t="str">
        <f>IFERROR(__xludf.DUMMYFUNCTION("""COMPUTED_VALUE"""),"Primer Tiempo")</f>
        <v>Primer Tiempo</v>
      </c>
    </row>
    <row r="3">
      <c r="A3" s="20"/>
      <c r="B3" s="26" t="str">
        <f>IFERROR(__xludf.DUMMYFUNCTION("""COMPUTED_VALUE"""),"Argentino SC")</f>
        <v>Argentino SC</v>
      </c>
      <c r="C3" s="27" t="str">
        <f>IFERROR(__xludf.DUMMYFUNCTION("""COMPUTED_VALUE"""),"")</f>
        <v/>
      </c>
      <c r="D3" s="28" t="str">
        <f>IFERROR(__xludf.DUMMYFUNCTION("""COMPUTED_VALUE"""),"2 - 0
25-19 25-15 ")</f>
        <v>2 - 0
25-19 25-15 </v>
      </c>
      <c r="E3" s="28" t="str">
        <f>IFERROR(__xludf.DUMMYFUNCTION("""COMPUTED_VALUE"""),"2 - 1
25-22 18-25 15-8")</f>
        <v>2 - 1
25-22 18-25 15-8</v>
      </c>
      <c r="F3" s="29" t="str">
        <f>IFERROR(__xludf.DUMMYFUNCTION("""COMPUTED_VALUE"""),"2 - 0
25-14 25-22 ")</f>
        <v>2 - 0
25-14 25-22 </v>
      </c>
      <c r="G3" s="21"/>
      <c r="H3" s="30" t="str">
        <f>IFERROR(__xludf.DUMMYFUNCTION("""COMPUTED_VALUE"""),"Libertad de Nelsón")</f>
        <v>Libertad de Nelsón</v>
      </c>
      <c r="I3" s="27" t="str">
        <f>IFERROR(__xludf.DUMMYFUNCTION("""COMPUTED_VALUE"""),"")</f>
        <v/>
      </c>
      <c r="J3" s="28" t="str">
        <f>IFERROR(__xludf.DUMMYFUNCTION("""COMPUTED_VALUE"""),"2 - 1
25-12 27-29 15-13")</f>
        <v>2 - 1
25-12 27-29 15-13</v>
      </c>
      <c r="K3" s="28" t="str">
        <f>IFERROR(__xludf.DUMMYFUNCTION("""COMPUTED_VALUE"""),"0 - 2
24-17 20-25 9-15")</f>
        <v>0 - 2
24-17 20-25 9-15</v>
      </c>
      <c r="L3" s="29" t="str">
        <f>IFERROR(__xludf.DUMMYFUNCTION("""COMPUTED_VALUE"""),"2 - 0
25-22 25-22 ")</f>
        <v>2 - 0
25-22 25-22 </v>
      </c>
    </row>
    <row r="4">
      <c r="A4" s="20"/>
      <c r="B4" s="26" t="str">
        <f>IFERROR(__xludf.DUMMYFUNCTION("""COMPUTED_VALUE"""),"Club Ferrocarril")</f>
        <v>Club Ferrocarril</v>
      </c>
      <c r="C4" s="28" t="str">
        <f>IFERROR(__xludf.DUMMYFUNCTION("""COMPUTED_VALUE"""),"0 - 2
19-25 15-25 ")</f>
        <v>0 - 2
19-25 15-25 </v>
      </c>
      <c r="D4" s="27" t="str">
        <f>IFERROR(__xludf.DUMMYFUNCTION("""COMPUTED_VALUE"""),"")</f>
        <v/>
      </c>
      <c r="E4" s="28" t="str">
        <f>IFERROR(__xludf.DUMMYFUNCTION("""COMPUTED_VALUE"""),"1 - 2
13-25 25-23 13-15")</f>
        <v>1 - 2
13-25 25-23 13-15</v>
      </c>
      <c r="F4" s="29" t="str">
        <f>IFERROR(__xludf.DUMMYFUNCTION("""COMPUTED_VALUE"""),"2 - 1
20-25 25-21 15-8")</f>
        <v>2 - 1
20-25 25-21 15-8</v>
      </c>
      <c r="G4" s="21"/>
      <c r="H4" s="30" t="str">
        <f>IFERROR(__xludf.DUMMYFUNCTION("""COMPUTED_VALUE"""),"Rosario Voley")</f>
        <v>Rosario Voley</v>
      </c>
      <c r="I4" s="28" t="str">
        <f>IFERROR(__xludf.DUMMYFUNCTION("""COMPUTED_VALUE"""),"1 - 2
12-25 29-27 13-15")</f>
        <v>1 - 2
12-25 29-27 13-15</v>
      </c>
      <c r="J4" s="27" t="str">
        <f>IFERROR(__xludf.DUMMYFUNCTION("""COMPUTED_VALUE"""),"")</f>
        <v/>
      </c>
      <c r="K4" s="28" t="str">
        <f>IFERROR(__xludf.DUMMYFUNCTION("""COMPUTED_VALUE"""),"0 - 2
18-25 22-25 ")</f>
        <v>0 - 2
18-25 22-25 </v>
      </c>
      <c r="L4" s="29" t="str">
        <f>IFERROR(__xludf.DUMMYFUNCTION("""COMPUTED_VALUE"""),"1 - 2
25-23 22-25 11-15")</f>
        <v>1 - 2
25-23 22-25 11-15</v>
      </c>
    </row>
    <row r="5">
      <c r="A5" s="20"/>
      <c r="B5" s="26" t="str">
        <f>IFERROR(__xludf.DUMMYFUNCTION("""COMPUTED_VALUE"""),"La Emilia")</f>
        <v>La Emilia</v>
      </c>
      <c r="C5" s="28" t="str">
        <f>IFERROR(__xludf.DUMMYFUNCTION("""COMPUTED_VALUE"""),"1 - 2
22-25 25-18 8-15")</f>
        <v>1 - 2
22-25 25-18 8-15</v>
      </c>
      <c r="D5" s="28" t="str">
        <f>IFERROR(__xludf.DUMMYFUNCTION("""COMPUTED_VALUE"""),"2 - 1
25-13 23-25 15-13")</f>
        <v>2 - 1
25-13 23-25 15-13</v>
      </c>
      <c r="E5" s="27" t="str">
        <f>IFERROR(__xludf.DUMMYFUNCTION("""COMPUTED_VALUE"""),"")</f>
        <v/>
      </c>
      <c r="F5" s="29" t="str">
        <f>IFERROR(__xludf.DUMMYFUNCTION("""COMPUTED_VALUE"""),"2 - 0
25-23 25-19 ")</f>
        <v>2 - 0
25-23 25-19 </v>
      </c>
      <c r="G5" s="21"/>
      <c r="H5" s="30" t="str">
        <f>IFERROR(__xludf.DUMMYFUNCTION("""COMPUTED_VALUE"""),"Municipal de Reconquista")</f>
        <v>Municipal de Reconquista</v>
      </c>
      <c r="I5" s="28" t="str">
        <f>IFERROR(__xludf.DUMMYFUNCTION("""COMPUTED_VALUE"""),"2 - 0
17-24 25-20 15-9")</f>
        <v>2 - 0
17-24 25-20 15-9</v>
      </c>
      <c r="J5" s="28" t="str">
        <f>IFERROR(__xludf.DUMMYFUNCTION("""COMPUTED_VALUE"""),"2 - 0
25-18 25-22 ")</f>
        <v>2 - 0
25-18 25-22 </v>
      </c>
      <c r="K5" s="27" t="str">
        <f>IFERROR(__xludf.DUMMYFUNCTION("""COMPUTED_VALUE"""),"")</f>
        <v/>
      </c>
      <c r="L5" s="29" t="str">
        <f>IFERROR(__xludf.DUMMYFUNCTION("""COMPUTED_VALUE"""),"2 - 0
25-23 25-16 ")</f>
        <v>2 - 0
25-23 25-16 </v>
      </c>
    </row>
    <row r="6">
      <c r="A6" s="20"/>
      <c r="B6" s="31" t="str">
        <f>IFERROR(__xludf.DUMMYFUNCTION("""COMPUTED_VALUE"""),"Sal Marina")</f>
        <v>Sal Marina</v>
      </c>
      <c r="C6" s="32" t="str">
        <f>IFERROR(__xludf.DUMMYFUNCTION("""COMPUTED_VALUE"""),"0 - 2
14-25 22-25 ")</f>
        <v>0 - 2
14-25 22-25 </v>
      </c>
      <c r="D6" s="32" t="str">
        <f>IFERROR(__xludf.DUMMYFUNCTION("""COMPUTED_VALUE"""),"1 - 2
25-20 21-25 8-15")</f>
        <v>1 - 2
25-20 21-25 8-15</v>
      </c>
      <c r="E6" s="32" t="str">
        <f>IFERROR(__xludf.DUMMYFUNCTION("""COMPUTED_VALUE"""),"0 - 2
23-25 19-25 ")</f>
        <v>0 - 2
23-25 19-25 </v>
      </c>
      <c r="F6" s="33" t="str">
        <f>IFERROR(__xludf.DUMMYFUNCTION("""COMPUTED_VALUE"""),"")</f>
        <v/>
      </c>
      <c r="G6" s="21"/>
      <c r="H6" s="24" t="str">
        <f>IFERROR(__xludf.DUMMYFUNCTION("""COMPUTED_VALUE"""),"Primer Tiempo")</f>
        <v>Primer Tiempo</v>
      </c>
      <c r="I6" s="32" t="str">
        <f>IFERROR(__xludf.DUMMYFUNCTION("""COMPUTED_VALUE"""),"0 - 2
22-25 22-25 ")</f>
        <v>0 - 2
22-25 22-25 </v>
      </c>
      <c r="J6" s="32" t="str">
        <f>IFERROR(__xludf.DUMMYFUNCTION("""COMPUTED_VALUE"""),"2 - 1
23-25 25-22 15-11")</f>
        <v>2 - 1
23-25 25-22 15-11</v>
      </c>
      <c r="K6" s="32" t="str">
        <f>IFERROR(__xludf.DUMMYFUNCTION("""COMPUTED_VALUE"""),"0 - 2
23-25 16-25 ")</f>
        <v>0 - 2
23-25 16-25 </v>
      </c>
      <c r="L6" s="33" t="str">
        <f>IFERROR(__xludf.DUMMYFUNCTION("""COMPUTED_VALUE"""),"")</f>
        <v/>
      </c>
    </row>
    <row r="7">
      <c r="A7" s="20"/>
      <c r="B7" s="17" t="str">
        <f>IFERROR(__xludf.DUMMYFUNCTION("""COMPUTED_VALUE"""),"ZONA 2")</f>
        <v>ZONA 2</v>
      </c>
      <c r="C7" s="2"/>
      <c r="D7" s="2"/>
      <c r="E7" s="2"/>
      <c r="F7" s="3"/>
      <c r="G7" s="21"/>
      <c r="H7" s="19" t="str">
        <f>IFERROR(__xludf.DUMMYFUNCTION("""COMPUTED_VALUE"""),"ZONA 4")</f>
        <v>ZONA 4</v>
      </c>
      <c r="I7" s="2"/>
      <c r="J7" s="2"/>
      <c r="K7" s="2"/>
      <c r="L7" s="3"/>
    </row>
    <row r="8">
      <c r="A8" s="20"/>
      <c r="B8" s="22"/>
      <c r="C8" s="23" t="str">
        <f>IFERROR(__xludf.DUMMYFUNCTION("""COMPUTED_VALUE"""),"C.A. Sastre")</f>
        <v>C.A. Sastre</v>
      </c>
      <c r="D8" s="23" t="str">
        <f>IFERROR(__xludf.DUMMYFUNCTION("""COMPUTED_VALUE"""),"Ciclón Norte Cayasta")</f>
        <v>Ciclón Norte Cayasta</v>
      </c>
      <c r="E8" s="23" t="str">
        <f>IFERROR(__xludf.DUMMYFUNCTION("""COMPUTED_VALUE"""),"Newell's Old Boys")</f>
        <v>Newell's Old Boys</v>
      </c>
      <c r="F8" s="24" t="str">
        <f>IFERROR(__xludf.DUMMYFUNCTION("""COMPUTED_VALUE"""),"Humboldt Voley")</f>
        <v>Humboldt Voley</v>
      </c>
      <c r="G8" s="25"/>
      <c r="H8" s="22"/>
      <c r="I8" s="23" t="str">
        <f>IFERROR(__xludf.DUMMYFUNCTION("""COMPUTED_VALUE"""),"9 de Julio Rafaela")</f>
        <v>9 de Julio Rafaela</v>
      </c>
      <c r="J8" s="23" t="str">
        <f>IFERROR(__xludf.DUMMYFUNCTION("""COMPUTED_VALUE"""),"Sportivo Videla")</f>
        <v>Sportivo Videla</v>
      </c>
      <c r="K8" s="23" t="str">
        <f>IFERROR(__xludf.DUMMYFUNCTION("""COMPUTED_VALUE"""),"Maxi Banco")</f>
        <v>Maxi Banco</v>
      </c>
      <c r="L8" s="24" t="str">
        <f>IFERROR(__xludf.DUMMYFUNCTION("""COMPUTED_VALUE"""),"Colón SF")</f>
        <v>Colón SF</v>
      </c>
    </row>
    <row r="9">
      <c r="A9" s="20"/>
      <c r="B9" s="26" t="str">
        <f>IFERROR(__xludf.DUMMYFUNCTION("""COMPUTED_VALUE"""),"C.A. Sastre")</f>
        <v>C.A. Sastre</v>
      </c>
      <c r="C9" s="27" t="str">
        <f>IFERROR(__xludf.DUMMYFUNCTION("""COMPUTED_VALUE"""),"")</f>
        <v/>
      </c>
      <c r="D9" s="28" t="str">
        <f>IFERROR(__xludf.DUMMYFUNCTION("""COMPUTED_VALUE"""),"2 - 1
23-25 25-9 15-8")</f>
        <v>2 - 1
23-25 25-9 15-8</v>
      </c>
      <c r="E9" s="28" t="str">
        <f>IFERROR(__xludf.DUMMYFUNCTION("""COMPUTED_VALUE"""),"2 - 0
25-15 25-14 ")</f>
        <v>2 - 0
25-15 25-14 </v>
      </c>
      <c r="F9" s="29" t="str">
        <f>IFERROR(__xludf.DUMMYFUNCTION("""COMPUTED_VALUE"""),"2 - 0
25-19 25-12 ")</f>
        <v>2 - 0
25-19 25-12 </v>
      </c>
      <c r="G9" s="21"/>
      <c r="H9" s="30" t="str">
        <f>IFERROR(__xludf.DUMMYFUNCTION("""COMPUTED_VALUE"""),"9 de Julio Rafaela")</f>
        <v>9 de Julio Rafaela</v>
      </c>
      <c r="I9" s="27" t="str">
        <f>IFERROR(__xludf.DUMMYFUNCTION("""COMPUTED_VALUE"""),"")</f>
        <v/>
      </c>
      <c r="J9" s="28" t="str">
        <f>IFERROR(__xludf.DUMMYFUNCTION("""COMPUTED_VALUE"""),"2 - 0
25-18 25-14 ")</f>
        <v>2 - 0
25-18 25-14 </v>
      </c>
      <c r="K9" s="28" t="str">
        <f>IFERROR(__xludf.DUMMYFUNCTION("""COMPUTED_VALUE"""),"0 - 2
18-25 15-25 ")</f>
        <v>0 - 2
18-25 15-25 </v>
      </c>
      <c r="L9" s="29" t="str">
        <f>IFERROR(__xludf.DUMMYFUNCTION("""COMPUTED_VALUE"""),"2 - 1
25-14 16-25 15-10")</f>
        <v>2 - 1
25-14 16-25 15-10</v>
      </c>
    </row>
    <row r="10">
      <c r="A10" s="20"/>
      <c r="B10" s="26" t="str">
        <f>IFERROR(__xludf.DUMMYFUNCTION("""COMPUTED_VALUE"""),"Ciclón Norte Cayasta")</f>
        <v>Ciclón Norte Cayasta</v>
      </c>
      <c r="C10" s="28" t="str">
        <f>IFERROR(__xludf.DUMMYFUNCTION("""COMPUTED_VALUE"""),"1 - 2
25-23 9-25 8-15")</f>
        <v>1 - 2
25-23 9-25 8-15</v>
      </c>
      <c r="D10" s="27" t="str">
        <f>IFERROR(__xludf.DUMMYFUNCTION("""COMPUTED_VALUE"""),"")</f>
        <v/>
      </c>
      <c r="E10" s="28" t="str">
        <f>IFERROR(__xludf.DUMMYFUNCTION("""COMPUTED_VALUE"""),"2 - 0
25-12 25-14 ")</f>
        <v>2 - 0
25-12 25-14 </v>
      </c>
      <c r="F10" s="29" t="str">
        <f>IFERROR(__xludf.DUMMYFUNCTION("""COMPUTED_VALUE"""),"2 - 0
25-12 25-14 ")</f>
        <v>2 - 0
25-12 25-14 </v>
      </c>
      <c r="G10" s="21"/>
      <c r="H10" s="30" t="str">
        <f>IFERROR(__xludf.DUMMYFUNCTION("""COMPUTED_VALUE"""),"Sportivo Videla")</f>
        <v>Sportivo Videla</v>
      </c>
      <c r="I10" s="28" t="str">
        <f>IFERROR(__xludf.DUMMYFUNCTION("""COMPUTED_VALUE"""),"0 - 2
18-25 14-25 ")</f>
        <v>0 - 2
18-25 14-25 </v>
      </c>
      <c r="J10" s="27" t="str">
        <f>IFERROR(__xludf.DUMMYFUNCTION("""COMPUTED_VALUE"""),"")</f>
        <v/>
      </c>
      <c r="K10" s="28" t="str">
        <f>IFERROR(__xludf.DUMMYFUNCTION("""COMPUTED_VALUE"""),"0 - 2
23-25 21-25 ")</f>
        <v>0 - 2
23-25 21-25 </v>
      </c>
      <c r="L10" s="29" t="str">
        <f>IFERROR(__xludf.DUMMYFUNCTION("""COMPUTED_VALUE"""),"2 - 0
25-17 25-18 ")</f>
        <v>2 - 0
25-17 25-18 </v>
      </c>
    </row>
    <row r="11">
      <c r="A11" s="20"/>
      <c r="B11" s="26" t="str">
        <f>IFERROR(__xludf.DUMMYFUNCTION("""COMPUTED_VALUE"""),"Newell's Old Boys")</f>
        <v>Newell's Old Boys</v>
      </c>
      <c r="C11" s="28" t="str">
        <f>IFERROR(__xludf.DUMMYFUNCTION("""COMPUTED_VALUE"""),"0 - 2
15-25 14-25 ")</f>
        <v>0 - 2
15-25 14-25 </v>
      </c>
      <c r="D11" s="28" t="str">
        <f>IFERROR(__xludf.DUMMYFUNCTION("""COMPUTED_VALUE"""),"0 - 2
12-25 14-25 ")</f>
        <v>0 - 2
12-25 14-25 </v>
      </c>
      <c r="E11" s="27" t="str">
        <f>IFERROR(__xludf.DUMMYFUNCTION("""COMPUTED_VALUE"""),"")</f>
        <v/>
      </c>
      <c r="F11" s="29" t="str">
        <f>IFERROR(__xludf.DUMMYFUNCTION("""COMPUTED_VALUE"""),"0 - 2
22-25 16-25 ")</f>
        <v>0 - 2
22-25 16-25 </v>
      </c>
      <c r="G11" s="21"/>
      <c r="H11" s="30" t="str">
        <f>IFERROR(__xludf.DUMMYFUNCTION("""COMPUTED_VALUE"""),"Maxi Banco")</f>
        <v>Maxi Banco</v>
      </c>
      <c r="I11" s="28" t="str">
        <f>IFERROR(__xludf.DUMMYFUNCTION("""COMPUTED_VALUE"""),"2 - 0
25-18 25-15 ")</f>
        <v>2 - 0
25-18 25-15 </v>
      </c>
      <c r="J11" s="28" t="str">
        <f>IFERROR(__xludf.DUMMYFUNCTION("""COMPUTED_VALUE"""),"2 - 0
25-23 25-21 ")</f>
        <v>2 - 0
25-23 25-21 </v>
      </c>
      <c r="K11" s="27" t="str">
        <f>IFERROR(__xludf.DUMMYFUNCTION("""COMPUTED_VALUE"""),"")</f>
        <v/>
      </c>
      <c r="L11" s="29" t="str">
        <f>IFERROR(__xludf.DUMMYFUNCTION("""COMPUTED_VALUE"""),"2 - 0
25-10 25-19 ")</f>
        <v>2 - 0
25-10 25-19 </v>
      </c>
    </row>
    <row r="12">
      <c r="A12" s="20"/>
      <c r="B12" s="31" t="str">
        <f>IFERROR(__xludf.DUMMYFUNCTION("""COMPUTED_VALUE"""),"Humboldt Voley")</f>
        <v>Humboldt Voley</v>
      </c>
      <c r="C12" s="32" t="str">
        <f>IFERROR(__xludf.DUMMYFUNCTION("""COMPUTED_VALUE"""),"0 - 2
19-25 12-25 ")</f>
        <v>0 - 2
19-25 12-25 </v>
      </c>
      <c r="D12" s="32" t="str">
        <f>IFERROR(__xludf.DUMMYFUNCTION("""COMPUTED_VALUE"""),"0 - 2
12-25 14-25 ")</f>
        <v>0 - 2
12-25 14-25 </v>
      </c>
      <c r="E12" s="32" t="str">
        <f>IFERROR(__xludf.DUMMYFUNCTION("""COMPUTED_VALUE"""),"2 - 0
25-22 25-16 ")</f>
        <v>2 - 0
25-22 25-16 </v>
      </c>
      <c r="F12" s="33" t="str">
        <f>IFERROR(__xludf.DUMMYFUNCTION("""COMPUTED_VALUE"""),"")</f>
        <v/>
      </c>
      <c r="G12" s="21"/>
      <c r="H12" s="24" t="str">
        <f>IFERROR(__xludf.DUMMYFUNCTION("""COMPUTED_VALUE"""),"Colón SF")</f>
        <v>Colón SF</v>
      </c>
      <c r="I12" s="32" t="str">
        <f>IFERROR(__xludf.DUMMYFUNCTION("""COMPUTED_VALUE"""),"1 - 2
14-25 25-16 10-15")</f>
        <v>1 - 2
14-25 25-16 10-15</v>
      </c>
      <c r="J12" s="32" t="str">
        <f>IFERROR(__xludf.DUMMYFUNCTION("""COMPUTED_VALUE"""),"0 - 2
17-25 18-25 ")</f>
        <v>0 - 2
17-25 18-25 </v>
      </c>
      <c r="K12" s="32" t="str">
        <f>IFERROR(__xludf.DUMMYFUNCTION("""COMPUTED_VALUE"""),"0 - 2
10-25 19-25 ")</f>
        <v>0 - 2
10-25 19-25 </v>
      </c>
      <c r="L12" s="33" t="str">
        <f>IFERROR(__xludf.DUMMYFUNCTION("""COMPUTED_VALUE"""),"")</f>
        <v/>
      </c>
    </row>
  </sheetData>
  <mergeCells count="4">
    <mergeCell ref="B1:F1"/>
    <mergeCell ref="H1:L1"/>
    <mergeCell ref="B7:F7"/>
    <mergeCell ref="H7:L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0"/>
  </cols>
  <sheetData>
    <row r="1">
      <c r="A1" s="22"/>
      <c r="B1" s="34" t="str">
        <f>IFERROR(__xludf.DUMMYFUNCTION("IMPORTRANGE(""https://docs.google.com/spreadsheets/d/1rGqDBT0LB4FMee2YBr8Tyd77ICWULnu_xNghg0iadLs/edit#gid=1381430768"",""CRUCES!A1:E24"")"),"CUARTOS DE FINAL")</f>
        <v>CUARTOS DE FINAL</v>
      </c>
      <c r="C1" s="2"/>
      <c r="D1" s="2"/>
      <c r="E1" s="2"/>
      <c r="F1" s="3"/>
    </row>
    <row r="2">
      <c r="A2" s="35" t="s">
        <v>17</v>
      </c>
      <c r="B2" s="36" t="str">
        <f>IFERROR(__xludf.DUMMYFUNCTION("""COMPUTED_VALUE"""),"Argentino SC")</f>
        <v>Argentino SC</v>
      </c>
      <c r="C2" s="37">
        <f>IFERROR(__xludf.DUMMYFUNCTION("""COMPUTED_VALUE"""),2.0)</f>
        <v>2</v>
      </c>
      <c r="D2" s="37">
        <f>IFERROR(__xludf.DUMMYFUNCTION("""COMPUTED_VALUE"""),25.0)</f>
        <v>25</v>
      </c>
      <c r="E2" s="37">
        <f>IFERROR(__xludf.DUMMYFUNCTION("""COMPUTED_VALUE"""),25.0)</f>
        <v>25</v>
      </c>
      <c r="F2" s="38"/>
    </row>
    <row r="3">
      <c r="A3" s="39"/>
      <c r="B3" s="40" t="str">
        <f>IFERROR(__xludf.DUMMYFUNCTION("""COMPUTED_VALUE"""),"Libertad de Nelsón")</f>
        <v>Libertad de Nelsón</v>
      </c>
      <c r="C3" s="41">
        <f>IFERROR(__xludf.DUMMYFUNCTION("""COMPUTED_VALUE"""),0.0)</f>
        <v>0</v>
      </c>
      <c r="D3" s="41">
        <f>IFERROR(__xludf.DUMMYFUNCTION("""COMPUTED_VALUE"""),14.0)</f>
        <v>14</v>
      </c>
      <c r="E3" s="41">
        <f>IFERROR(__xludf.DUMMYFUNCTION("""COMPUTED_VALUE"""),15.0)</f>
        <v>15</v>
      </c>
      <c r="F3" s="42"/>
    </row>
    <row r="4">
      <c r="A4" s="43"/>
      <c r="B4" s="44"/>
      <c r="C4" s="44"/>
      <c r="D4" s="44"/>
      <c r="E4" s="44"/>
      <c r="F4" s="22"/>
    </row>
    <row r="5">
      <c r="A5" s="35" t="s">
        <v>18</v>
      </c>
      <c r="B5" s="36" t="str">
        <f>IFERROR(__xludf.DUMMYFUNCTION("""COMPUTED_VALUE"""),"La Emilia")</f>
        <v>La Emilia</v>
      </c>
      <c r="C5" s="37">
        <f>IFERROR(__xludf.DUMMYFUNCTION("""COMPUTED_VALUE"""),1.0)</f>
        <v>1</v>
      </c>
      <c r="D5" s="37">
        <f>IFERROR(__xludf.DUMMYFUNCTION("""COMPUTED_VALUE"""),25.0)</f>
        <v>25</v>
      </c>
      <c r="E5" s="37">
        <f>IFERROR(__xludf.DUMMYFUNCTION("""COMPUTED_VALUE"""),18.0)</f>
        <v>18</v>
      </c>
      <c r="F5" s="38">
        <f>IFERROR(__xludf.DUMMYFUNCTION("""COMPUTED_VALUE"""),8.0)</f>
        <v>8</v>
      </c>
    </row>
    <row r="6">
      <c r="A6" s="39"/>
      <c r="B6" s="40" t="str">
        <f>IFERROR(__xludf.DUMMYFUNCTION("""COMPUTED_VALUE"""),"Municipal de Reconquista")</f>
        <v>Municipal de Reconquista</v>
      </c>
      <c r="C6" s="41">
        <f>IFERROR(__xludf.DUMMYFUNCTION("""COMPUTED_VALUE"""),2.0)</f>
        <v>2</v>
      </c>
      <c r="D6" s="41">
        <f>IFERROR(__xludf.DUMMYFUNCTION("""COMPUTED_VALUE"""),19.0)</f>
        <v>19</v>
      </c>
      <c r="E6" s="41">
        <f>IFERROR(__xludf.DUMMYFUNCTION("""COMPUTED_VALUE"""),25.0)</f>
        <v>25</v>
      </c>
      <c r="F6" s="42">
        <f>IFERROR(__xludf.DUMMYFUNCTION("""COMPUTED_VALUE"""),15.0)</f>
        <v>15</v>
      </c>
    </row>
    <row r="7">
      <c r="A7" s="43"/>
      <c r="B7" s="44"/>
      <c r="C7" s="44"/>
      <c r="D7" s="44"/>
      <c r="E7" s="44"/>
      <c r="F7" s="22"/>
    </row>
    <row r="8">
      <c r="A8" s="35" t="s">
        <v>19</v>
      </c>
      <c r="B8" s="36" t="str">
        <f>IFERROR(__xludf.DUMMYFUNCTION("""COMPUTED_VALUE"""),"C.A. Sastre")</f>
        <v>C.A. Sastre</v>
      </c>
      <c r="C8" s="37">
        <f>IFERROR(__xludf.DUMMYFUNCTION("""COMPUTED_VALUE"""),2.0)</f>
        <v>2</v>
      </c>
      <c r="D8" s="37">
        <f>IFERROR(__xludf.DUMMYFUNCTION("""COMPUTED_VALUE"""),25.0)</f>
        <v>25</v>
      </c>
      <c r="E8" s="37">
        <f>IFERROR(__xludf.DUMMYFUNCTION("""COMPUTED_VALUE"""),25.0)</f>
        <v>25</v>
      </c>
      <c r="F8" s="38"/>
    </row>
    <row r="9">
      <c r="A9" s="39"/>
      <c r="B9" s="40" t="str">
        <f>IFERROR(__xludf.DUMMYFUNCTION("""COMPUTED_VALUE"""),"9 de Julio Rafaela")</f>
        <v>9 de Julio Rafaela</v>
      </c>
      <c r="C9" s="41">
        <f>IFERROR(__xludf.DUMMYFUNCTION("""COMPUTED_VALUE"""),0.0)</f>
        <v>0</v>
      </c>
      <c r="D9" s="41">
        <f>IFERROR(__xludf.DUMMYFUNCTION("""COMPUTED_VALUE"""),17.0)</f>
        <v>17</v>
      </c>
      <c r="E9" s="41">
        <f>IFERROR(__xludf.DUMMYFUNCTION("""COMPUTED_VALUE"""),11.0)</f>
        <v>11</v>
      </c>
      <c r="F9" s="42"/>
    </row>
    <row r="10">
      <c r="A10" s="43"/>
      <c r="B10" s="44"/>
      <c r="C10" s="44"/>
      <c r="D10" s="44"/>
      <c r="E10" s="44"/>
      <c r="F10" s="22"/>
    </row>
    <row r="11">
      <c r="A11" s="35" t="s">
        <v>20</v>
      </c>
      <c r="B11" s="36" t="str">
        <f>IFERROR(__xludf.DUMMYFUNCTION("""COMPUTED_VALUE"""),"Ciclón Norte Cayasta")</f>
        <v>Ciclón Norte Cayasta</v>
      </c>
      <c r="C11" s="37">
        <f>IFERROR(__xludf.DUMMYFUNCTION("""COMPUTED_VALUE"""),1.0)</f>
        <v>1</v>
      </c>
      <c r="D11" s="37">
        <f>IFERROR(__xludf.DUMMYFUNCTION("""COMPUTED_VALUE"""),16.0)</f>
        <v>16</v>
      </c>
      <c r="E11" s="37">
        <f>IFERROR(__xludf.DUMMYFUNCTION("""COMPUTED_VALUE"""),25.0)</f>
        <v>25</v>
      </c>
      <c r="F11" s="38">
        <f>IFERROR(__xludf.DUMMYFUNCTION("""COMPUTED_VALUE"""),11.0)</f>
        <v>11</v>
      </c>
    </row>
    <row r="12">
      <c r="A12" s="39"/>
      <c r="B12" s="40" t="str">
        <f>IFERROR(__xludf.DUMMYFUNCTION("""COMPUTED_VALUE"""),"Maxi Banco")</f>
        <v>Maxi Banco</v>
      </c>
      <c r="C12" s="41">
        <f>IFERROR(__xludf.DUMMYFUNCTION("""COMPUTED_VALUE"""),2.0)</f>
        <v>2</v>
      </c>
      <c r="D12" s="41">
        <f>IFERROR(__xludf.DUMMYFUNCTION("""COMPUTED_VALUE"""),25.0)</f>
        <v>25</v>
      </c>
      <c r="E12" s="41">
        <f>IFERROR(__xludf.DUMMYFUNCTION("""COMPUTED_VALUE"""),23.0)</f>
        <v>23</v>
      </c>
      <c r="F12" s="42">
        <f>IFERROR(__xludf.DUMMYFUNCTION("""COMPUTED_VALUE"""),15.0)</f>
        <v>15</v>
      </c>
    </row>
    <row r="13">
      <c r="A13" s="43"/>
      <c r="B13" s="34" t="str">
        <f>IFERROR(__xludf.DUMMYFUNCTION("""COMPUTED_VALUE"""),"SEMIFINALES")</f>
        <v>SEMIFINALES</v>
      </c>
      <c r="C13" s="2"/>
      <c r="D13" s="2"/>
      <c r="E13" s="2"/>
      <c r="F13" s="3"/>
    </row>
    <row r="14">
      <c r="A14" s="45" t="s">
        <v>21</v>
      </c>
      <c r="B14" s="46" t="str">
        <f>IFERROR(__xludf.DUMMYFUNCTION("""COMPUTED_VALUE"""),"Argentino SC")</f>
        <v>Argentino SC</v>
      </c>
      <c r="C14" s="47">
        <f>IFERROR(__xludf.DUMMYFUNCTION("""COMPUTED_VALUE"""),2.0)</f>
        <v>2</v>
      </c>
      <c r="D14" s="47">
        <f>IFERROR(__xludf.DUMMYFUNCTION("""COMPUTED_VALUE"""),25.0)</f>
        <v>25</v>
      </c>
      <c r="E14" s="47">
        <f>IFERROR(__xludf.DUMMYFUNCTION("""COMPUTED_VALUE"""),25.0)</f>
        <v>25</v>
      </c>
      <c r="F14" s="48"/>
    </row>
    <row r="15">
      <c r="A15" s="39"/>
      <c r="B15" s="49" t="str">
        <f>IFERROR(__xludf.DUMMYFUNCTION("""COMPUTED_VALUE"""),"Municipal de Reconquista")</f>
        <v>Municipal de Reconquista</v>
      </c>
      <c r="C15" s="50">
        <f>IFERROR(__xludf.DUMMYFUNCTION("""COMPUTED_VALUE"""),0.0)</f>
        <v>0</v>
      </c>
      <c r="D15" s="50">
        <f>IFERROR(__xludf.DUMMYFUNCTION("""COMPUTED_VALUE"""),17.0)</f>
        <v>17</v>
      </c>
      <c r="E15" s="50">
        <f>IFERROR(__xludf.DUMMYFUNCTION("""COMPUTED_VALUE"""),13.0)</f>
        <v>13</v>
      </c>
      <c r="F15" s="51"/>
    </row>
    <row r="16">
      <c r="A16" s="43"/>
      <c r="B16" s="44"/>
      <c r="C16" s="44"/>
      <c r="D16" s="44"/>
      <c r="E16" s="44"/>
      <c r="F16" s="22"/>
    </row>
    <row r="17">
      <c r="A17" s="45" t="s">
        <v>22</v>
      </c>
      <c r="B17" s="46" t="str">
        <f>IFERROR(__xludf.DUMMYFUNCTION("""COMPUTED_VALUE"""),"C.A. Sastre")</f>
        <v>C.A. Sastre</v>
      </c>
      <c r="C17" s="47">
        <f>IFERROR(__xludf.DUMMYFUNCTION("""COMPUTED_VALUE"""),1.0)</f>
        <v>1</v>
      </c>
      <c r="D17" s="47">
        <f>IFERROR(__xludf.DUMMYFUNCTION("""COMPUTED_VALUE"""),25.0)</f>
        <v>25</v>
      </c>
      <c r="E17" s="47">
        <f>IFERROR(__xludf.DUMMYFUNCTION("""COMPUTED_VALUE"""),25.0)</f>
        <v>25</v>
      </c>
      <c r="F17" s="48">
        <f>IFERROR(__xludf.DUMMYFUNCTION("""COMPUTED_VALUE"""),10.0)</f>
        <v>10</v>
      </c>
    </row>
    <row r="18">
      <c r="A18" s="39"/>
      <c r="B18" s="49" t="str">
        <f>IFERROR(__xludf.DUMMYFUNCTION("""COMPUTED_VALUE"""),"Maxi Banco")</f>
        <v>Maxi Banco</v>
      </c>
      <c r="C18" s="50">
        <f>IFERROR(__xludf.DUMMYFUNCTION("""COMPUTED_VALUE"""),2.0)</f>
        <v>2</v>
      </c>
      <c r="D18" s="50">
        <f>IFERROR(__xludf.DUMMYFUNCTION("""COMPUTED_VALUE"""),27.0)</f>
        <v>27</v>
      </c>
      <c r="E18" s="50">
        <f>IFERROR(__xludf.DUMMYFUNCTION("""COMPUTED_VALUE"""),21.0)</f>
        <v>21</v>
      </c>
      <c r="F18" s="51">
        <f>IFERROR(__xludf.DUMMYFUNCTION("""COMPUTED_VALUE"""),15.0)</f>
        <v>15</v>
      </c>
    </row>
    <row r="19">
      <c r="A19" s="43"/>
      <c r="B19" s="34" t="str">
        <f>IFERROR(__xludf.DUMMYFUNCTION("""COMPUTED_VALUE"""),"3° Y 4° PUESTO")</f>
        <v>3° Y 4° PUESTO</v>
      </c>
      <c r="C19" s="2"/>
      <c r="D19" s="2"/>
      <c r="E19" s="2"/>
      <c r="F19" s="3"/>
    </row>
    <row r="20">
      <c r="A20" s="52" t="s">
        <v>23</v>
      </c>
      <c r="B20" s="53" t="str">
        <f>IFERROR(__xludf.DUMMYFUNCTION("""COMPUTED_VALUE"""),"Municipal de Reconquista")</f>
        <v>Municipal de Reconquista</v>
      </c>
      <c r="C20" s="54">
        <f>IFERROR(__xludf.DUMMYFUNCTION("""COMPUTED_VALUE"""),0.0)</f>
        <v>0</v>
      </c>
      <c r="D20" s="54"/>
      <c r="E20" s="54"/>
      <c r="F20" s="55"/>
    </row>
    <row r="21">
      <c r="A21" s="39"/>
      <c r="B21" s="56" t="str">
        <f>IFERROR(__xludf.DUMMYFUNCTION("""COMPUTED_VALUE"""),"C.A. Sastre")</f>
        <v>C.A. Sastre</v>
      </c>
      <c r="C21" s="57">
        <f>IFERROR(__xludf.DUMMYFUNCTION("""COMPUTED_VALUE"""),0.0)</f>
        <v>0</v>
      </c>
      <c r="D21" s="57"/>
      <c r="E21" s="57"/>
      <c r="F21" s="58"/>
    </row>
    <row r="22">
      <c r="A22" s="43"/>
      <c r="B22" s="34" t="str">
        <f>IFERROR(__xludf.DUMMYFUNCTION("""COMPUTED_VALUE"""),"FINAL")</f>
        <v>FINAL</v>
      </c>
      <c r="C22" s="2"/>
      <c r="D22" s="2"/>
      <c r="E22" s="2"/>
      <c r="F22" s="3"/>
    </row>
    <row r="23">
      <c r="A23" s="59" t="s">
        <v>24</v>
      </c>
      <c r="B23" s="60" t="str">
        <f>IFERROR(__xludf.DUMMYFUNCTION("""COMPUTED_VALUE"""),"Argentino SC")</f>
        <v>Argentino SC</v>
      </c>
      <c r="C23" s="61">
        <f>IFERROR(__xludf.DUMMYFUNCTION("""COMPUTED_VALUE"""),0.0)</f>
        <v>0</v>
      </c>
      <c r="D23" s="61"/>
      <c r="E23" s="61"/>
      <c r="F23" s="62"/>
    </row>
    <row r="24">
      <c r="A24" s="39"/>
      <c r="B24" s="63" t="str">
        <f>IFERROR(__xludf.DUMMYFUNCTION("""COMPUTED_VALUE"""),"Maxi Banco")</f>
        <v>Maxi Banco</v>
      </c>
      <c r="C24" s="64">
        <f>IFERROR(__xludf.DUMMYFUNCTION("""COMPUTED_VALUE"""),0.0)</f>
        <v>0</v>
      </c>
      <c r="D24" s="64"/>
      <c r="E24" s="64"/>
      <c r="F24" s="65"/>
    </row>
  </sheetData>
  <mergeCells count="12">
    <mergeCell ref="A17:A18"/>
    <mergeCell ref="B19:F19"/>
    <mergeCell ref="A20:A21"/>
    <mergeCell ref="B22:F22"/>
    <mergeCell ref="A23:A24"/>
    <mergeCell ref="B1:F1"/>
    <mergeCell ref="A2:A3"/>
    <mergeCell ref="A5:A6"/>
    <mergeCell ref="A8:A9"/>
    <mergeCell ref="A11:A12"/>
    <mergeCell ref="B13:F13"/>
    <mergeCell ref="A14:A15"/>
  </mergeCells>
  <drawing r:id="rId1"/>
</worksheet>
</file>