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3" sheetId="1" r:id="rId1"/>
    <sheet name="4" sheetId="2" r:id="rId2"/>
    <sheet name="5" sheetId="3" r:id="rId3"/>
    <sheet name="6" sheetId="4" r:id="rId4"/>
    <sheet name="7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B16" i="5"/>
  <c r="B13" i="5"/>
  <c r="B12" i="5"/>
  <c r="E8" i="5" s="1"/>
  <c r="E9" i="5"/>
  <c r="E7" i="5"/>
  <c r="E6" i="5"/>
  <c r="E5" i="5"/>
  <c r="B7" i="5"/>
  <c r="B5" i="5"/>
  <c r="B23" i="5"/>
  <c r="B22" i="5"/>
  <c r="B21" i="5"/>
  <c r="B20" i="5"/>
  <c r="B19" i="5"/>
  <c r="B18" i="5"/>
  <c r="B17" i="5"/>
  <c r="B14" i="5"/>
  <c r="B15" i="5"/>
  <c r="B11" i="5"/>
  <c r="B9" i="5"/>
  <c r="B10" i="5"/>
  <c r="B8" i="5"/>
  <c r="B6" i="5"/>
  <c r="B26" i="4" l="1"/>
  <c r="B25" i="4"/>
  <c r="B24" i="4"/>
  <c r="B22" i="4"/>
  <c r="B23" i="4"/>
  <c r="B21" i="4"/>
  <c r="B20" i="4"/>
  <c r="B19" i="4"/>
  <c r="B15" i="4"/>
  <c r="C14" i="4"/>
  <c r="B14" i="4"/>
  <c r="C10" i="4"/>
  <c r="D10" i="4"/>
  <c r="E10" i="4"/>
  <c r="F10" i="4"/>
  <c r="G10" i="4"/>
  <c r="H10" i="4"/>
  <c r="B10" i="4"/>
  <c r="C9" i="4"/>
  <c r="D9" i="4"/>
  <c r="E9" i="4"/>
  <c r="F9" i="4"/>
  <c r="G9" i="4"/>
  <c r="H9" i="4"/>
  <c r="B9" i="4"/>
  <c r="B44" i="3" l="1"/>
  <c r="B42" i="3"/>
  <c r="C41" i="3"/>
  <c r="D41" i="3"/>
  <c r="E41" i="3"/>
  <c r="B41" i="3"/>
  <c r="C40" i="3"/>
  <c r="D40" i="3"/>
  <c r="E40" i="3"/>
  <c r="B40" i="3"/>
  <c r="B38" i="3"/>
  <c r="C37" i="3"/>
  <c r="D37" i="3"/>
  <c r="E37" i="3"/>
  <c r="B37" i="3"/>
  <c r="C36" i="3"/>
  <c r="D36" i="3"/>
  <c r="E36" i="3"/>
  <c r="B36" i="3"/>
  <c r="C35" i="3"/>
  <c r="D35" i="3"/>
  <c r="E35" i="3"/>
  <c r="B35" i="3"/>
  <c r="B32" i="3"/>
  <c r="C31" i="3"/>
  <c r="D31" i="3"/>
  <c r="E31" i="3"/>
  <c r="B31" i="3"/>
  <c r="C30" i="3"/>
  <c r="D30" i="3"/>
  <c r="E30" i="3"/>
  <c r="B30" i="3"/>
  <c r="B27" i="3"/>
  <c r="E27" i="3"/>
  <c r="D27" i="3"/>
  <c r="C27" i="3"/>
  <c r="B26" i="3"/>
  <c r="E26" i="3"/>
  <c r="D26" i="3"/>
  <c r="C26" i="3"/>
  <c r="E25" i="3"/>
  <c r="D25" i="3"/>
  <c r="C25" i="3"/>
  <c r="B25" i="3"/>
  <c r="D19" i="3"/>
  <c r="D20" i="3"/>
  <c r="D18" i="3"/>
  <c r="B20" i="3"/>
  <c r="B19" i="3"/>
  <c r="B18" i="3"/>
  <c r="B15" i="3"/>
  <c r="B14" i="3"/>
  <c r="B13" i="3"/>
  <c r="B10" i="3"/>
  <c r="B9" i="3"/>
  <c r="B28" i="2" l="1"/>
  <c r="B27" i="2"/>
  <c r="B15" i="2"/>
  <c r="B16" i="2"/>
  <c r="B21" i="2" s="1"/>
  <c r="E21" i="2"/>
  <c r="D21" i="2"/>
  <c r="C21" i="2"/>
  <c r="B25" i="2"/>
  <c r="B26" i="2" s="1"/>
  <c r="E20" i="2"/>
  <c r="D20" i="2"/>
  <c r="C20" i="2"/>
  <c r="B20" i="2"/>
  <c r="I15" i="1"/>
  <c r="I16" i="1"/>
  <c r="I17" i="1"/>
  <c r="I18" i="1"/>
  <c r="I14" i="1"/>
  <c r="H15" i="1"/>
  <c r="H16" i="1"/>
  <c r="H17" i="1"/>
  <c r="H18" i="1"/>
  <c r="H14" i="1"/>
  <c r="B18" i="1"/>
  <c r="G15" i="1"/>
  <c r="G16" i="1"/>
  <c r="G17" i="1"/>
  <c r="G18" i="1"/>
  <c r="G14" i="1"/>
  <c r="B17" i="1"/>
  <c r="F15" i="1"/>
  <c r="F16" i="1"/>
  <c r="F17" i="1"/>
  <c r="F18" i="1"/>
  <c r="F14" i="1"/>
  <c r="B16" i="1"/>
  <c r="B14" i="1"/>
  <c r="B15" i="1"/>
  <c r="B9" i="1"/>
  <c r="B21" i="1" l="1"/>
  <c r="B19" i="1"/>
  <c r="B20" i="1" s="1"/>
</calcChain>
</file>

<file path=xl/sharedStrings.xml><?xml version="1.0" encoding="utf-8"?>
<sst xmlns="http://schemas.openxmlformats.org/spreadsheetml/2006/main" count="175" uniqueCount="166">
  <si>
    <t>Параметр</t>
  </si>
  <si>
    <t>Вредный компонент</t>
  </si>
  <si>
    <t>ПДК,мг/л</t>
  </si>
  <si>
    <t>Q, м3 /с</t>
  </si>
  <si>
    <t>q, м3 /с</t>
  </si>
  <si>
    <t>V, м/с</t>
  </si>
  <si>
    <t>H, м</t>
  </si>
  <si>
    <t>L, м</t>
  </si>
  <si>
    <t>LS, м</t>
  </si>
  <si>
    <t>С, мг/л</t>
  </si>
  <si>
    <t>ε</t>
  </si>
  <si>
    <t>Lф/Lпр</t>
  </si>
  <si>
    <t>Cl</t>
  </si>
  <si>
    <t>D</t>
  </si>
  <si>
    <t>a</t>
  </si>
  <si>
    <t>y</t>
  </si>
  <si>
    <t>K</t>
  </si>
  <si>
    <t>C ст. пред</t>
  </si>
  <si>
    <t>ПДС</t>
  </si>
  <si>
    <t>Св</t>
  </si>
  <si>
    <t>для графика</t>
  </si>
  <si>
    <t>B</t>
  </si>
  <si>
    <t>Y</t>
  </si>
  <si>
    <t>Определяется L это максимум т.е. 1500 а LS это шаг начиная с 0 итог 300,600,900 и тд</t>
  </si>
  <si>
    <t>С</t>
  </si>
  <si>
    <t>Cu</t>
  </si>
  <si>
    <t>Сф Cu</t>
  </si>
  <si>
    <t>Сф Mn</t>
  </si>
  <si>
    <t>Сф V</t>
  </si>
  <si>
    <t>Сф NO3</t>
  </si>
  <si>
    <t>С(х) Cu</t>
  </si>
  <si>
    <t>С(х) Mn</t>
  </si>
  <si>
    <t>С(х) V</t>
  </si>
  <si>
    <t>С(х) NO3</t>
  </si>
  <si>
    <t>Рос</t>
  </si>
  <si>
    <t>W</t>
  </si>
  <si>
    <t>M</t>
  </si>
  <si>
    <t>pП, т/м3</t>
  </si>
  <si>
    <t>S, га</t>
  </si>
  <si>
    <t>H,м</t>
  </si>
  <si>
    <t>m</t>
  </si>
  <si>
    <t>Mn</t>
  </si>
  <si>
    <t>V</t>
  </si>
  <si>
    <t>NO3</t>
  </si>
  <si>
    <t>C(ос)</t>
  </si>
  <si>
    <t>С см</t>
  </si>
  <si>
    <t xml:space="preserve"> </t>
  </si>
  <si>
    <t>m (оc )</t>
  </si>
  <si>
    <t>С(ОС)</t>
  </si>
  <si>
    <t>мне лень было делать if для своего вариант нужно изменить С(ос) и СФ от m (ос) в моем случае это V</t>
  </si>
  <si>
    <t>h</t>
  </si>
  <si>
    <t>d2</t>
  </si>
  <si>
    <t>d3</t>
  </si>
  <si>
    <t>d4</t>
  </si>
  <si>
    <t>k1</t>
  </si>
  <si>
    <t>k2</t>
  </si>
  <si>
    <t>M1</t>
  </si>
  <si>
    <t>qт</t>
  </si>
  <si>
    <t>f</t>
  </si>
  <si>
    <t>e</t>
  </si>
  <si>
    <t>M(2i)</t>
  </si>
  <si>
    <t>M(3i)</t>
  </si>
  <si>
    <t>M(4i)</t>
  </si>
  <si>
    <t>MН(2)</t>
  </si>
  <si>
    <t>MЛ(2)</t>
  </si>
  <si>
    <t>MН(3)</t>
  </si>
  <si>
    <t>MН(4)</t>
  </si>
  <si>
    <t>MЛ(3)</t>
  </si>
  <si>
    <t>MЛ(4)</t>
  </si>
  <si>
    <t>Валовый выброс ЗВ Mi , т/год</t>
  </si>
  <si>
    <t>Загрязняющие вещества</t>
  </si>
  <si>
    <t>CO</t>
  </si>
  <si>
    <t>Сажа</t>
  </si>
  <si>
    <t xml:space="preserve"> NO2</t>
  </si>
  <si>
    <t>SO2</t>
  </si>
  <si>
    <t>Выброс в пределах установленных лимитов MЛi = k2 · Mi , т/год</t>
  </si>
  <si>
    <t>Выбросы, не превышающие ПДВ</t>
  </si>
  <si>
    <t>Базовый норматив платы за 1 т ЗВ HбНi , руб./т</t>
  </si>
  <si>
    <t>Ставка платы за выброс 1 т ЗВ СНi = НбНi · КЭ · КГ, руб./т</t>
  </si>
  <si>
    <t>Плата за выброс ПНi = CHi · MНi , руб./год</t>
  </si>
  <si>
    <t>Выброс в пределах установленных лимитов</t>
  </si>
  <si>
    <t>Базовый норматив платы за 1 т ЗВ HбЛi , руб./т</t>
  </si>
  <si>
    <t>Ставка платы за выброс 1 т ЗВ СЛi = НбЛi · КЭ · КГ, руб./т</t>
  </si>
  <si>
    <t>(МЛi - MНi), т/год</t>
  </si>
  <si>
    <t>Плата за выброс ПЛi = CЛi · (МЛi - MНi), руб./год</t>
  </si>
  <si>
    <t>Плата за выброс ПЛ</t>
  </si>
  <si>
    <t>Сверхлимитный выброс</t>
  </si>
  <si>
    <t>(Мi - МЛi), т/год</t>
  </si>
  <si>
    <t>Плата за выброс ПСЛi = 5 СЛi · (Мi - МЛi), руб./год</t>
  </si>
  <si>
    <t>Плата за выброс СУММА(ПСЛi руб./год)</t>
  </si>
  <si>
    <t>Общая плата</t>
  </si>
  <si>
    <t>П = (ПН+ПЛ+ПСЛ)·КИ, руб./год</t>
  </si>
  <si>
    <t>Рф</t>
  </si>
  <si>
    <t>КГ</t>
  </si>
  <si>
    <t>Норматив предельно допустимого выброса ПДВ MH</t>
  </si>
  <si>
    <t>Плата за выброс Сумма</t>
  </si>
  <si>
    <t>Ки</t>
  </si>
  <si>
    <t>Наименование оборудования</t>
  </si>
  <si>
    <t>Q</t>
  </si>
  <si>
    <t>p</t>
  </si>
  <si>
    <t>µ</t>
  </si>
  <si>
    <t>dм</t>
  </si>
  <si>
    <t>С вх</t>
  </si>
  <si>
    <t>р</t>
  </si>
  <si>
    <t>Крекинг установка</t>
  </si>
  <si>
    <t>проверки dm &gt; 2*d(t) 50</t>
  </si>
  <si>
    <t>ЦН-24</t>
  </si>
  <si>
    <t>ЦН-15у</t>
  </si>
  <si>
    <t>ЦН-15</t>
  </si>
  <si>
    <t>ЦН-11</t>
  </si>
  <si>
    <t>СДК-ЦН-33</t>
  </si>
  <si>
    <t>СК-ЦН-34</t>
  </si>
  <si>
    <t>СК-ЦН-34м</t>
  </si>
  <si>
    <t>d(t) 50</t>
  </si>
  <si>
    <t>Проверка</t>
  </si>
  <si>
    <t>Циклон</t>
  </si>
  <si>
    <t>ТУТ надо выбрать истину с максимальным значением ниже</t>
  </si>
  <si>
    <t>w оп</t>
  </si>
  <si>
    <t>тут  нужно округлить что бы были значение 100, 200, 300 и тд</t>
  </si>
  <si>
    <t>w</t>
  </si>
  <si>
    <t>ζ</t>
  </si>
  <si>
    <t>ζ500</t>
  </si>
  <si>
    <t>∆P</t>
  </si>
  <si>
    <t>X</t>
  </si>
  <si>
    <t>d50</t>
  </si>
  <si>
    <t>lg б</t>
  </si>
  <si>
    <t>lg бт</t>
  </si>
  <si>
    <t>Ф(X)</t>
  </si>
  <si>
    <t>η</t>
  </si>
  <si>
    <t>ТУТ надо выбрать по значению X Рисунок выше</t>
  </si>
  <si>
    <t>2* d(t) 50</t>
  </si>
  <si>
    <t>Cвых</t>
  </si>
  <si>
    <t>?</t>
  </si>
  <si>
    <t>ТР, га</t>
  </si>
  <si>
    <t>К1</t>
  </si>
  <si>
    <t>Э, м3 /су</t>
  </si>
  <si>
    <t>Е, м3 /сут</t>
  </si>
  <si>
    <t>Л, %</t>
  </si>
  <si>
    <t>В, км</t>
  </si>
  <si>
    <t>К3</t>
  </si>
  <si>
    <t>К4</t>
  </si>
  <si>
    <t>Д1</t>
  </si>
  <si>
    <t>Д2</t>
  </si>
  <si>
    <t>Д1(max)</t>
  </si>
  <si>
    <t>Д1(min)</t>
  </si>
  <si>
    <t>Д2(юж.1к)</t>
  </si>
  <si>
    <t>Д2(юж.2к)</t>
  </si>
  <si>
    <t>Д2(сев.1к)</t>
  </si>
  <si>
    <t>Д2(сев.2к)</t>
  </si>
  <si>
    <t>Д3</t>
  </si>
  <si>
    <t>Д4</t>
  </si>
  <si>
    <t>Д4(жар кл.)</t>
  </si>
  <si>
    <t>Д4(ум кл)</t>
  </si>
  <si>
    <t>Д5</t>
  </si>
  <si>
    <t>Д5(лес, max ум кл)</t>
  </si>
  <si>
    <t>Д5(лес,min ум кл)</t>
  </si>
  <si>
    <t>Д5(лес, min жар кл)</t>
  </si>
  <si>
    <t>Д5(лес, max жар кл)</t>
  </si>
  <si>
    <t>Д5(степь,min ум кл)</t>
  </si>
  <si>
    <t>Д5(степь, max ум кл)</t>
  </si>
  <si>
    <t>Д5(степь, min жар кл)</t>
  </si>
  <si>
    <t>Д5(степь, max жар кл)</t>
  </si>
  <si>
    <t>Д6</t>
  </si>
  <si>
    <t>Д6(min)</t>
  </si>
  <si>
    <t>Д6(max)</t>
  </si>
  <si>
    <t>ВНИМАНИЕ Я ХЗ КАКИЕ ИЗ списка Д1-Д6 выбирать поэтому сделал рандомные в методичке хз что правда нужно всё расчеты в график, то по варианту смотреть территорию когда она не указана…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</si>
</sst>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  <charset val="204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/>
    <xf numFmtId="2" fontId="2" fillId="0" borderId="0" xfId="0" applyNumberFormat="1" applyFont="1"/>
    <xf numFmtId="0" fontId="0" fillId="0" borderId="1" xfId="0" applyBorder="1"/>
    <xf numFmtId="0" fontId="0" fillId="2" borderId="1" xfId="0" applyFill="1" applyBorder="1"/>
    <xf numFmtId="0" fontId="4" fillId="3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0" xfId="0" applyFill="1"/>
    <xf numFmtId="0" fontId="0" fillId="3" borderId="1" xfId="0" applyFill="1" applyBorder="1"/>
    <xf numFmtId="1" fontId="0" fillId="0" borderId="4" xfId="0" applyNumberFormat="1" applyBorder="1"/>
    <xf numFmtId="0" fontId="8" fillId="2" borderId="1" xfId="1" applyFont="1" applyFill="1" applyBorder="1" applyAlignment="1">
      <alignment horizontal="center" vertical="center"/>
    </xf>
    <xf numFmtId="11" fontId="8" fillId="2" borderId="1" xfId="1" applyNumberFormat="1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8" fillId="5" borderId="1" xfId="1" applyFont="1" applyFill="1" applyBorder="1" applyAlignment="1">
      <alignment horizontal="center" vertical="center"/>
    </xf>
    <xf numFmtId="0" fontId="0" fillId="2" borderId="5" xfId="0" applyFill="1" applyBorder="1"/>
    <xf numFmtId="0" fontId="0" fillId="5" borderId="1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3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Border="1"/>
    <xf numFmtId="0" fontId="1" fillId="0" borderId="0" xfId="0" applyFont="1" applyFill="1" applyBorder="1"/>
    <xf numFmtId="0" fontId="1" fillId="0" borderId="0" xfId="0" applyFont="1" applyFill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'3'!$E$14:$E$18</c:f>
              <c:strCache>
                <c:ptCount val="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'3'!$E$14:$E$18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</c:numCache>
            </c:numRef>
          </c:cat>
          <c:val>
            <c:numRef>
              <c:f>'3'!$I$14:$I$18</c:f>
              <c:numCache>
                <c:formatCode>General</c:formatCode>
                <c:ptCount val="5"/>
                <c:pt idx="0">
                  <c:v>1.7443766231884463</c:v>
                </c:pt>
                <c:pt idx="1">
                  <c:v>1.3038427808143904</c:v>
                </c:pt>
                <c:pt idx="2">
                  <c:v>1.0661776829771317</c:v>
                </c:pt>
                <c:pt idx="3">
                  <c:v>0.91028390388701874</c:v>
                </c:pt>
                <c:pt idx="4">
                  <c:v>0.79788827497519499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D-4D4A-AC59-7CB068C6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21039"/>
        <c:axId val="1423318959"/>
      </c:lineChart>
      <c:catAx>
        <c:axId val="14233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318959"/>
        <c:crosses val="autoZero"/>
        <c:auto val="1"/>
        <c:lblAlgn val="ctr"/>
        <c:lblOffset val="100"/>
        <c:noMultiLvlLbl val="0"/>
      </c:catAx>
      <c:valAx>
        <c:axId val="14233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3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'7'!$D$5:$D$10</c:f>
              <c:strCache>
                <c:ptCount val="6"/>
                <c:pt idx="0">
                  <c:v>Д1</c:v>
                </c:pt>
                <c:pt idx="1">
                  <c:v>Д2</c:v>
                </c:pt>
                <c:pt idx="2">
                  <c:v>Д3</c:v>
                </c:pt>
                <c:pt idx="3">
                  <c:v>Д4</c:v>
                </c:pt>
                <c:pt idx="4">
                  <c:v>Д5</c:v>
                </c:pt>
                <c:pt idx="5">
                  <c:v>Д6</c:v>
                </c:pt>
              </c:strCache>
            </c:strRef>
          </c:cat>
          <c:val>
            <c:numRef>
              <c:f>'7'!$E$5:$E$10</c:f>
              <c:numCache>
                <c:formatCode>0</c:formatCode>
                <c:ptCount val="6"/>
                <c:pt idx="0">
                  <c:v>326123.33333333331</c:v>
                </c:pt>
                <c:pt idx="1">
                  <c:v>750000</c:v>
                </c:pt>
                <c:pt idx="2">
                  <c:v>440266.5</c:v>
                </c:pt>
                <c:pt idx="3">
                  <c:v>1174044</c:v>
                </c:pt>
                <c:pt idx="4">
                  <c:v>133333.33333333334</c:v>
                </c:pt>
                <c:pt idx="5">
                  <c:v>29351.1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C-4900-8E91-E3D455DA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136208"/>
        <c:axId val="1600137040"/>
      </c:barChart>
      <c:catAx>
        <c:axId val="16001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137040"/>
        <c:crosses val="autoZero"/>
        <c:auto val="1"/>
        <c:lblAlgn val="ctr"/>
        <c:lblOffset val="100"/>
        <c:noMultiLvlLbl val="0"/>
      </c:catAx>
      <c:valAx>
        <c:axId val="16001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1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</xdr:colOff>
      <xdr:row>15</xdr:row>
      <xdr:rowOff>17860</xdr:rowOff>
    </xdr:from>
    <xdr:to>
      <xdr:col>0</xdr:col>
      <xdr:colOff>257585</xdr:colOff>
      <xdr:row>16</xdr:row>
      <xdr:rowOff>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" y="2875360"/>
          <a:ext cx="245679" cy="172640"/>
        </a:xfrm>
        <a:prstGeom prst="rect">
          <a:avLst/>
        </a:prstGeom>
      </xdr:spPr>
    </xdr:pic>
    <xdr:clientData/>
  </xdr:twoCellAnchor>
  <xdr:twoCellAnchor>
    <xdr:from>
      <xdr:col>11</xdr:col>
      <xdr:colOff>178594</xdr:colOff>
      <xdr:row>10</xdr:row>
      <xdr:rowOff>158354</xdr:rowOff>
    </xdr:from>
    <xdr:to>
      <xdr:col>18</xdr:col>
      <xdr:colOff>500063</xdr:colOff>
      <xdr:row>25</xdr:row>
      <xdr:rowOff>44054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355164</xdr:colOff>
      <xdr:row>5</xdr:row>
      <xdr:rowOff>58230</xdr:rowOff>
    </xdr:from>
    <xdr:to>
      <xdr:col>15</xdr:col>
      <xdr:colOff>120704</xdr:colOff>
      <xdr:row>10</xdr:row>
      <xdr:rowOff>16067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1835" y="1010730"/>
          <a:ext cx="5269987" cy="9103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168267</xdr:colOff>
      <xdr:row>25</xdr:row>
      <xdr:rowOff>104850</xdr:rowOff>
    </xdr:from>
    <xdr:to>
      <xdr:col>24</xdr:col>
      <xdr:colOff>495153</xdr:colOff>
      <xdr:row>36</xdr:row>
      <xdr:rowOff>56969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198" y="4867350"/>
          <a:ext cx="8268765" cy="20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241789</xdr:colOff>
      <xdr:row>5</xdr:row>
      <xdr:rowOff>183173</xdr:rowOff>
    </xdr:from>
    <xdr:to>
      <xdr:col>24</xdr:col>
      <xdr:colOff>526515</xdr:colOff>
      <xdr:row>26</xdr:row>
      <xdr:rowOff>39816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7347" y="1135673"/>
          <a:ext cx="8190476" cy="38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73269</xdr:colOff>
      <xdr:row>16</xdr:row>
      <xdr:rowOff>168519</xdr:rowOff>
    </xdr:from>
    <xdr:to>
      <xdr:col>8</xdr:col>
      <xdr:colOff>609497</xdr:colOff>
      <xdr:row>22</xdr:row>
      <xdr:rowOff>92186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79481" y="3216519"/>
          <a:ext cx="4457143" cy="10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455341</xdr:colOff>
      <xdr:row>4</xdr:row>
      <xdr:rowOff>96643</xdr:rowOff>
    </xdr:from>
    <xdr:to>
      <xdr:col>14</xdr:col>
      <xdr:colOff>157975</xdr:colOff>
      <xdr:row>18</xdr:row>
      <xdr:rowOff>172843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115" zoomScaleNormal="115" workbookViewId="0">
      <selection activeCell="N6" sqref="N6"/>
    </sheetView>
  </sheetViews>
  <sheetFormatPr defaultRowHeight="15" x14ac:dyDescent="0.25"/>
  <cols>
    <col min="1" max="1" width="20.140625" bestFit="1" customWidth="1"/>
    <col min="2" max="2" width="14.85546875" customWidth="1"/>
    <col min="5" max="5" width="14" customWidth="1"/>
    <col min="6" max="6" width="14.28515625" customWidth="1"/>
    <col min="7" max="7" width="12.28515625" customWidth="1"/>
    <col min="8" max="8" width="11.7109375" customWidth="1"/>
  </cols>
  <sheetData>
    <row r="1" spans="1:14" x14ac:dyDescent="0.25">
      <c r="A1" s="4" t="s">
        <v>0</v>
      </c>
      <c r="B1" s="3"/>
    </row>
    <row r="2" spans="1:14" x14ac:dyDescent="0.25">
      <c r="A2" s="4" t="s">
        <v>1</v>
      </c>
      <c r="B2" s="3" t="s">
        <v>12</v>
      </c>
    </row>
    <row r="3" spans="1:14" x14ac:dyDescent="0.25">
      <c r="A3" s="4" t="s">
        <v>2</v>
      </c>
      <c r="B3" s="3">
        <v>1</v>
      </c>
    </row>
    <row r="4" spans="1:14" x14ac:dyDescent="0.25">
      <c r="A4" s="4" t="s">
        <v>3</v>
      </c>
      <c r="B4" s="3">
        <v>80</v>
      </c>
    </row>
    <row r="5" spans="1:14" x14ac:dyDescent="0.25">
      <c r="A5" s="4" t="s">
        <v>4</v>
      </c>
      <c r="B5" s="3">
        <v>1.1000000000000001</v>
      </c>
    </row>
    <row r="6" spans="1:14" x14ac:dyDescent="0.25">
      <c r="A6" s="4" t="s">
        <v>5</v>
      </c>
      <c r="B6" s="3">
        <v>0.6</v>
      </c>
    </row>
    <row r="7" spans="1:14" x14ac:dyDescent="0.25">
      <c r="A7" s="4" t="s">
        <v>6</v>
      </c>
      <c r="B7" s="3">
        <v>2</v>
      </c>
    </row>
    <row r="8" spans="1:14" x14ac:dyDescent="0.25">
      <c r="A8" s="4" t="s">
        <v>7</v>
      </c>
      <c r="B8" s="3">
        <v>1500</v>
      </c>
    </row>
    <row r="9" spans="1:14" x14ac:dyDescent="0.25">
      <c r="A9" s="4" t="s">
        <v>8</v>
      </c>
      <c r="B9" s="3">
        <f>B8/5</f>
        <v>300</v>
      </c>
    </row>
    <row r="10" spans="1:14" x14ac:dyDescent="0.25">
      <c r="A10" s="4" t="s">
        <v>9</v>
      </c>
      <c r="B10" s="3">
        <v>5.5</v>
      </c>
    </row>
    <row r="11" spans="1:14" x14ac:dyDescent="0.25">
      <c r="A11" s="4" t="s">
        <v>10</v>
      </c>
      <c r="B11" s="3">
        <v>1</v>
      </c>
      <c r="E11" s="27" t="s">
        <v>23</v>
      </c>
      <c r="F11" s="27"/>
      <c r="G11" s="27"/>
      <c r="H11" s="27"/>
      <c r="I11" s="27"/>
      <c r="J11" s="27"/>
      <c r="K11" s="27"/>
    </row>
    <row r="12" spans="1:14" x14ac:dyDescent="0.25">
      <c r="A12" s="4" t="s">
        <v>11</v>
      </c>
      <c r="B12" s="3">
        <v>1</v>
      </c>
      <c r="M12" s="11"/>
      <c r="N12" s="12"/>
    </row>
    <row r="13" spans="1:14" x14ac:dyDescent="0.25">
      <c r="E13" s="7" t="s">
        <v>20</v>
      </c>
      <c r="F13" s="8" t="s">
        <v>21</v>
      </c>
      <c r="G13" s="8" t="s">
        <v>22</v>
      </c>
      <c r="H13" s="8" t="s">
        <v>16</v>
      </c>
      <c r="I13" s="8" t="s">
        <v>24</v>
      </c>
      <c r="M13" s="13"/>
      <c r="N13" s="12"/>
    </row>
    <row r="14" spans="1:14" x14ac:dyDescent="0.25">
      <c r="A14" s="4" t="s">
        <v>13</v>
      </c>
      <c r="B14" s="4">
        <f>B6*B7/200</f>
        <v>6.0000000000000001E-3</v>
      </c>
      <c r="E14" s="9">
        <v>300</v>
      </c>
      <c r="F14" s="8">
        <f>EXP(-1*$B$15*($E14)^(1/3))</f>
        <v>0.30777032759223411</v>
      </c>
      <c r="G14" s="8">
        <f>(1-$F14)/(1+($B$4/$B$5)*$F14)</f>
        <v>2.9603596347656497E-2</v>
      </c>
      <c r="H14" s="8">
        <f>($G14*$B$4+$B$5)/$B$5</f>
        <v>3.1529888252841087</v>
      </c>
      <c r="I14" s="8">
        <f>$B$10/$H14</f>
        <v>1.7443766231884463</v>
      </c>
      <c r="M14" s="13"/>
      <c r="N14" s="12"/>
    </row>
    <row r="15" spans="1:14" x14ac:dyDescent="0.25">
      <c r="A15" s="4" t="s">
        <v>14</v>
      </c>
      <c r="B15" s="4">
        <f>B11*B12*(B14/B5)^(1/3)</f>
        <v>0.17602979710878161</v>
      </c>
      <c r="E15" s="9">
        <v>600</v>
      </c>
      <c r="F15" s="8">
        <f t="shared" ref="F15:F18" si="0">EXP(-1*$B$15*($E15)^(1/3))</f>
        <v>0.22657193073647058</v>
      </c>
      <c r="G15" s="8">
        <f t="shared" ref="G15:G18" si="1">(1-$F15)/(1+($B$4/$B$5)*$F15)</f>
        <v>4.4251624975646248E-2</v>
      </c>
      <c r="H15" s="8">
        <f t="shared" ref="H15:H18" si="2">($G15*$B$4+$B$5)/$B$5</f>
        <v>4.2182999982288178</v>
      </c>
      <c r="I15" s="8">
        <f t="shared" ref="I15:I18" si="3">$B$10/$H15</f>
        <v>1.3038427808143904</v>
      </c>
      <c r="M15" s="14"/>
      <c r="N15" s="12"/>
    </row>
    <row r="16" spans="1:14" x14ac:dyDescent="0.25">
      <c r="A16" s="4"/>
      <c r="B16" s="4">
        <f>EXP(-1*B15*(B8)^(1/3))</f>
        <v>0.13331531613747344</v>
      </c>
      <c r="E16" s="10">
        <v>900</v>
      </c>
      <c r="F16" s="8">
        <f t="shared" si="0"/>
        <v>0.18276593202146676</v>
      </c>
      <c r="G16" s="8">
        <f t="shared" si="1"/>
        <v>5.7180953824534406E-2</v>
      </c>
      <c r="H16" s="8">
        <f t="shared" si="2"/>
        <v>5.1586148236025018</v>
      </c>
      <c r="I16" s="8">
        <f t="shared" si="3"/>
        <v>1.0661776829771317</v>
      </c>
      <c r="M16" s="14"/>
      <c r="N16" s="12"/>
    </row>
    <row r="17" spans="1:14" x14ac:dyDescent="0.25">
      <c r="A17" s="4" t="s">
        <v>15</v>
      </c>
      <c r="B17" s="4">
        <f>(1-B16)/(1+($B$4/$B$5)*B16)</f>
        <v>8.1031440424539469E-2</v>
      </c>
      <c r="E17" s="10">
        <v>1200</v>
      </c>
      <c r="F17" s="8">
        <f t="shared" si="0"/>
        <v>0.15403187410281186</v>
      </c>
      <c r="G17" s="8">
        <f t="shared" si="1"/>
        <v>6.9328476590734406E-2</v>
      </c>
      <c r="H17" s="8">
        <f t="shared" si="2"/>
        <v>6.0420710247806833</v>
      </c>
      <c r="I17" s="8">
        <f t="shared" si="3"/>
        <v>0.91028390388701874</v>
      </c>
      <c r="M17" s="14"/>
      <c r="N17" s="12"/>
    </row>
    <row r="18" spans="1:14" x14ac:dyDescent="0.25">
      <c r="A18" s="4" t="s">
        <v>16</v>
      </c>
      <c r="B18" s="4">
        <f>(B17*$B$4+$B$5)/$B$5</f>
        <v>6.8931956672392332</v>
      </c>
      <c r="E18" s="10">
        <v>1500</v>
      </c>
      <c r="F18" s="8">
        <f t="shared" si="0"/>
        <v>0.13331531613747344</v>
      </c>
      <c r="G18" s="8">
        <f t="shared" si="1"/>
        <v>8.1031440424539469E-2</v>
      </c>
      <c r="H18" s="8">
        <f t="shared" si="2"/>
        <v>6.8931956672392332</v>
      </c>
      <c r="I18" s="8">
        <f t="shared" si="3"/>
        <v>0.79788827497519499</v>
      </c>
    </row>
    <row r="19" spans="1:14" x14ac:dyDescent="0.25">
      <c r="A19" s="4" t="s">
        <v>17</v>
      </c>
      <c r="B19" s="4">
        <f>B18*B3</f>
        <v>6.8931956672392332</v>
      </c>
    </row>
    <row r="20" spans="1:14" x14ac:dyDescent="0.25">
      <c r="A20" s="4" t="s">
        <v>18</v>
      </c>
      <c r="B20" s="4">
        <f>B19*B5/B10</f>
        <v>1.3786391334478467</v>
      </c>
    </row>
    <row r="21" spans="1:14" x14ac:dyDescent="0.25">
      <c r="A21" s="4" t="s">
        <v>19</v>
      </c>
      <c r="B21" s="4">
        <f>B10/B18</f>
        <v>0.79788827497519499</v>
      </c>
    </row>
    <row r="27" spans="1:14" x14ac:dyDescent="0.25">
      <c r="F27" s="1"/>
      <c r="G27" s="1"/>
    </row>
    <row r="28" spans="1:14" ht="15.75" x14ac:dyDescent="0.25">
      <c r="F28" s="1"/>
      <c r="G28" s="2"/>
    </row>
  </sheetData>
  <mergeCells count="1">
    <mergeCell ref="E11:K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zoomScale="160" zoomScaleNormal="160" workbookViewId="0">
      <selection activeCell="B26" sqref="B26"/>
    </sheetView>
  </sheetViews>
  <sheetFormatPr defaultRowHeight="15" x14ac:dyDescent="0.25"/>
  <cols>
    <col min="1" max="1" width="20.85546875" style="15" bestFit="1" customWidth="1"/>
  </cols>
  <sheetData>
    <row r="2" spans="1:2" x14ac:dyDescent="0.25">
      <c r="A2" s="16" t="s">
        <v>38</v>
      </c>
      <c r="B2" s="3">
        <v>1.1000000000000001</v>
      </c>
    </row>
    <row r="3" spans="1:2" x14ac:dyDescent="0.25">
      <c r="A3" s="16" t="s">
        <v>39</v>
      </c>
      <c r="B3" s="3">
        <v>0.25</v>
      </c>
    </row>
    <row r="4" spans="1:2" x14ac:dyDescent="0.25">
      <c r="A4" s="16" t="s">
        <v>37</v>
      </c>
      <c r="B4" s="3">
        <v>1.56</v>
      </c>
    </row>
    <row r="5" spans="1:2" x14ac:dyDescent="0.25">
      <c r="A5" s="4" t="s">
        <v>26</v>
      </c>
      <c r="B5" s="3">
        <v>0.8</v>
      </c>
    </row>
    <row r="6" spans="1:2" x14ac:dyDescent="0.25">
      <c r="A6" s="16" t="s">
        <v>27</v>
      </c>
      <c r="B6" s="3">
        <v>350</v>
      </c>
    </row>
    <row r="7" spans="1:2" x14ac:dyDescent="0.25">
      <c r="A7" s="16" t="s">
        <v>28</v>
      </c>
      <c r="B7" s="3">
        <v>110</v>
      </c>
    </row>
    <row r="8" spans="1:2" x14ac:dyDescent="0.25">
      <c r="A8" s="16" t="s">
        <v>29</v>
      </c>
      <c r="B8" s="3">
        <v>60</v>
      </c>
    </row>
    <row r="9" spans="1:2" x14ac:dyDescent="0.25">
      <c r="A9" s="4" t="s">
        <v>30</v>
      </c>
      <c r="B9" s="3">
        <v>20</v>
      </c>
    </row>
    <row r="10" spans="1:2" x14ac:dyDescent="0.25">
      <c r="A10" s="16" t="s">
        <v>31</v>
      </c>
      <c r="B10" s="3">
        <v>2200</v>
      </c>
    </row>
    <row r="11" spans="1:2" x14ac:dyDescent="0.25">
      <c r="A11" s="16" t="s">
        <v>32</v>
      </c>
      <c r="B11" s="3">
        <v>1100</v>
      </c>
    </row>
    <row r="12" spans="1:2" x14ac:dyDescent="0.25">
      <c r="A12" s="16" t="s">
        <v>33</v>
      </c>
      <c r="B12" s="3">
        <v>900</v>
      </c>
    </row>
    <row r="13" spans="1:2" x14ac:dyDescent="0.25">
      <c r="A13" s="4" t="s">
        <v>34</v>
      </c>
      <c r="B13" s="3">
        <v>1.22</v>
      </c>
    </row>
    <row r="15" spans="1:2" x14ac:dyDescent="0.25">
      <c r="A15" s="16" t="s">
        <v>35</v>
      </c>
      <c r="B15" s="4">
        <f>B3*B2*10000</f>
        <v>2750</v>
      </c>
    </row>
    <row r="16" spans="1:2" x14ac:dyDescent="0.25">
      <c r="A16" s="16" t="s">
        <v>36</v>
      </c>
      <c r="B16" s="4">
        <f>B15*B4</f>
        <v>4290</v>
      </c>
    </row>
    <row r="19" spans="1:14" x14ac:dyDescent="0.25">
      <c r="A19" s="16"/>
      <c r="B19" s="4" t="s">
        <v>25</v>
      </c>
      <c r="C19" s="4" t="s">
        <v>41</v>
      </c>
      <c r="D19" s="4" t="s">
        <v>42</v>
      </c>
      <c r="E19" s="4" t="s">
        <v>43</v>
      </c>
    </row>
    <row r="20" spans="1:14" x14ac:dyDescent="0.25">
      <c r="A20" s="16" t="s">
        <v>44</v>
      </c>
      <c r="B20" s="4">
        <f>B9/$B$13</f>
        <v>16.393442622950818</v>
      </c>
      <c r="C20" s="4">
        <f>B10/$B$13</f>
        <v>1803.2786885245903</v>
      </c>
      <c r="D20" s="4">
        <f>B11/$B$13</f>
        <v>901.63934426229514</v>
      </c>
      <c r="E20" s="4">
        <f>B12/$B$13</f>
        <v>737.70491803278685</v>
      </c>
    </row>
    <row r="21" spans="1:14" x14ac:dyDescent="0.25">
      <c r="A21" s="16" t="s">
        <v>40</v>
      </c>
      <c r="B21" s="4">
        <f>($B$16*(B22-B5))/(B20-B22)</f>
        <v>704.6731946144431</v>
      </c>
      <c r="C21" s="4">
        <f>($B$16*(C22-B6))/(C20-C22)</f>
        <v>3471.3979591836728</v>
      </c>
      <c r="D21" s="4">
        <f>($B$16*(D22-B7))/(D20-D22)</f>
        <v>228.3009814612868</v>
      </c>
      <c r="E21" s="4">
        <f>($B$16*(E22-B8))/(E20-E22)</f>
        <v>494.15430267062317</v>
      </c>
    </row>
    <row r="22" spans="1:14" x14ac:dyDescent="0.25">
      <c r="A22" s="16" t="s">
        <v>45</v>
      </c>
      <c r="B22" s="4">
        <v>3</v>
      </c>
      <c r="C22" s="4">
        <v>1000</v>
      </c>
      <c r="D22" s="4">
        <v>150</v>
      </c>
      <c r="E22" s="4">
        <v>130</v>
      </c>
    </row>
    <row r="23" spans="1:14" x14ac:dyDescent="0.25">
      <c r="B23" t="s">
        <v>46</v>
      </c>
    </row>
    <row r="25" spans="1:14" x14ac:dyDescent="0.25">
      <c r="A25" s="16" t="s">
        <v>47</v>
      </c>
      <c r="B25" s="6">
        <f>MIN(B21:E21)</f>
        <v>228.3009814612868</v>
      </c>
    </row>
    <row r="26" spans="1:14" x14ac:dyDescent="0.25">
      <c r="A26" s="16" t="s">
        <v>48</v>
      </c>
      <c r="B26" s="5">
        <f>(D20*B25+B7*B16)/(B25+B16)</f>
        <v>150</v>
      </c>
      <c r="D26" s="27" t="s">
        <v>49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 x14ac:dyDescent="0.25">
      <c r="A27" s="16" t="s">
        <v>42</v>
      </c>
      <c r="B27" s="4">
        <f>D21/B13</f>
        <v>187.13195201744819</v>
      </c>
    </row>
    <row r="28" spans="1:14" x14ac:dyDescent="0.25">
      <c r="A28" s="16" t="s">
        <v>50</v>
      </c>
      <c r="B28" s="4">
        <f>B27/(B2*10000)</f>
        <v>1.7011995637949834E-2</v>
      </c>
    </row>
  </sheetData>
  <mergeCells count="1">
    <mergeCell ref="D26:N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7" zoomScale="160" zoomScaleNormal="160" workbookViewId="0">
      <selection activeCell="D10" sqref="D10"/>
    </sheetView>
  </sheetViews>
  <sheetFormatPr defaultRowHeight="15" x14ac:dyDescent="0.25"/>
  <cols>
    <col min="1" max="1" width="27.7109375" customWidth="1"/>
  </cols>
  <sheetData>
    <row r="1" spans="1:2" x14ac:dyDescent="0.25">
      <c r="A1" s="4" t="s">
        <v>40</v>
      </c>
      <c r="B1" s="3">
        <v>400</v>
      </c>
    </row>
    <row r="2" spans="1:2" x14ac:dyDescent="0.25">
      <c r="A2" s="4" t="s">
        <v>57</v>
      </c>
      <c r="B2" s="3">
        <v>28</v>
      </c>
    </row>
    <row r="3" spans="1:2" x14ac:dyDescent="0.25">
      <c r="A3" s="4" t="s">
        <v>51</v>
      </c>
      <c r="B3" s="3">
        <v>17</v>
      </c>
    </row>
    <row r="4" spans="1:2" x14ac:dyDescent="0.25">
      <c r="A4" s="4" t="s">
        <v>52</v>
      </c>
      <c r="B4" s="3">
        <v>1.8</v>
      </c>
    </row>
    <row r="5" spans="1:2" x14ac:dyDescent="0.25">
      <c r="A5" s="4" t="s">
        <v>53</v>
      </c>
      <c r="B5" s="3">
        <v>50</v>
      </c>
    </row>
    <row r="6" spans="1:2" x14ac:dyDescent="0.25">
      <c r="A6" s="4" t="s">
        <v>54</v>
      </c>
      <c r="B6" s="3">
        <v>0.5</v>
      </c>
    </row>
    <row r="7" spans="1:2" x14ac:dyDescent="0.25">
      <c r="A7" s="4" t="s">
        <v>55</v>
      </c>
      <c r="B7" s="3">
        <v>0.6</v>
      </c>
    </row>
    <row r="8" spans="1:2" x14ac:dyDescent="0.25">
      <c r="A8" s="4" t="s">
        <v>58</v>
      </c>
      <c r="B8" s="4">
        <v>2E-3</v>
      </c>
    </row>
    <row r="9" spans="1:2" x14ac:dyDescent="0.25">
      <c r="A9" s="4" t="s">
        <v>59</v>
      </c>
      <c r="B9" s="4">
        <f>85</f>
        <v>85</v>
      </c>
    </row>
    <row r="10" spans="1:2" x14ac:dyDescent="0.25">
      <c r="A10" s="4" t="s">
        <v>56</v>
      </c>
      <c r="B10" s="4">
        <f>B2*B1*B8*(1-B9/100)</f>
        <v>3.3600000000000008</v>
      </c>
    </row>
    <row r="12" spans="1:2" x14ac:dyDescent="0.25">
      <c r="A12" s="4"/>
    </row>
    <row r="13" spans="1:2" x14ac:dyDescent="0.25">
      <c r="A13" s="4" t="s">
        <v>60</v>
      </c>
      <c r="B13" s="4">
        <f>B3*$B$1*10^(-3)</f>
        <v>6.8</v>
      </c>
    </row>
    <row r="14" spans="1:2" x14ac:dyDescent="0.25">
      <c r="A14" s="4" t="s">
        <v>61</v>
      </c>
      <c r="B14" s="4">
        <f>B4*$B$1*10^(-3)</f>
        <v>0.72</v>
      </c>
    </row>
    <row r="15" spans="1:2" x14ac:dyDescent="0.25">
      <c r="A15" s="4" t="s">
        <v>62</v>
      </c>
      <c r="B15" s="4">
        <f>B5*$B$1*10^(-3)</f>
        <v>20</v>
      </c>
    </row>
    <row r="18" spans="1:5" x14ac:dyDescent="0.25">
      <c r="A18" s="4" t="s">
        <v>63</v>
      </c>
      <c r="B18" s="4">
        <f>B6*B13</f>
        <v>3.4</v>
      </c>
      <c r="C18" s="4" t="s">
        <v>64</v>
      </c>
      <c r="D18" s="4">
        <f>$B$7*B13</f>
        <v>4.08</v>
      </c>
    </row>
    <row r="19" spans="1:5" x14ac:dyDescent="0.25">
      <c r="A19" s="4" t="s">
        <v>65</v>
      </c>
      <c r="B19" s="4">
        <f>$B$6*B14</f>
        <v>0.36</v>
      </c>
      <c r="C19" s="4" t="s">
        <v>67</v>
      </c>
      <c r="D19" s="4">
        <f t="shared" ref="D19:D20" si="0">$B$7*B14</f>
        <v>0.432</v>
      </c>
    </row>
    <row r="20" spans="1:5" x14ac:dyDescent="0.25">
      <c r="A20" s="4" t="s">
        <v>66</v>
      </c>
      <c r="B20" s="4">
        <f>$B$6*B15</f>
        <v>10</v>
      </c>
      <c r="C20" s="4" t="s">
        <v>68</v>
      </c>
      <c r="D20" s="4">
        <f t="shared" si="0"/>
        <v>12</v>
      </c>
    </row>
    <row r="23" spans="1:5" x14ac:dyDescent="0.25">
      <c r="A23" s="31"/>
      <c r="B23" s="4" t="s">
        <v>70</v>
      </c>
      <c r="C23" s="4"/>
      <c r="D23" s="4"/>
      <c r="E23" s="4"/>
    </row>
    <row r="24" spans="1:5" x14ac:dyDescent="0.25">
      <c r="A24" s="31"/>
      <c r="B24" s="4" t="s">
        <v>72</v>
      </c>
      <c r="C24" s="4" t="s">
        <v>71</v>
      </c>
      <c r="D24" s="4" t="s">
        <v>73</v>
      </c>
      <c r="E24" s="4" t="s">
        <v>74</v>
      </c>
    </row>
    <row r="25" spans="1:5" ht="13.5" customHeight="1" x14ac:dyDescent="0.25">
      <c r="A25" s="16" t="s">
        <v>69</v>
      </c>
      <c r="B25" s="16">
        <f>B10</f>
        <v>3.3600000000000008</v>
      </c>
      <c r="C25" s="16">
        <f>B13</f>
        <v>6.8</v>
      </c>
      <c r="D25" s="16">
        <f>B14</f>
        <v>0.72</v>
      </c>
      <c r="E25" s="16">
        <f>B15</f>
        <v>20</v>
      </c>
    </row>
    <row r="26" spans="1:5" ht="29.25" customHeight="1" x14ac:dyDescent="0.25">
      <c r="A26" s="16" t="s">
        <v>94</v>
      </c>
      <c r="B26" s="16">
        <f>B10*B6</f>
        <v>1.6800000000000004</v>
      </c>
      <c r="C26" s="16">
        <f>B18</f>
        <v>3.4</v>
      </c>
      <c r="D26" s="16">
        <f>B19</f>
        <v>0.36</v>
      </c>
      <c r="E26" s="16">
        <f>B20</f>
        <v>10</v>
      </c>
    </row>
    <row r="27" spans="1:5" ht="45" x14ac:dyDescent="0.25">
      <c r="A27" s="16" t="s">
        <v>75</v>
      </c>
      <c r="B27" s="16">
        <f>B7*B25</f>
        <v>2.0160000000000005</v>
      </c>
      <c r="C27" s="16">
        <f>D18</f>
        <v>4.08</v>
      </c>
      <c r="D27" s="16">
        <f>D19</f>
        <v>0.432</v>
      </c>
      <c r="E27" s="16">
        <f>D20</f>
        <v>12</v>
      </c>
    </row>
    <row r="28" spans="1:5" x14ac:dyDescent="0.25">
      <c r="A28" s="31" t="s">
        <v>76</v>
      </c>
      <c r="B28" s="31"/>
      <c r="C28" s="31"/>
      <c r="D28" s="31"/>
      <c r="E28" s="31"/>
    </row>
    <row r="29" spans="1:5" ht="30" x14ac:dyDescent="0.25">
      <c r="A29" s="16" t="s">
        <v>77</v>
      </c>
      <c r="B29" s="16">
        <v>80</v>
      </c>
      <c r="C29" s="16">
        <v>0.6</v>
      </c>
      <c r="D29" s="16">
        <v>52</v>
      </c>
      <c r="E29" s="16">
        <v>80</v>
      </c>
    </row>
    <row r="30" spans="1:5" ht="30" x14ac:dyDescent="0.25">
      <c r="A30" s="16" t="s">
        <v>78</v>
      </c>
      <c r="B30" s="16">
        <f>B29*$H$35*$H$36</f>
        <v>182.4</v>
      </c>
      <c r="C30" s="16">
        <f t="shared" ref="C30:E30" si="1">C29*$H$35*$H$36</f>
        <v>1.3679999999999999</v>
      </c>
      <c r="D30" s="16">
        <f t="shared" si="1"/>
        <v>118.55999999999999</v>
      </c>
      <c r="E30" s="16">
        <f t="shared" si="1"/>
        <v>182.4</v>
      </c>
    </row>
    <row r="31" spans="1:5" ht="30" x14ac:dyDescent="0.25">
      <c r="A31" s="16" t="s">
        <v>79</v>
      </c>
      <c r="B31" s="16">
        <f>B30*B26</f>
        <v>306.43200000000007</v>
      </c>
      <c r="C31" s="16">
        <f t="shared" ref="C31:E31" si="2">C30*C26</f>
        <v>4.6511999999999993</v>
      </c>
      <c r="D31" s="16">
        <f t="shared" si="2"/>
        <v>42.681599999999996</v>
      </c>
      <c r="E31" s="16">
        <f t="shared" si="2"/>
        <v>1824</v>
      </c>
    </row>
    <row r="32" spans="1:5" x14ac:dyDescent="0.25">
      <c r="A32" s="16" t="s">
        <v>95</v>
      </c>
      <c r="B32" s="33">
        <f>SUM(B31:E31)</f>
        <v>2177.7647999999999</v>
      </c>
      <c r="C32" s="34"/>
      <c r="D32" s="34"/>
      <c r="E32" s="35"/>
    </row>
    <row r="33" spans="1:8" x14ac:dyDescent="0.25">
      <c r="A33" s="31" t="s">
        <v>80</v>
      </c>
      <c r="B33" s="31"/>
      <c r="C33" s="31"/>
      <c r="D33" s="31"/>
      <c r="E33" s="31"/>
    </row>
    <row r="34" spans="1:8" ht="30" x14ac:dyDescent="0.25">
      <c r="A34" s="16" t="s">
        <v>81</v>
      </c>
      <c r="B34" s="16">
        <v>400</v>
      </c>
      <c r="C34" s="16">
        <v>3</v>
      </c>
      <c r="D34" s="16">
        <v>260</v>
      </c>
      <c r="E34" s="16">
        <v>400</v>
      </c>
    </row>
    <row r="35" spans="1:8" ht="30" x14ac:dyDescent="0.25">
      <c r="A35" s="16" t="s">
        <v>82</v>
      </c>
      <c r="B35" s="16">
        <f>B34*$H$35*$H$36</f>
        <v>912</v>
      </c>
      <c r="C35" s="16">
        <f t="shared" ref="C35:E35" si="3">C34*$H$35*$H$36</f>
        <v>6.839999999999999</v>
      </c>
      <c r="D35" s="16">
        <f t="shared" si="3"/>
        <v>592.79999999999995</v>
      </c>
      <c r="E35" s="16">
        <f t="shared" si="3"/>
        <v>912</v>
      </c>
      <c r="G35" t="s">
        <v>92</v>
      </c>
      <c r="H35">
        <v>1.9</v>
      </c>
    </row>
    <row r="36" spans="1:8" x14ac:dyDescent="0.25">
      <c r="A36" s="16" t="s">
        <v>83</v>
      </c>
      <c r="B36" s="16">
        <f>B27-B26</f>
        <v>0.33600000000000008</v>
      </c>
      <c r="C36" s="16">
        <f t="shared" ref="C36:E36" si="4">C27-C26</f>
        <v>0.68000000000000016</v>
      </c>
      <c r="D36" s="16">
        <f t="shared" si="4"/>
        <v>7.2000000000000008E-2</v>
      </c>
      <c r="E36" s="16">
        <f t="shared" si="4"/>
        <v>2</v>
      </c>
      <c r="G36" t="s">
        <v>93</v>
      </c>
      <c r="H36">
        <v>1.2</v>
      </c>
    </row>
    <row r="37" spans="1:8" ht="30" x14ac:dyDescent="0.25">
      <c r="A37" s="16" t="s">
        <v>84</v>
      </c>
      <c r="B37" s="16">
        <f>B35*B36</f>
        <v>306.43200000000007</v>
      </c>
      <c r="C37" s="16">
        <f t="shared" ref="C37:E37" si="5">C35*C36</f>
        <v>4.6512000000000002</v>
      </c>
      <c r="D37" s="16">
        <f t="shared" si="5"/>
        <v>42.681600000000003</v>
      </c>
      <c r="E37" s="16">
        <f t="shared" si="5"/>
        <v>1824</v>
      </c>
      <c r="G37" t="s">
        <v>96</v>
      </c>
      <c r="H37">
        <v>1.67</v>
      </c>
    </row>
    <row r="38" spans="1:8" x14ac:dyDescent="0.25">
      <c r="A38" s="16" t="s">
        <v>85</v>
      </c>
      <c r="B38" s="33">
        <f>SUM(B37:E37)</f>
        <v>2177.7647999999999</v>
      </c>
      <c r="C38" s="34"/>
      <c r="D38" s="34"/>
      <c r="E38" s="35"/>
    </row>
    <row r="39" spans="1:8" x14ac:dyDescent="0.25">
      <c r="A39" s="28" t="s">
        <v>86</v>
      </c>
      <c r="B39" s="29"/>
      <c r="C39" s="29"/>
      <c r="D39" s="29"/>
      <c r="E39" s="30"/>
    </row>
    <row r="40" spans="1:8" x14ac:dyDescent="0.25">
      <c r="A40" s="16" t="s">
        <v>87</v>
      </c>
      <c r="B40" s="4">
        <f>B25-B27</f>
        <v>1.3440000000000003</v>
      </c>
      <c r="C40" s="4">
        <f t="shared" ref="C40:E40" si="6">C25-C27</f>
        <v>2.7199999999999998</v>
      </c>
      <c r="D40" s="4">
        <f t="shared" si="6"/>
        <v>0.28799999999999998</v>
      </c>
      <c r="E40" s="4">
        <f t="shared" si="6"/>
        <v>8</v>
      </c>
    </row>
    <row r="41" spans="1:8" ht="30" x14ac:dyDescent="0.25">
      <c r="A41" s="16" t="s">
        <v>88</v>
      </c>
      <c r="B41" s="4">
        <f>5*B35*B40</f>
        <v>6128.6400000000012</v>
      </c>
      <c r="C41" s="4">
        <f t="shared" ref="C41:E41" si="7">5*C35*C40</f>
        <v>93.023999999999987</v>
      </c>
      <c r="D41" s="4">
        <f t="shared" si="7"/>
        <v>853.63199999999995</v>
      </c>
      <c r="E41" s="4">
        <f t="shared" si="7"/>
        <v>36480</v>
      </c>
    </row>
    <row r="42" spans="1:8" ht="30" x14ac:dyDescent="0.25">
      <c r="A42" s="16" t="s">
        <v>89</v>
      </c>
      <c r="B42" s="28">
        <f>SUM(B41:E41)</f>
        <v>43555.296000000002</v>
      </c>
      <c r="C42" s="29"/>
      <c r="D42" s="29"/>
      <c r="E42" s="30"/>
    </row>
    <row r="43" spans="1:8" x14ac:dyDescent="0.25">
      <c r="A43" s="32" t="s">
        <v>90</v>
      </c>
      <c r="B43" s="32"/>
      <c r="C43" s="32"/>
      <c r="D43" s="32"/>
      <c r="E43" s="32"/>
    </row>
    <row r="44" spans="1:8" x14ac:dyDescent="0.25">
      <c r="A44" s="4" t="s">
        <v>91</v>
      </c>
      <c r="B44" s="28">
        <f>(B42+B38+B32)*H37</f>
        <v>80011.078751999987</v>
      </c>
      <c r="C44" s="29"/>
      <c r="D44" s="29"/>
      <c r="E44" s="30"/>
    </row>
  </sheetData>
  <mergeCells count="9">
    <mergeCell ref="B44:E44"/>
    <mergeCell ref="A23:A24"/>
    <mergeCell ref="A28:E28"/>
    <mergeCell ref="A33:E33"/>
    <mergeCell ref="A39:E39"/>
    <mergeCell ref="A43:E43"/>
    <mergeCell ref="B32:E32"/>
    <mergeCell ref="B38:E38"/>
    <mergeCell ref="B42:E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7" zoomScale="145" zoomScaleNormal="145" workbookViewId="0">
      <selection activeCell="I42" sqref="I42"/>
    </sheetView>
  </sheetViews>
  <sheetFormatPr defaultRowHeight="15" x14ac:dyDescent="0.25"/>
  <cols>
    <col min="1" max="1" width="28.85546875" bestFit="1" customWidth="1"/>
    <col min="2" max="2" width="13.140625" bestFit="1" customWidth="1"/>
    <col min="3" max="3" width="11.5703125" bestFit="1" customWidth="1"/>
    <col min="8" max="8" width="10.85546875" bestFit="1" customWidth="1"/>
  </cols>
  <sheetData>
    <row r="1" spans="1:10" x14ac:dyDescent="0.25">
      <c r="A1" s="4" t="s">
        <v>97</v>
      </c>
      <c r="B1" s="4" t="s">
        <v>98</v>
      </c>
      <c r="C1" s="4" t="s">
        <v>99</v>
      </c>
      <c r="D1" s="4" t="s">
        <v>100</v>
      </c>
      <c r="E1" s="4" t="s">
        <v>101</v>
      </c>
      <c r="F1" s="4" t="s">
        <v>125</v>
      </c>
      <c r="G1" s="4" t="s">
        <v>102</v>
      </c>
      <c r="H1" s="4" t="s">
        <v>103</v>
      </c>
      <c r="I1" s="4" t="s">
        <v>50</v>
      </c>
    </row>
    <row r="2" spans="1:10" x14ac:dyDescent="0.25">
      <c r="A2" s="3" t="s">
        <v>104</v>
      </c>
      <c r="B2" s="3">
        <v>2</v>
      </c>
      <c r="C2" s="3">
        <v>1.29</v>
      </c>
      <c r="D2" s="3">
        <v>17.3</v>
      </c>
      <c r="E2" s="3">
        <v>16</v>
      </c>
      <c r="F2" s="3">
        <v>0.25</v>
      </c>
      <c r="G2" s="3">
        <v>10</v>
      </c>
      <c r="H2" s="3">
        <v>2600</v>
      </c>
      <c r="I2" s="3">
        <v>0.85</v>
      </c>
    </row>
    <row r="7" spans="1:10" x14ac:dyDescent="0.25">
      <c r="A7" s="4" t="s">
        <v>105</v>
      </c>
      <c r="B7" s="4" t="s">
        <v>106</v>
      </c>
      <c r="C7" s="4" t="s">
        <v>107</v>
      </c>
      <c r="D7" s="4" t="s">
        <v>108</v>
      </c>
      <c r="E7" s="4" t="s">
        <v>109</v>
      </c>
      <c r="F7" s="4" t="s">
        <v>110</v>
      </c>
      <c r="G7" s="4" t="s">
        <v>111</v>
      </c>
      <c r="H7" s="4" t="s">
        <v>112</v>
      </c>
    </row>
    <row r="8" spans="1:10" x14ac:dyDescent="0.25">
      <c r="A8" s="4" t="s">
        <v>113</v>
      </c>
      <c r="B8" s="4">
        <v>8.5</v>
      </c>
      <c r="C8" s="4">
        <v>6</v>
      </c>
      <c r="D8" s="4">
        <v>4.5</v>
      </c>
      <c r="E8" s="4">
        <v>3.65</v>
      </c>
      <c r="F8" s="4">
        <v>2.31</v>
      </c>
      <c r="G8" s="4">
        <v>1.95</v>
      </c>
      <c r="H8" s="4">
        <v>1.3</v>
      </c>
    </row>
    <row r="9" spans="1:10" x14ac:dyDescent="0.25">
      <c r="A9" s="4" t="s">
        <v>114</v>
      </c>
      <c r="B9" s="4" t="b">
        <f>$E$2&gt; B8*2</f>
        <v>0</v>
      </c>
      <c r="C9" s="4" t="b">
        <f t="shared" ref="C9:H9" si="0">$E$2&gt; C8*2</f>
        <v>1</v>
      </c>
      <c r="D9" s="4" t="b">
        <f t="shared" si="0"/>
        <v>1</v>
      </c>
      <c r="E9" s="4" t="b">
        <f t="shared" si="0"/>
        <v>1</v>
      </c>
      <c r="F9" s="4" t="b">
        <f t="shared" si="0"/>
        <v>1</v>
      </c>
      <c r="G9" s="4" t="b">
        <f t="shared" si="0"/>
        <v>1</v>
      </c>
      <c r="H9" s="4" t="b">
        <f t="shared" si="0"/>
        <v>1</v>
      </c>
    </row>
    <row r="10" spans="1:10" x14ac:dyDescent="0.25">
      <c r="A10" s="4" t="s">
        <v>130</v>
      </c>
      <c r="B10" s="4">
        <f>B8*2</f>
        <v>17</v>
      </c>
      <c r="C10" s="4">
        <f t="shared" ref="C10:H10" si="1">C8*2</f>
        <v>12</v>
      </c>
      <c r="D10" s="4">
        <f t="shared" si="1"/>
        <v>9</v>
      </c>
      <c r="E10" s="4">
        <f t="shared" si="1"/>
        <v>7.3</v>
      </c>
      <c r="F10" s="4">
        <f t="shared" si="1"/>
        <v>4.62</v>
      </c>
      <c r="G10" s="4">
        <f t="shared" si="1"/>
        <v>3.9</v>
      </c>
      <c r="H10" s="4">
        <f t="shared" si="1"/>
        <v>2.6</v>
      </c>
    </row>
    <row r="12" spans="1:10" x14ac:dyDescent="0.25">
      <c r="A12" s="20" t="s">
        <v>115</v>
      </c>
      <c r="B12" s="23" t="s">
        <v>107</v>
      </c>
      <c r="C12" s="27" t="s">
        <v>116</v>
      </c>
      <c r="D12" s="27"/>
      <c r="E12" s="27"/>
      <c r="F12" s="27"/>
      <c r="G12" s="27"/>
      <c r="H12" s="27"/>
    </row>
    <row r="13" spans="1:10" x14ac:dyDescent="0.25">
      <c r="A13" s="20" t="s">
        <v>117</v>
      </c>
      <c r="B13" s="23">
        <v>3.5</v>
      </c>
    </row>
    <row r="14" spans="1:10" x14ac:dyDescent="0.25">
      <c r="A14" s="20" t="s">
        <v>13</v>
      </c>
      <c r="B14" s="20">
        <f>SQRT(4*B2/(PI()*B13))</f>
        <v>0.85297447449169228</v>
      </c>
      <c r="C14" s="19">
        <f>B14*1000</f>
        <v>852.97447449169226</v>
      </c>
      <c r="D14" s="18">
        <v>900</v>
      </c>
      <c r="E14" s="27" t="s">
        <v>118</v>
      </c>
      <c r="F14" s="27"/>
      <c r="G14" s="27"/>
      <c r="H14" s="27"/>
      <c r="I14" s="27"/>
      <c r="J14" s="27"/>
    </row>
    <row r="15" spans="1:10" x14ac:dyDescent="0.25">
      <c r="A15" s="20" t="s">
        <v>119</v>
      </c>
      <c r="B15" s="21">
        <f>4*B2/(PI()*1*(D14)^2)</f>
        <v>3.1438013450250933E-6</v>
      </c>
    </row>
    <row r="16" spans="1:10" x14ac:dyDescent="0.25">
      <c r="A16" s="20" t="s">
        <v>54</v>
      </c>
      <c r="B16" s="20">
        <v>1</v>
      </c>
    </row>
    <row r="17" spans="1:7" x14ac:dyDescent="0.25">
      <c r="A17" s="20" t="s">
        <v>55</v>
      </c>
      <c r="B17" s="20">
        <v>0.93</v>
      </c>
    </row>
    <row r="18" spans="1:7" x14ac:dyDescent="0.25">
      <c r="A18" s="20" t="s">
        <v>121</v>
      </c>
      <c r="B18" s="20">
        <v>155</v>
      </c>
    </row>
    <row r="19" spans="1:7" x14ac:dyDescent="0.25">
      <c r="A19" s="20" t="s">
        <v>120</v>
      </c>
      <c r="B19" s="20">
        <f>B16*B17*B18</f>
        <v>144.15</v>
      </c>
    </row>
    <row r="20" spans="1:7" x14ac:dyDescent="0.25">
      <c r="A20" s="8" t="s">
        <v>122</v>
      </c>
      <c r="B20" s="22">
        <f>B19*C2*(B15^2)/2</f>
        <v>9.189344903489328E-10</v>
      </c>
    </row>
    <row r="21" spans="1:7" x14ac:dyDescent="0.25">
      <c r="A21" s="4" t="s">
        <v>124</v>
      </c>
      <c r="B21" s="4">
        <f>C8</f>
        <v>6</v>
      </c>
    </row>
    <row r="22" spans="1:7" x14ac:dyDescent="0.25">
      <c r="A22" s="20" t="s">
        <v>123</v>
      </c>
      <c r="B22" s="4">
        <f>LOG10(E2/B21)*1/(SQRT((F2^2+B23^2)))</f>
        <v>1.128066519567793</v>
      </c>
    </row>
    <row r="23" spans="1:7" x14ac:dyDescent="0.25">
      <c r="A23" s="4" t="s">
        <v>126</v>
      </c>
      <c r="B23" s="25">
        <f>0.283</f>
        <v>0.28299999999999997</v>
      </c>
    </row>
    <row r="24" spans="1:7" x14ac:dyDescent="0.25">
      <c r="A24" s="24" t="s">
        <v>127</v>
      </c>
      <c r="B24" s="17">
        <f>1-1/(5.8*B22+0.5)</f>
        <v>0.85801073233206804</v>
      </c>
      <c r="C24" s="27" t="s">
        <v>129</v>
      </c>
      <c r="D24" s="27"/>
      <c r="E24" s="27"/>
      <c r="F24" s="27"/>
      <c r="G24" s="27"/>
    </row>
    <row r="25" spans="1:7" x14ac:dyDescent="0.25">
      <c r="A25" s="4" t="s">
        <v>128</v>
      </c>
      <c r="B25" s="4">
        <f>0.5*(1+B24)</f>
        <v>0.92900536616603402</v>
      </c>
      <c r="C25" s="26" t="s">
        <v>132</v>
      </c>
    </row>
    <row r="26" spans="1:7" x14ac:dyDescent="0.25">
      <c r="A26" s="4" t="s">
        <v>131</v>
      </c>
      <c r="B26" s="4">
        <f>G2*(1-B25)</f>
        <v>0.70994633833965981</v>
      </c>
    </row>
  </sheetData>
  <mergeCells count="3">
    <mergeCell ref="C12:H12"/>
    <mergeCell ref="E14:J14"/>
    <mergeCell ref="C24:G2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160" zoomScaleNormal="160" workbookViewId="0">
      <selection activeCell="E8" sqref="E8"/>
    </sheetView>
  </sheetViews>
  <sheetFormatPr defaultRowHeight="15" x14ac:dyDescent="0.25"/>
  <cols>
    <col min="1" max="1" width="21.5703125" bestFit="1" customWidth="1"/>
    <col min="2" max="2" width="12.85546875" bestFit="1" customWidth="1"/>
    <col min="3" max="3" width="8.7109375" bestFit="1" customWidth="1"/>
    <col min="4" max="4" width="9.5703125" bestFit="1" customWidth="1"/>
  </cols>
  <sheetData>
    <row r="1" spans="1:8" x14ac:dyDescent="0.25">
      <c r="A1" s="4" t="s">
        <v>133</v>
      </c>
      <c r="B1" s="4" t="s">
        <v>134</v>
      </c>
      <c r="C1" s="4" t="s">
        <v>135</v>
      </c>
      <c r="D1" s="4" t="s">
        <v>136</v>
      </c>
      <c r="E1" s="4" t="s">
        <v>137</v>
      </c>
      <c r="F1" s="4" t="s">
        <v>138</v>
      </c>
      <c r="G1" s="4" t="s">
        <v>139</v>
      </c>
      <c r="H1" s="4" t="s">
        <v>140</v>
      </c>
    </row>
    <row r="2" spans="1:8" x14ac:dyDescent="0.25">
      <c r="A2" s="3">
        <v>195674</v>
      </c>
      <c r="B2" s="3">
        <v>0.05</v>
      </c>
      <c r="C2" s="3">
        <v>0.09</v>
      </c>
      <c r="D2" s="36">
        <v>3000000</v>
      </c>
      <c r="E2" s="3">
        <v>72</v>
      </c>
      <c r="F2" s="3">
        <v>20</v>
      </c>
      <c r="G2" s="3">
        <v>0.25</v>
      </c>
      <c r="H2" s="3">
        <v>0.3</v>
      </c>
    </row>
    <row r="5" spans="1:8" x14ac:dyDescent="0.25">
      <c r="A5" s="4" t="s">
        <v>143</v>
      </c>
      <c r="B5" s="37">
        <f>$A$2*$B$2*1000/30</f>
        <v>326123.33333333331</v>
      </c>
      <c r="D5" s="3" t="s">
        <v>141</v>
      </c>
      <c r="E5" s="38">
        <f>B5</f>
        <v>326123.33333333331</v>
      </c>
    </row>
    <row r="6" spans="1:8" x14ac:dyDescent="0.25">
      <c r="A6" s="4" t="s">
        <v>144</v>
      </c>
      <c r="B6" s="37">
        <f>$A$2*$B$2*1000/20</f>
        <v>489185</v>
      </c>
      <c r="D6" s="3" t="s">
        <v>142</v>
      </c>
      <c r="E6" s="38">
        <f>B7</f>
        <v>750000</v>
      </c>
    </row>
    <row r="7" spans="1:8" x14ac:dyDescent="0.25">
      <c r="A7" s="4" t="s">
        <v>145</v>
      </c>
      <c r="B7" s="37">
        <f>$D$2*0.25*1000/1000</f>
        <v>750000</v>
      </c>
      <c r="D7" s="3" t="s">
        <v>149</v>
      </c>
      <c r="E7" s="38">
        <f>B11</f>
        <v>440266.5</v>
      </c>
    </row>
    <row r="8" spans="1:8" x14ac:dyDescent="0.25">
      <c r="A8" s="4" t="s">
        <v>146</v>
      </c>
      <c r="B8" s="37">
        <f>$D$2*0.25*1000/2000</f>
        <v>375000</v>
      </c>
      <c r="D8" s="3" t="s">
        <v>150</v>
      </c>
      <c r="E8" s="38">
        <f>B12</f>
        <v>1174044</v>
      </c>
    </row>
    <row r="9" spans="1:8" x14ac:dyDescent="0.25">
      <c r="A9" s="4" t="s">
        <v>147</v>
      </c>
      <c r="B9" s="37">
        <f>$D$2*0.1*1000/1000</f>
        <v>300000</v>
      </c>
      <c r="D9" s="3" t="s">
        <v>153</v>
      </c>
      <c r="E9" s="38">
        <f>B16</f>
        <v>133333.33333333334</v>
      </c>
    </row>
    <row r="10" spans="1:8" x14ac:dyDescent="0.25">
      <c r="A10" s="4" t="s">
        <v>148</v>
      </c>
      <c r="B10" s="37">
        <f>$D$2*0.1*1000/2000</f>
        <v>150000</v>
      </c>
      <c r="D10" s="3" t="s">
        <v>162</v>
      </c>
      <c r="E10" s="38">
        <f>B22</f>
        <v>29351.1</v>
      </c>
    </row>
    <row r="11" spans="1:8" x14ac:dyDescent="0.25">
      <c r="A11" s="4" t="s">
        <v>149</v>
      </c>
      <c r="B11" s="37">
        <f>C2*A2*1000/40</f>
        <v>440266.5</v>
      </c>
    </row>
    <row r="12" spans="1:8" x14ac:dyDescent="0.25">
      <c r="A12" s="4" t="s">
        <v>152</v>
      </c>
      <c r="B12" s="37">
        <f>$A$2*$E$2*0.5*10/(200*0.3)</f>
        <v>1174044</v>
      </c>
    </row>
    <row r="13" spans="1:8" x14ac:dyDescent="0.25">
      <c r="A13" s="4" t="s">
        <v>151</v>
      </c>
      <c r="B13" s="37">
        <f>$A$2*$E$2*0.5*10/(200*0.1)</f>
        <v>3522132</v>
      </c>
    </row>
    <row r="14" spans="1:8" x14ac:dyDescent="0.25">
      <c r="A14" s="4" t="s">
        <v>155</v>
      </c>
      <c r="B14" s="37">
        <f>2*$F$2*0.5*1000/(0.5*0.1)</f>
        <v>400000</v>
      </c>
    </row>
    <row r="15" spans="1:8" x14ac:dyDescent="0.25">
      <c r="A15" s="4" t="s">
        <v>154</v>
      </c>
      <c r="B15" s="37">
        <f>2*$F$2*0.5*1000/(0.5*0.15)</f>
        <v>266666.66666666669</v>
      </c>
    </row>
    <row r="16" spans="1:8" x14ac:dyDescent="0.25">
      <c r="A16" s="4" t="s">
        <v>156</v>
      </c>
      <c r="B16" s="37">
        <f>2*$F$2*0.5*1000/(0.5*0.3)</f>
        <v>133333.33333333334</v>
      </c>
    </row>
    <row r="17" spans="1:6" x14ac:dyDescent="0.25">
      <c r="A17" s="4" t="s">
        <v>157</v>
      </c>
      <c r="B17" s="37">
        <f>2*$F$2*0.5*1000/(0.5*0.4)</f>
        <v>100000</v>
      </c>
    </row>
    <row r="18" spans="1:6" x14ac:dyDescent="0.25">
      <c r="A18" s="4" t="s">
        <v>158</v>
      </c>
      <c r="B18" s="37">
        <f>2*$F$2*0.3*1000/(0.5*0.1)</f>
        <v>240000</v>
      </c>
    </row>
    <row r="19" spans="1:6" x14ac:dyDescent="0.25">
      <c r="A19" s="4" t="s">
        <v>159</v>
      </c>
      <c r="B19" s="37">
        <f>2*$F$2*0.3*1000/(0.5*0.15)</f>
        <v>160000</v>
      </c>
    </row>
    <row r="20" spans="1:6" x14ac:dyDescent="0.25">
      <c r="A20" s="4" t="s">
        <v>160</v>
      </c>
      <c r="B20" s="37">
        <f>2*$F$2*0.3*1000/(0.5*0.3)</f>
        <v>80000</v>
      </c>
    </row>
    <row r="21" spans="1:6" x14ac:dyDescent="0.25">
      <c r="A21" s="4" t="s">
        <v>161</v>
      </c>
      <c r="B21" s="37">
        <f>2*$F$2*0.3*1000/(0.5*0.4)</f>
        <v>60000</v>
      </c>
    </row>
    <row r="22" spans="1:6" x14ac:dyDescent="0.25">
      <c r="A22" s="4" t="s">
        <v>163</v>
      </c>
      <c r="B22" s="37">
        <f>$A$2*$G$2*$H$2*1000/500</f>
        <v>29351.1</v>
      </c>
    </row>
    <row r="23" spans="1:6" x14ac:dyDescent="0.25">
      <c r="A23" s="4" t="s">
        <v>164</v>
      </c>
      <c r="B23" s="37">
        <f>$A$2*$G$2*$H$2*1000/2000</f>
        <v>7337.7749999999996</v>
      </c>
    </row>
    <row r="26" spans="1:6" x14ac:dyDescent="0.25">
      <c r="A26" s="39" t="s">
        <v>165</v>
      </c>
      <c r="B26" s="40"/>
      <c r="C26" s="40"/>
      <c r="D26" s="40"/>
      <c r="E26" s="40"/>
      <c r="F26" s="4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2024-06-05T07:06:35Z</dcterms:modified>
</cp:coreProperties>
</file>