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8870" windowHeight="8220" activeTab="6"/>
  </bookViews>
  <sheets>
    <sheet name="Sheet1" sheetId="1" r:id="rId1"/>
    <sheet name="주문 슬롯 참고" sheetId="8" r:id="rId2"/>
    <sheet name="근거리 무기 참조표" sheetId="4" r:id="rId3"/>
    <sheet name="근력 기반 장거리 무기표" sheetId="6" r:id="rId4"/>
    <sheet name="방패 참조표" sheetId="5" r:id="rId5"/>
    <sheet name="갑옷 참조표" sheetId="7" r:id="rId6"/>
    <sheet name="MM용 시트" sheetId="2" r:id="rId7"/>
    <sheet name="참조 테이블" sheetId="3" r:id="rId8"/>
  </sheets>
  <calcPr calcId="145621"/>
</workbook>
</file>

<file path=xl/calcChain.xml><?xml version="1.0" encoding="utf-8"?>
<calcChain xmlns="http://schemas.openxmlformats.org/spreadsheetml/2006/main">
  <c r="G10" i="1" l="1"/>
  <c r="E10" i="1"/>
  <c r="C10" i="1"/>
  <c r="A10" i="1"/>
  <c r="Y3" i="1" l="1"/>
  <c r="AD3" i="1" l="1"/>
  <c r="AE3" i="1"/>
  <c r="W49" i="1" l="1"/>
  <c r="X87" i="1"/>
  <c r="X63" i="1"/>
  <c r="X75" i="1"/>
  <c r="J43" i="1"/>
  <c r="T88" i="1"/>
  <c r="U90" i="1"/>
  <c r="T90" i="1"/>
  <c r="U89" i="1"/>
  <c r="T89" i="1"/>
  <c r="U88" i="1"/>
  <c r="A18" i="1" l="1"/>
  <c r="P12" i="3"/>
  <c r="U82" i="1" l="1"/>
  <c r="R82" i="1"/>
  <c r="AD42" i="1" l="1"/>
  <c r="AD43" i="1"/>
  <c r="AD44" i="1"/>
  <c r="AD45" i="1"/>
  <c r="AD46" i="1"/>
  <c r="AD47" i="1"/>
  <c r="AD41" i="1"/>
  <c r="AC42" i="1"/>
  <c r="AC43" i="1"/>
  <c r="AC44" i="1"/>
  <c r="AC45" i="1"/>
  <c r="AC46" i="1"/>
  <c r="AC47" i="1"/>
  <c r="AC41" i="1"/>
  <c r="E12" i="1" l="1"/>
  <c r="AB3" i="1"/>
  <c r="W3" i="1"/>
  <c r="AD9" i="1"/>
  <c r="AD10" i="1"/>
  <c r="AD11" i="1"/>
  <c r="AD12" i="1"/>
  <c r="AD8" i="1"/>
  <c r="AB9" i="1"/>
  <c r="AB10" i="1"/>
  <c r="AB11" i="1"/>
  <c r="AB12" i="1"/>
  <c r="AB8" i="1"/>
  <c r="Y9" i="1"/>
  <c r="Y10" i="1"/>
  <c r="Y11" i="1"/>
  <c r="Y12" i="1"/>
  <c r="Y8" i="1"/>
  <c r="W9" i="1"/>
  <c r="W10" i="1"/>
  <c r="W11" i="1"/>
  <c r="W12" i="1"/>
  <c r="AA12" i="1" s="1"/>
  <c r="W8" i="1"/>
  <c r="J11" i="2" s="1"/>
  <c r="N71" i="3"/>
  <c r="N72" i="3"/>
  <c r="N73" i="3"/>
  <c r="N74" i="3"/>
  <c r="N75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71" i="3"/>
  <c r="P3" i="3"/>
  <c r="P4" i="3"/>
  <c r="P5" i="3"/>
  <c r="P6" i="3"/>
  <c r="P7" i="3"/>
  <c r="P8" i="3"/>
  <c r="P9" i="3"/>
  <c r="P10" i="3"/>
  <c r="P11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O71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P2" i="3"/>
  <c r="O2" i="3"/>
  <c r="N92" i="3"/>
  <c r="N93" i="3"/>
  <c r="N94" i="3"/>
  <c r="N95" i="3"/>
  <c r="N96" i="3"/>
  <c r="N97" i="3"/>
  <c r="N98" i="3"/>
  <c r="N99" i="3"/>
  <c r="N100" i="3"/>
  <c r="N101" i="3"/>
  <c r="N91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2" i="3"/>
  <c r="M92" i="3"/>
  <c r="M93" i="3"/>
  <c r="M94" i="3"/>
  <c r="M95" i="3"/>
  <c r="M96" i="3"/>
  <c r="M97" i="3"/>
  <c r="M98" i="3"/>
  <c r="M99" i="3"/>
  <c r="M100" i="3"/>
  <c r="M101" i="3"/>
  <c r="M9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2" i="3"/>
  <c r="Z3" i="1" l="1"/>
  <c r="AA3" i="1"/>
  <c r="AE12" i="1"/>
  <c r="J13" i="2"/>
  <c r="Z12" i="1"/>
  <c r="Z15" i="1" l="1"/>
  <c r="T58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31" i="1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R14" i="2"/>
  <c r="B16" i="2"/>
  <c r="U85" i="1"/>
  <c r="R85" i="1"/>
  <c r="U84" i="1"/>
  <c r="R84" i="1"/>
  <c r="R83" i="1"/>
  <c r="R72" i="1"/>
  <c r="R71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AE11" i="1" s="1"/>
  <c r="R33" i="1"/>
  <c r="AF3" i="1" s="1"/>
  <c r="R32" i="1"/>
  <c r="AE10" i="1" s="1"/>
  <c r="R31" i="1"/>
  <c r="AE9" i="1" s="1"/>
  <c r="R22" i="2"/>
  <c r="B2" i="2"/>
  <c r="E3" i="2"/>
  <c r="I3" i="2"/>
  <c r="G3" i="2"/>
  <c r="C3" i="2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F3" i="3"/>
  <c r="F4" i="3"/>
  <c r="P60" i="1"/>
  <c r="AC33" i="1"/>
  <c r="AA33" i="1"/>
  <c r="Y33" i="1"/>
  <c r="W33" i="1"/>
  <c r="AA30" i="1"/>
  <c r="Y30" i="1"/>
  <c r="W30" i="1"/>
  <c r="J21" i="1" s="1"/>
  <c r="AA27" i="1"/>
  <c r="Y27" i="1"/>
  <c r="W27" i="1"/>
  <c r="Y21" i="1"/>
  <c r="J27" i="1" s="1"/>
  <c r="H21" i="1"/>
  <c r="H20" i="1"/>
  <c r="C20" i="1"/>
  <c r="G20" i="1" s="1"/>
  <c r="G18" i="1" a="1"/>
  <c r="G18" i="1" s="1"/>
  <c r="E18" i="1" a="1"/>
  <c r="E18" i="1" s="1"/>
  <c r="M60" i="1"/>
  <c r="C17" i="1"/>
  <c r="T68" i="1" s="1"/>
  <c r="G12" i="1"/>
  <c r="C12" i="1"/>
  <c r="G8" i="1"/>
  <c r="E8" i="1"/>
  <c r="C8" i="1"/>
  <c r="A8" i="1"/>
  <c r="I4" i="2"/>
  <c r="E4" i="2"/>
  <c r="G4" i="2"/>
  <c r="X15" i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U83" i="1" l="1"/>
  <c r="Y38" i="1" s="1"/>
  <c r="D24" i="1"/>
  <c r="M2" i="2"/>
  <c r="T2" i="2" s="1"/>
  <c r="T64" i="1"/>
  <c r="A12" i="1"/>
  <c r="F60" i="1" s="1"/>
  <c r="C4" i="2"/>
  <c r="D26" i="1"/>
  <c r="AA11" i="1"/>
  <c r="Z11" i="1"/>
  <c r="R10" i="2"/>
  <c r="AA9" i="1"/>
  <c r="Z9" i="1"/>
  <c r="AA10" i="1"/>
  <c r="Z10" i="1"/>
  <c r="R12" i="2"/>
  <c r="Z8" i="1"/>
  <c r="AA8" i="1"/>
  <c r="AA22" i="1"/>
  <c r="AC21" i="1" s="1"/>
  <c r="J24" i="1" s="1"/>
  <c r="AE8" i="1"/>
  <c r="T60" i="1"/>
  <c r="B20" i="2"/>
  <c r="D27" i="1"/>
  <c r="D28" i="1"/>
  <c r="D25" i="1"/>
  <c r="C21" i="1"/>
  <c r="G21" i="1" s="1"/>
  <c r="G27" i="1"/>
  <c r="G25" i="1"/>
  <c r="G26" i="1"/>
  <c r="F2" i="2"/>
  <c r="G28" i="1"/>
  <c r="G24" i="1"/>
  <c r="AB16" i="1" l="1"/>
  <c r="AD15" i="1" s="1"/>
  <c r="K2" i="2" s="1"/>
  <c r="N13" i="2"/>
  <c r="N11" i="2"/>
  <c r="O2" i="2"/>
  <c r="T2" i="1"/>
  <c r="E25" i="1"/>
  <c r="E27" i="1"/>
  <c r="E24" i="1"/>
  <c r="H2" i="2" s="1"/>
  <c r="E26" i="1"/>
  <c r="E28" i="1"/>
</calcChain>
</file>

<file path=xl/comments1.xml><?xml version="1.0" encoding="utf-8"?>
<comments xmlns="http://schemas.openxmlformats.org/spreadsheetml/2006/main">
  <authors>
    <author/>
  </authors>
  <commentList>
    <comment ref="A16" authorId="0">
      <text>
        <r>
          <rPr>
            <sz val="11"/>
            <color rgb="FF000000"/>
            <rFont val="맑은 고딕"/>
            <family val="3"/>
            <charset val="129"/>
          </rPr>
          <t>장점(p.41)</t>
        </r>
      </text>
    </comment>
    <comment ref="E20" authorId="0">
      <text>
        <r>
          <rPr>
            <sz val="11"/>
            <color rgb="FF000000"/>
            <rFont val="맑은 고딕"/>
            <family val="3"/>
            <charset val="129"/>
          </rPr>
          <t xml:space="preserve">0.25 +/-당 5cp
</t>
        </r>
      </text>
    </comment>
    <comment ref="E21" authorId="0">
      <text>
        <r>
          <rPr>
            <sz val="11"/>
            <color rgb="FF000000"/>
            <rFont val="맑은 고딕"/>
            <family val="3"/>
            <charset val="129"/>
          </rPr>
          <t>기본 속력에서 소수점 이하를 버림</t>
        </r>
      </text>
    </comment>
  </commentList>
</comments>
</file>

<file path=xl/sharedStrings.xml><?xml version="1.0" encoding="utf-8"?>
<sst xmlns="http://schemas.openxmlformats.org/spreadsheetml/2006/main" count="1691" uniqueCount="642">
  <si>
    <t>캐릭터 이름:</t>
  </si>
  <si>
    <t>플레이어 이름:</t>
  </si>
  <si>
    <t>총 CP :</t>
  </si>
  <si>
    <t>키:</t>
  </si>
  <si>
    <t>체중:</t>
  </si>
  <si>
    <t>크기:</t>
  </si>
  <si>
    <t>나이:</t>
  </si>
  <si>
    <t>미 사용 CP:</t>
  </si>
  <si>
    <t>외모:</t>
  </si>
  <si>
    <t>ST</t>
  </si>
  <si>
    <t>DX</t>
  </si>
  <si>
    <t>IQ</t>
  </si>
  <si>
    <t>HT</t>
  </si>
  <si>
    <t>안내를 위한 예시가 미리 기입되어있습니다. 시트를 작성하시면서 모두 삭제해주세요.</t>
  </si>
  <si>
    <t>색칠된 셀은 수정하지 마세요.</t>
  </si>
  <si>
    <t>직접 기입하시면 됩니다.</t>
  </si>
  <si>
    <t>언어(말/글)</t>
  </si>
  <si>
    <t>CP</t>
  </si>
  <si>
    <t>사용 무기</t>
  </si>
  <si>
    <t>피해</t>
  </si>
  <si>
    <t>피해 유형</t>
  </si>
  <si>
    <t>리치</t>
  </si>
  <si>
    <t>실력</t>
  </si>
  <si>
    <t>HP</t>
  </si>
  <si>
    <t>의지력</t>
  </si>
  <si>
    <t>지각력</t>
  </si>
  <si>
    <t>FP</t>
  </si>
  <si>
    <t>클릭해서 효과를 살펴보세요.</t>
  </si>
  <si>
    <t>타격 ST</t>
  </si>
  <si>
    <t>팔 ST</t>
  </si>
  <si>
    <t>TL:</t>
  </si>
  <si>
    <t>부상</t>
  </si>
  <si>
    <t>피하기</t>
  </si>
  <si>
    <t>문화 친숙</t>
  </si>
  <si>
    <t>기본</t>
  </si>
  <si>
    <t>수정</t>
  </si>
  <si>
    <t>기중 ST</t>
  </si>
  <si>
    <t>기중력</t>
  </si>
  <si>
    <t>파괴력</t>
  </si>
  <si>
    <t>유형</t>
  </si>
  <si>
    <t>1/2 피해</t>
  </si>
  <si>
    <t>1/3 미만</t>
  </si>
  <si>
    <t>찌르기</t>
  </si>
  <si>
    <t>휘두르기</t>
  </si>
  <si>
    <t>효과</t>
  </si>
  <si>
    <t xml:space="preserve"> 충격 상태  (능동방어 -4, 다음 턴 행동 없음, 턴이 끝날 때에 HT판정)</t>
  </si>
  <si>
    <t>저항</t>
  </si>
  <si>
    <t>불가</t>
  </si>
  <si>
    <t>실력,수정치, 유형을 입력하면 자동으로 계산됩니다.</t>
  </si>
  <si>
    <t>기본 속력</t>
  </si>
  <si>
    <t>+</t>
  </si>
  <si>
    <t>=</t>
  </si>
  <si>
    <t>동체 DR</t>
  </si>
  <si>
    <t>반응 수정치</t>
  </si>
  <si>
    <t>막기 기능</t>
  </si>
  <si>
    <t>받아내기 기능</t>
  </si>
  <si>
    <t>기본 이동력</t>
  </si>
  <si>
    <t>하 중(Weight)</t>
  </si>
  <si>
    <t>이동력</t>
  </si>
  <si>
    <t>받아내기</t>
  </si>
  <si>
    <t>지위:</t>
  </si>
  <si>
    <t>없음(0)</t>
  </si>
  <si>
    <t>평판:</t>
  </si>
  <si>
    <t>가벼움(1)</t>
  </si>
  <si>
    <t>재산:</t>
  </si>
  <si>
    <t>부위별 DR</t>
  </si>
  <si>
    <t>중간(2)</t>
  </si>
  <si>
    <t>막기</t>
  </si>
  <si>
    <t>두개골</t>
  </si>
  <si>
    <t>얼굴</t>
  </si>
  <si>
    <t>눈</t>
  </si>
  <si>
    <t>무거움(3)</t>
  </si>
  <si>
    <t>매우 무거움(4)</t>
  </si>
  <si>
    <t>난이도, 기반 스탯, 보정치, 수정치를 입력하면 자동으로 계산됩니다.</t>
  </si>
  <si>
    <t>몸통</t>
  </si>
  <si>
    <t>샅</t>
  </si>
  <si>
    <t>목</t>
  </si>
  <si>
    <t>장점과 미점</t>
  </si>
  <si>
    <t>기능</t>
  </si>
  <si>
    <t>난이도</t>
  </si>
  <si>
    <t>기반</t>
  </si>
  <si>
    <t>보정치</t>
  </si>
  <si>
    <t>수정치</t>
  </si>
  <si>
    <t>결과값</t>
  </si>
  <si>
    <t>보통</t>
  </si>
  <si>
    <t>방패</t>
  </si>
  <si>
    <t>쉬움</t>
  </si>
  <si>
    <t>팔</t>
  </si>
  <si>
    <t>다리</t>
  </si>
  <si>
    <t>손</t>
  </si>
  <si>
    <t>발</t>
  </si>
  <si>
    <t>시작 소지금을 입력하면 자동으로 작성됩니다.</t>
  </si>
  <si>
    <t>소지금</t>
  </si>
  <si>
    <t>시작 소지금</t>
  </si>
  <si>
    <t>현재 소지금</t>
  </si>
  <si>
    <t>단점과 버릇</t>
  </si>
  <si>
    <t>테크닉</t>
  </si>
  <si>
    <t>디폴트</t>
  </si>
  <si>
    <t>결과</t>
  </si>
  <si>
    <t>CP 요약</t>
  </si>
  <si>
    <t>특성치/보조 능력치:</t>
  </si>
  <si>
    <t>장점/미점/TL/언어/문화:</t>
  </si>
  <si>
    <t>단점/버릇:</t>
  </si>
  <si>
    <t>기능/테크닉/기타:</t>
  </si>
  <si>
    <t>가격과 무게를 정확하게 입력하세요.</t>
  </si>
  <si>
    <t>개수를 제대로 입력하지 않으면 자동계산에 실패하게 됩니다.</t>
  </si>
  <si>
    <t>가격</t>
  </si>
  <si>
    <t>무게</t>
  </si>
  <si>
    <t>주석</t>
  </si>
  <si>
    <t>현재 하중</t>
  </si>
  <si>
    <t>개당 무게를 적으면 가격은 자동으로 계산됩니다.</t>
  </si>
  <si>
    <t>DB</t>
  </si>
  <si>
    <t>DR</t>
  </si>
  <si>
    <t>적법성</t>
  </si>
  <si>
    <t>탄약</t>
  </si>
  <si>
    <t>개수</t>
  </si>
  <si>
    <t>탄약의 무게는 아래에 적습니다.</t>
  </si>
  <si>
    <t>개수를 반드시 입력하세요.</t>
  </si>
  <si>
    <t>개당 무게와 개당 가격을 적으세요.</t>
  </si>
  <si>
    <t>화살의 무게는 위에 적습니다(1/0.05의 0.05).</t>
  </si>
  <si>
    <t>장거리 무기</t>
  </si>
  <si>
    <t>정확도</t>
  </si>
  <si>
    <t>연사율</t>
  </si>
  <si>
    <t>장탄수</t>
  </si>
  <si>
    <t>반동</t>
  </si>
  <si>
    <t>덩치</t>
  </si>
  <si>
    <t>수류탄과 화염병</t>
  </si>
  <si>
    <t>격발</t>
  </si>
  <si>
    <t>장비별 무게</t>
  </si>
  <si>
    <t>소비금</t>
  </si>
  <si>
    <t>무기</t>
  </si>
  <si>
    <t>갑옷</t>
  </si>
  <si>
    <t>물건</t>
  </si>
  <si>
    <t>한 갑옷이 여러 부위를 중복할 경우, DR만 작성하시면 됩니다.</t>
  </si>
  <si>
    <t>계산을 위한 DR과 실제 DR(예: 4/2*)을 따로 적어주세요.</t>
  </si>
  <si>
    <t>소지 개수에 관계없이 개당 가격과 개당 무게를 작성하시면 됩니다.</t>
  </si>
  <si>
    <t>부위별 갑옷</t>
  </si>
  <si>
    <t>기타 장비</t>
  </si>
  <si>
    <t>만약 2d/베기 피해라면, CP에 16이라고 기입하세요.</t>
  </si>
  <si>
    <t>향상과 제한은 꼭 칸에 맞춰서 쓸 필요는 없습니다.</t>
  </si>
  <si>
    <t>향상율과 차감율은 % 없이 입력해주세요.</t>
  </si>
  <si>
    <t>어려움</t>
  </si>
  <si>
    <t>매우 어려움</t>
  </si>
  <si>
    <t>1d-6</t>
  </si>
  <si>
    <t>1d-5</t>
  </si>
  <si>
    <t>1d-4</t>
  </si>
  <si>
    <t>1d-3</t>
  </si>
  <si>
    <t>1d-2</t>
  </si>
  <si>
    <t>1d-1</t>
  </si>
  <si>
    <t>1d</t>
  </si>
  <si>
    <t>1d+1</t>
  </si>
  <si>
    <t>1d+2</t>
  </si>
  <si>
    <t>2d-1</t>
  </si>
  <si>
    <t>2d</t>
  </si>
  <si>
    <t>2d+1</t>
  </si>
  <si>
    <t>2d+2</t>
  </si>
  <si>
    <t>3d-1</t>
  </si>
  <si>
    <t>3d</t>
  </si>
  <si>
    <t>3d+1</t>
  </si>
  <si>
    <t>3d+2</t>
  </si>
  <si>
    <t>4d-1</t>
  </si>
  <si>
    <t>4d</t>
  </si>
  <si>
    <t>4d+1</t>
  </si>
  <si>
    <t>4d+2</t>
  </si>
  <si>
    <t>5d-1</t>
  </si>
  <si>
    <t>5d</t>
  </si>
  <si>
    <t>5d+1</t>
  </si>
  <si>
    <t>5d+2</t>
  </si>
  <si>
    <t>6d-1</t>
  </si>
  <si>
    <t>6d</t>
  </si>
  <si>
    <t>6d+1</t>
  </si>
  <si>
    <t>6d+2</t>
  </si>
  <si>
    <t>7d-1</t>
  </si>
  <si>
    <t>7d+1</t>
  </si>
  <si>
    <t>8d-1</t>
  </si>
  <si>
    <t>8d+1</t>
  </si>
  <si>
    <t>9d</t>
  </si>
  <si>
    <t>9d+2</t>
  </si>
  <si>
    <t>8d</t>
  </si>
  <si>
    <t>10d</t>
  </si>
  <si>
    <t>8d+2</t>
  </si>
  <si>
    <t>10d+2</t>
  </si>
  <si>
    <t>11d</t>
  </si>
  <si>
    <t>11d+2</t>
  </si>
  <si>
    <t>12d</t>
  </si>
  <si>
    <t>12d+2</t>
  </si>
  <si>
    <t>13d</t>
  </si>
  <si>
    <t>ATK</t>
    <phoneticPr fontId="40" type="noConversion"/>
  </si>
  <si>
    <t>특이사항</t>
    <phoneticPr fontId="40" type="noConversion"/>
  </si>
  <si>
    <t>계산용 빈공간</t>
    <phoneticPr fontId="40" type="noConversion"/>
  </si>
  <si>
    <t>종합기능</t>
  </si>
  <si>
    <t>가롯테(DX-4)</t>
    <phoneticPr fontId="40" type="noConversion"/>
  </si>
  <si>
    <t>특수</t>
    <phoneticPr fontId="40" type="noConversion"/>
  </si>
  <si>
    <t>C</t>
    <phoneticPr fontId="40" type="noConversion"/>
  </si>
  <si>
    <t>불가</t>
    <phoneticPr fontId="40" type="noConversion"/>
  </si>
  <si>
    <t>-</t>
    <phoneticPr fontId="40" type="noConversion"/>
  </si>
  <si>
    <t>[8]</t>
    <phoneticPr fontId="40" type="noConversion"/>
  </si>
  <si>
    <t>가롯테</t>
    <phoneticPr fontId="40" type="noConversion"/>
  </si>
  <si>
    <t>광선검(DX-5, 다른 도검 기능 -3)</t>
    <phoneticPr fontId="40" type="noConversion"/>
  </si>
  <si>
    <t>광선검</t>
    <phoneticPr fontId="40" type="noConversion"/>
  </si>
  <si>
    <t>1,2</t>
    <phoneticPr fontId="40" type="noConversion"/>
  </si>
  <si>
    <t>[7]</t>
    <phoneticPr fontId="40" type="noConversion"/>
  </si>
  <si>
    <t>단도</t>
    <phoneticPr fontId="40" type="noConversion"/>
  </si>
  <si>
    <t>나무말뚝</t>
    <phoneticPr fontId="40" type="noConversion"/>
  </si>
  <si>
    <t>대형 단도</t>
    <phoneticPr fontId="40" type="noConversion"/>
  </si>
  <si>
    <t>소형 단도</t>
    <phoneticPr fontId="40" type="noConversion"/>
  </si>
  <si>
    <t>단검</t>
    <phoneticPr fontId="40" type="noConversion"/>
  </si>
  <si>
    <t>[1]</t>
    <phoneticPr fontId="40" type="noConversion"/>
  </si>
  <si>
    <t>C,1</t>
    <phoneticPr fontId="40" type="noConversion"/>
  </si>
  <si>
    <t>단분자채찍(DX-6, 사슬추-3, 채찍-3)</t>
    <phoneticPr fontId="40" type="noConversion"/>
  </si>
  <si>
    <t>단분자채찍</t>
    <phoneticPr fontId="40" type="noConversion"/>
  </si>
  <si>
    <t>1~7*</t>
    <phoneticPr fontId="40" type="noConversion"/>
  </si>
  <si>
    <t>-2U</t>
    <phoneticPr fontId="40" type="noConversion"/>
  </si>
  <si>
    <t>대검(DX-5)</t>
    <phoneticPr fontId="40" type="noConversion"/>
  </si>
  <si>
    <t>곤봉</t>
    <phoneticPr fontId="40" type="noConversion"/>
  </si>
  <si>
    <t>브로드소드</t>
    <phoneticPr fontId="40" type="noConversion"/>
  </si>
  <si>
    <t>찌르기용 브로드소드</t>
    <phoneticPr fontId="40" type="noConversion"/>
  </si>
  <si>
    <t>바스타드소드</t>
    <phoneticPr fontId="40" type="noConversion"/>
  </si>
  <si>
    <t>일본도</t>
    <phoneticPr fontId="40" type="noConversion"/>
  </si>
  <si>
    <t>찌르기용 바스타드소드</t>
    <phoneticPr fontId="40" type="noConversion"/>
  </si>
  <si>
    <t>기병도</t>
    <phoneticPr fontId="40" type="noConversion"/>
  </si>
  <si>
    <t>도끼/철퇴(DX-5)</t>
    <phoneticPr fontId="40" type="noConversion"/>
  </si>
  <si>
    <t>0U</t>
    <phoneticPr fontId="40" type="noConversion"/>
  </si>
  <si>
    <t>소형 방패</t>
    <phoneticPr fontId="40" type="noConversion"/>
  </si>
  <si>
    <t>[2,3,4]</t>
    <phoneticPr fontId="40" type="noConversion"/>
  </si>
  <si>
    <t>1(2)</t>
    <phoneticPr fontId="40" type="noConversion"/>
  </si>
  <si>
    <t>10+</t>
    <phoneticPr fontId="40" type="noConversion"/>
  </si>
  <si>
    <t>[3]</t>
    <phoneticPr fontId="40" type="noConversion"/>
  </si>
  <si>
    <t>찌르기</t>
    <phoneticPr fontId="40" type="noConversion"/>
  </si>
  <si>
    <t>휘두르기</t>
    <phoneticPr fontId="40" type="noConversion"/>
  </si>
  <si>
    <t>파괴력</t>
    <phoneticPr fontId="40" type="noConversion"/>
  </si>
  <si>
    <t>근거리 공격 판정</t>
    <phoneticPr fontId="40" type="noConversion"/>
  </si>
  <si>
    <t>장거리 공격 판정</t>
    <phoneticPr fontId="40" type="noConversion"/>
  </si>
  <si>
    <t>최대</t>
    <phoneticPr fontId="40" type="noConversion"/>
  </si>
  <si>
    <t>실력</t>
    <phoneticPr fontId="40" type="noConversion"/>
  </si>
  <si>
    <t>8d(5)</t>
    <phoneticPr fontId="40" type="noConversion"/>
  </si>
  <si>
    <t>열</t>
    <phoneticPr fontId="40" type="noConversion"/>
  </si>
  <si>
    <t>꿰기</t>
  </si>
  <si>
    <t>베기</t>
  </si>
  <si>
    <t>때리기</t>
  </si>
  <si>
    <t>1d-2(10)</t>
    <phoneticPr fontId="40" type="noConversion"/>
  </si>
  <si>
    <t>근거리 무기</t>
    <phoneticPr fontId="40" type="noConversion"/>
  </si>
  <si>
    <t>기능</t>
    <phoneticPr fontId="40" type="noConversion"/>
  </si>
  <si>
    <t>가롯테</t>
    <phoneticPr fontId="40" type="noConversion"/>
  </si>
  <si>
    <t>광선검</t>
    <phoneticPr fontId="40" type="noConversion"/>
  </si>
  <si>
    <t>단도</t>
    <phoneticPr fontId="40" type="noConversion"/>
  </si>
  <si>
    <t>단분자채찍</t>
    <phoneticPr fontId="40" type="noConversion"/>
  </si>
  <si>
    <t>대검</t>
    <phoneticPr fontId="40" type="noConversion"/>
  </si>
  <si>
    <t>도끼/철퇴</t>
    <phoneticPr fontId="40" type="noConversion"/>
  </si>
  <si>
    <t>찌르기</t>
    <phoneticPr fontId="40" type="noConversion"/>
  </si>
  <si>
    <t>휘두르기</t>
    <phoneticPr fontId="40" type="noConversion"/>
  </si>
  <si>
    <t>휘두르기</t>
    <phoneticPr fontId="40" type="noConversion"/>
  </si>
  <si>
    <t>찌르기</t>
    <phoneticPr fontId="40" type="noConversion"/>
  </si>
  <si>
    <t>휘두르기</t>
    <phoneticPr fontId="40" type="noConversion"/>
  </si>
  <si>
    <t>휘두르기</t>
    <phoneticPr fontId="40" type="noConversion"/>
  </si>
  <si>
    <t>찌르기</t>
    <phoneticPr fontId="40" type="noConversion"/>
  </si>
  <si>
    <t>휘두르기</t>
    <phoneticPr fontId="40" type="noConversion"/>
  </si>
  <si>
    <t>활</t>
    <phoneticPr fontId="40" type="noConversion"/>
  </si>
  <si>
    <t>중형 방패</t>
    <phoneticPr fontId="40" type="noConversion"/>
  </si>
  <si>
    <t>대형 방패</t>
    <phoneticPr fontId="40" type="noConversion"/>
  </si>
  <si>
    <t>[2,4]</t>
    <phoneticPr fontId="40" type="noConversion"/>
  </si>
  <si>
    <t>가벼운 방패</t>
    <phoneticPr fontId="40" type="noConversion"/>
  </si>
  <si>
    <t>유형</t>
    <phoneticPr fontId="40" type="noConversion"/>
  </si>
  <si>
    <t>주사위</t>
    <phoneticPr fontId="40" type="noConversion"/>
  </si>
  <si>
    <t>수정치</t>
    <phoneticPr fontId="40" type="noConversion"/>
  </si>
  <si>
    <t>찌르기</t>
    <phoneticPr fontId="40" type="noConversion"/>
  </si>
  <si>
    <t>꿰기</t>
    <phoneticPr fontId="40" type="noConversion"/>
  </si>
  <si>
    <t>때리기</t>
    <phoneticPr fontId="40" type="noConversion"/>
  </si>
  <si>
    <t>도끼</t>
    <phoneticPr fontId="40" type="noConversion"/>
  </si>
  <si>
    <t>손도끼</t>
    <phoneticPr fontId="40" type="noConversion"/>
  </si>
  <si>
    <t>투척용 도끼</t>
    <phoneticPr fontId="40" type="noConversion"/>
  </si>
  <si>
    <t>소형 철퇴</t>
    <phoneticPr fontId="40" type="noConversion"/>
  </si>
  <si>
    <t>철퇴</t>
    <phoneticPr fontId="40" type="noConversion"/>
  </si>
  <si>
    <t>전투 곡괭이</t>
    <phoneticPr fontId="40" type="noConversion"/>
  </si>
  <si>
    <t>베기</t>
    <phoneticPr fontId="40" type="noConversion"/>
  </si>
  <si>
    <t>때리기</t>
    <phoneticPr fontId="40" type="noConversion"/>
  </si>
  <si>
    <t>꿰기</t>
    <phoneticPr fontId="40" type="noConversion"/>
  </si>
  <si>
    <t>[2]</t>
    <phoneticPr fontId="40" type="noConversion"/>
  </si>
  <si>
    <t>도리깨(DX-6)</t>
    <phoneticPr fontId="40" type="noConversion"/>
  </si>
  <si>
    <t>도리깨</t>
    <phoneticPr fontId="40" type="noConversion"/>
  </si>
  <si>
    <t>모닝스타</t>
    <phoneticPr fontId="40" type="noConversion"/>
  </si>
  <si>
    <t>쌍절곤</t>
    <phoneticPr fontId="40" type="noConversion"/>
  </si>
  <si>
    <t>[6]</t>
    <phoneticPr fontId="40" type="noConversion"/>
  </si>
  <si>
    <t>랜스(DX-5)</t>
    <phoneticPr fontId="40" type="noConversion"/>
  </si>
  <si>
    <t>랜스</t>
    <phoneticPr fontId="40" type="noConversion"/>
  </si>
  <si>
    <t>[9]</t>
    <phoneticPr fontId="40" type="noConversion"/>
  </si>
  <si>
    <t>레이피어</t>
    <phoneticPr fontId="40" type="noConversion"/>
  </si>
  <si>
    <t>방패 공격</t>
    <phoneticPr fontId="40" type="noConversion"/>
  </si>
  <si>
    <t>징 박힌 방패 공격</t>
    <phoneticPr fontId="40" type="noConversion"/>
  </si>
  <si>
    <t>육척봉</t>
    <phoneticPr fontId="40" type="noConversion"/>
  </si>
  <si>
    <t>나기나타</t>
    <phoneticPr fontId="40" type="noConversion"/>
  </si>
  <si>
    <t>사브르</t>
    <phoneticPr fontId="40" type="noConversion"/>
  </si>
  <si>
    <t>사슬추</t>
    <phoneticPr fontId="40" type="noConversion"/>
  </si>
  <si>
    <t>배턴</t>
    <phoneticPr fontId="40" type="noConversion"/>
  </si>
  <si>
    <t>쇼트소드</t>
    <phoneticPr fontId="40" type="noConversion"/>
  </si>
  <si>
    <t>커틀러스</t>
    <phoneticPr fontId="40" type="noConversion"/>
  </si>
  <si>
    <t>소몰이용 전기봉</t>
    <phoneticPr fontId="40" type="noConversion"/>
  </si>
  <si>
    <t>동시</t>
    <phoneticPr fontId="40" type="noConversion"/>
  </si>
  <si>
    <t>방패</t>
    <phoneticPr fontId="40" type="noConversion"/>
  </si>
  <si>
    <t>봉</t>
    <phoneticPr fontId="40" type="noConversion"/>
  </si>
  <si>
    <t>소검</t>
    <phoneticPr fontId="40" type="noConversion"/>
  </si>
  <si>
    <t>1d-3</t>
    <phoneticPr fontId="40" type="noConversion"/>
  </si>
  <si>
    <t>HT-3(0.5)</t>
    <phoneticPr fontId="40" type="noConversion"/>
  </si>
  <si>
    <t>해악</t>
    <phoneticPr fontId="40" type="noConversion"/>
  </si>
  <si>
    <t>1~4*</t>
    <phoneticPr fontId="40" type="noConversion"/>
  </si>
  <si>
    <t>0F</t>
    <phoneticPr fontId="40" type="noConversion"/>
  </si>
  <si>
    <t>7+</t>
    <phoneticPr fontId="40" type="noConversion"/>
  </si>
  <si>
    <t>9+</t>
    <phoneticPr fontId="40" type="noConversion"/>
  </si>
  <si>
    <t>반대쪽 끝</t>
    <phoneticPr fontId="40" type="noConversion"/>
  </si>
  <si>
    <t>[10]</t>
    <phoneticPr fontId="40" type="noConversion"/>
  </si>
  <si>
    <t>[5]</t>
    <phoneticPr fontId="40" type="noConversion"/>
  </si>
  <si>
    <t>단봉</t>
    <phoneticPr fontId="40" type="noConversion"/>
  </si>
  <si>
    <t>스몰소드</t>
    <phoneticPr fontId="40" type="noConversion"/>
  </si>
  <si>
    <t>그레이트소드</t>
    <phoneticPr fontId="40" type="noConversion"/>
  </si>
  <si>
    <t>찌르기용 그레이트소드</t>
    <phoneticPr fontId="40" type="noConversion"/>
  </si>
  <si>
    <t>메</t>
    <phoneticPr fontId="40" type="noConversion"/>
  </si>
  <si>
    <t>그레이트액스</t>
    <phoneticPr fontId="40" type="noConversion"/>
  </si>
  <si>
    <t>낫</t>
    <phoneticPr fontId="40" type="noConversion"/>
  </si>
  <si>
    <t>워해머</t>
    <phoneticPr fontId="40" type="noConversion"/>
  </si>
  <si>
    <t>동력톱</t>
    <phoneticPr fontId="40" type="noConversion"/>
  </si>
  <si>
    <t>글레이브</t>
    <phoneticPr fontId="40" type="noConversion"/>
  </si>
  <si>
    <t>할버드</t>
    <phoneticPr fontId="40" type="noConversion"/>
  </si>
  <si>
    <t>폴액스</t>
    <phoneticPr fontId="40" type="noConversion"/>
  </si>
  <si>
    <t>창</t>
    <phoneticPr fontId="40" type="noConversion"/>
  </si>
  <si>
    <t>양손으로 사용</t>
    <phoneticPr fontId="40" type="noConversion"/>
  </si>
  <si>
    <t>장창</t>
    <phoneticPr fontId="40" type="noConversion"/>
  </si>
  <si>
    <t>투창</t>
    <phoneticPr fontId="40" type="noConversion"/>
  </si>
  <si>
    <t>채찍</t>
    <phoneticPr fontId="40" type="noConversion"/>
  </si>
  <si>
    <t>양손검</t>
    <phoneticPr fontId="40" type="noConversion"/>
  </si>
  <si>
    <t>양손 도끼/철퇴</t>
    <phoneticPr fontId="40" type="noConversion"/>
  </si>
  <si>
    <t>양손 도리깨</t>
    <phoneticPr fontId="40" type="noConversion"/>
  </si>
  <si>
    <t>장대무기</t>
    <phoneticPr fontId="40" type="noConversion"/>
  </si>
  <si>
    <t>1d</t>
    <phoneticPr fontId="40" type="noConversion"/>
  </si>
  <si>
    <t>-2(0.5)</t>
    <phoneticPr fontId="40" type="noConversion"/>
  </si>
  <si>
    <t>1,2*</t>
    <phoneticPr fontId="40" type="noConversion"/>
  </si>
  <si>
    <t>2,3*</t>
    <phoneticPr fontId="40" type="noConversion"/>
  </si>
  <si>
    <t>1~3*</t>
    <phoneticPr fontId="40" type="noConversion"/>
  </si>
  <si>
    <t>1*</t>
    <phoneticPr fontId="40" type="noConversion"/>
  </si>
  <si>
    <t>12+</t>
    <phoneticPr fontId="40" type="noConversion"/>
  </si>
  <si>
    <t>13++</t>
    <phoneticPr fontId="40" type="noConversion"/>
  </si>
  <si>
    <t>12++</t>
    <phoneticPr fontId="40" type="noConversion"/>
  </si>
  <si>
    <t>11++</t>
    <phoneticPr fontId="40" type="noConversion"/>
  </si>
  <si>
    <t>10++</t>
    <phoneticPr fontId="40" type="noConversion"/>
  </si>
  <si>
    <t>11+</t>
    <phoneticPr fontId="40" type="noConversion"/>
  </si>
  <si>
    <t>다양</t>
    <phoneticPr fontId="40" type="noConversion"/>
  </si>
  <si>
    <t>[11]</t>
    <phoneticPr fontId="40" type="noConversion"/>
  </si>
  <si>
    <t>[12]</t>
    <phoneticPr fontId="40" type="noConversion"/>
  </si>
  <si>
    <t>긴 송곳니</t>
    <phoneticPr fontId="40" type="noConversion"/>
  </si>
  <si>
    <t>날카로운 부리</t>
    <phoneticPr fontId="40" type="noConversion"/>
  </si>
  <si>
    <t>날카로운 이빨</t>
    <phoneticPr fontId="40" type="noConversion"/>
  </si>
  <si>
    <t>둔한 이빨</t>
    <phoneticPr fontId="40" type="noConversion"/>
  </si>
  <si>
    <t>타격기관</t>
    <phoneticPr fontId="40" type="noConversion"/>
  </si>
  <si>
    <t>블랙잭</t>
    <phoneticPr fontId="40" type="noConversion"/>
  </si>
  <si>
    <t>전기충격기</t>
    <phoneticPr fontId="40" type="noConversion"/>
  </si>
  <si>
    <t>주먹</t>
    <phoneticPr fontId="40" type="noConversion"/>
  </si>
  <si>
    <t>너클</t>
    <phoneticPr fontId="40" type="noConversion"/>
  </si>
  <si>
    <t>발차기</t>
    <phoneticPr fontId="40" type="noConversion"/>
  </si>
  <si>
    <t>발차기(구두)</t>
    <phoneticPr fontId="40" type="noConversion"/>
  </si>
  <si>
    <t>격투</t>
    <phoneticPr fontId="40" type="noConversion"/>
  </si>
  <si>
    <t>격투,권법,복싱</t>
    <phoneticPr fontId="40" type="noConversion"/>
  </si>
  <si>
    <t>격투-2,권법-2</t>
    <phoneticPr fontId="40" type="noConversion"/>
  </si>
  <si>
    <t>격투-2,권법-3</t>
  </si>
  <si>
    <t>뚫기+</t>
    <phoneticPr fontId="40" type="noConversion"/>
  </si>
  <si>
    <t>P.90참조</t>
    <phoneticPr fontId="40" type="noConversion"/>
  </si>
  <si>
    <t>[3,4]</t>
    <phoneticPr fontId="40" type="noConversion"/>
  </si>
  <si>
    <t>대형 그물</t>
    <phoneticPr fontId="40" type="noConversion"/>
  </si>
  <si>
    <t>전투 그물</t>
    <phoneticPr fontId="40" type="noConversion"/>
  </si>
  <si>
    <t>대형 망토</t>
    <phoneticPr fontId="40" type="noConversion"/>
  </si>
  <si>
    <t>소형 망토</t>
    <phoneticPr fontId="40" type="noConversion"/>
  </si>
  <si>
    <t>바람총</t>
    <phoneticPr fontId="40" type="noConversion"/>
  </si>
  <si>
    <t>볼라</t>
    <phoneticPr fontId="40" type="noConversion"/>
  </si>
  <si>
    <t>슬링</t>
    <phoneticPr fontId="40" type="noConversion"/>
  </si>
  <si>
    <t>막대슬링</t>
    <phoneticPr fontId="40" type="noConversion"/>
  </si>
  <si>
    <t>그물</t>
    <phoneticPr fontId="40" type="noConversion"/>
  </si>
  <si>
    <t>그물</t>
    <phoneticPr fontId="40" type="noConversion"/>
  </si>
  <si>
    <t>망토</t>
    <phoneticPr fontId="40" type="noConversion"/>
  </si>
  <si>
    <t>반감</t>
    <phoneticPr fontId="40" type="noConversion"/>
  </si>
  <si>
    <t>최대</t>
    <phoneticPr fontId="40" type="noConversion"/>
  </si>
  <si>
    <t>특수</t>
    <phoneticPr fontId="40" type="noConversion"/>
  </si>
  <si>
    <t>x4</t>
    <phoneticPr fontId="40" type="noConversion"/>
  </si>
  <si>
    <t>x3</t>
    <phoneticPr fontId="40" type="noConversion"/>
  </si>
  <si>
    <t>x6</t>
    <phoneticPr fontId="40" type="noConversion"/>
  </si>
  <si>
    <t>x10</t>
    <phoneticPr fontId="40" type="noConversion"/>
  </si>
  <si>
    <t>x15</t>
    <phoneticPr fontId="40" type="noConversion"/>
  </si>
  <si>
    <t>찌르기</t>
    <phoneticPr fontId="40" type="noConversion"/>
  </si>
  <si>
    <t>휘두르기</t>
    <phoneticPr fontId="40" type="noConversion"/>
  </si>
  <si>
    <t>1d-3</t>
    <phoneticPr fontId="40" type="noConversion"/>
  </si>
  <si>
    <t>뚫기-</t>
    <phoneticPr fontId="40" type="noConversion"/>
  </si>
  <si>
    <t>때리기</t>
    <phoneticPr fontId="40" type="noConversion"/>
  </si>
  <si>
    <t>뚫기</t>
    <phoneticPr fontId="40" type="noConversion"/>
  </si>
  <si>
    <t>T(1)</t>
    <phoneticPr fontId="40" type="noConversion"/>
  </si>
  <si>
    <t>T(1)</t>
    <phoneticPr fontId="40" type="noConversion"/>
  </si>
  <si>
    <t>1(2)</t>
    <phoneticPr fontId="40" type="noConversion"/>
  </si>
  <si>
    <t>[4,6]</t>
    <phoneticPr fontId="40" type="noConversion"/>
  </si>
  <si>
    <t>[4,6]</t>
    <phoneticPr fontId="40" type="noConversion"/>
  </si>
  <si>
    <t>[4]</t>
    <phoneticPr fontId="40" type="noConversion"/>
  </si>
  <si>
    <t>[4]</t>
    <phoneticPr fontId="40" type="noConversion"/>
  </si>
  <si>
    <t>[1,2,3]</t>
    <phoneticPr fontId="40" type="noConversion"/>
  </si>
  <si>
    <t>[2,3,7]</t>
    <phoneticPr fontId="40" type="noConversion"/>
  </si>
  <si>
    <t>[3,7]</t>
    <phoneticPr fontId="40" type="noConversion"/>
  </si>
  <si>
    <t>십자궁</t>
    <phoneticPr fontId="40" type="noConversion"/>
  </si>
  <si>
    <t>석궁</t>
    <phoneticPr fontId="40" type="noConversion"/>
  </si>
  <si>
    <t>손십자궁</t>
    <phoneticPr fontId="40" type="noConversion"/>
  </si>
  <si>
    <t>염소발</t>
    <phoneticPr fontId="40" type="noConversion"/>
  </si>
  <si>
    <t>올가미</t>
    <phoneticPr fontId="40" type="noConversion"/>
  </si>
  <si>
    <t>아틀라틀</t>
    <phoneticPr fontId="40" type="noConversion"/>
  </si>
  <si>
    <t>(다트 사용)</t>
    <phoneticPr fontId="40" type="noConversion"/>
  </si>
  <si>
    <t>(투창 사용)</t>
    <phoneticPr fontId="40" type="noConversion"/>
  </si>
  <si>
    <t>나무 말뚝</t>
    <phoneticPr fontId="40" type="noConversion"/>
  </si>
  <si>
    <t>대형 단도</t>
    <phoneticPr fontId="40" type="noConversion"/>
  </si>
  <si>
    <t>소형 단도</t>
    <phoneticPr fontId="40" type="noConversion"/>
  </si>
  <si>
    <t>단검</t>
    <phoneticPr fontId="40" type="noConversion"/>
  </si>
  <si>
    <t>손도끼</t>
    <phoneticPr fontId="40" type="noConversion"/>
  </si>
  <si>
    <t>투척용 도끼</t>
    <phoneticPr fontId="40" type="noConversion"/>
  </si>
  <si>
    <t>소형 철퇴</t>
    <phoneticPr fontId="40" type="noConversion"/>
  </si>
  <si>
    <t>철퇴</t>
    <phoneticPr fontId="40" type="noConversion"/>
  </si>
  <si>
    <t>슈리켄</t>
    <phoneticPr fontId="40" type="noConversion"/>
  </si>
  <si>
    <t>작살</t>
    <phoneticPr fontId="40" type="noConversion"/>
  </si>
  <si>
    <t>창</t>
    <phoneticPr fontId="40" type="noConversion"/>
  </si>
  <si>
    <t>투창</t>
    <phoneticPr fontId="40" type="noConversion"/>
  </si>
  <si>
    <t>단궁</t>
    <phoneticPr fontId="40" type="noConversion"/>
  </si>
  <si>
    <t>보통 활</t>
    <phoneticPr fontId="40" type="noConversion"/>
  </si>
  <si>
    <t>장궁</t>
    <phoneticPr fontId="40" type="noConversion"/>
  </si>
  <si>
    <t>복합궁</t>
    <phoneticPr fontId="40" type="noConversion"/>
  </si>
  <si>
    <t>투창기</t>
    <phoneticPr fontId="40" type="noConversion"/>
  </si>
  <si>
    <t>투척 무기(단도)</t>
    <phoneticPr fontId="40" type="noConversion"/>
  </si>
  <si>
    <t>투척 무기(도끼/철퇴)</t>
    <phoneticPr fontId="40" type="noConversion"/>
  </si>
  <si>
    <t>투척 무기(슈리켄)</t>
    <phoneticPr fontId="40" type="noConversion"/>
  </si>
  <si>
    <t>투척 무기(작살)</t>
    <phoneticPr fontId="40" type="noConversion"/>
  </si>
  <si>
    <t>투척 무기(창)</t>
    <phoneticPr fontId="40" type="noConversion"/>
  </si>
  <si>
    <t>활</t>
    <phoneticPr fontId="40" type="noConversion"/>
  </si>
  <si>
    <t>x20</t>
    <phoneticPr fontId="40" type="noConversion"/>
  </si>
  <si>
    <t>x0.5</t>
    <phoneticPr fontId="40" type="noConversion"/>
  </si>
  <si>
    <t>x0.8</t>
    <phoneticPr fontId="40" type="noConversion"/>
  </si>
  <si>
    <t>x1.5</t>
    <phoneticPr fontId="40" type="noConversion"/>
  </si>
  <si>
    <t>x1</t>
    <phoneticPr fontId="40" type="noConversion"/>
  </si>
  <si>
    <t>x25</t>
    <phoneticPr fontId="40" type="noConversion"/>
  </si>
  <si>
    <t>x2</t>
    <phoneticPr fontId="40" type="noConversion"/>
  </si>
  <si>
    <t>x2.5</t>
    <phoneticPr fontId="40" type="noConversion"/>
  </si>
  <si>
    <t>(0.5)</t>
    <phoneticPr fontId="40" type="noConversion"/>
  </si>
  <si>
    <t>꿰기</t>
    <phoneticPr fontId="40" type="noConversion"/>
  </si>
  <si>
    <t>베기</t>
    <phoneticPr fontId="40" type="noConversion"/>
  </si>
  <si>
    <t>1(4)</t>
    <phoneticPr fontId="40" type="noConversion"/>
  </si>
  <si>
    <t>(20)</t>
    <phoneticPr fontId="40" type="noConversion"/>
  </si>
  <si>
    <t>T(특수)</t>
    <phoneticPr fontId="40" type="noConversion"/>
  </si>
  <si>
    <t>1(1)</t>
    <phoneticPr fontId="40" type="noConversion"/>
  </si>
  <si>
    <t>7+</t>
    <phoneticPr fontId="40" type="noConversion"/>
  </si>
  <si>
    <t>10+</t>
    <phoneticPr fontId="40" type="noConversion"/>
  </si>
  <si>
    <t>11+</t>
    <phoneticPr fontId="40" type="noConversion"/>
  </si>
  <si>
    <t>[3]</t>
    <phoneticPr fontId="40" type="noConversion"/>
  </si>
  <si>
    <t>[2,3]</t>
    <phoneticPr fontId="40" type="noConversion"/>
  </si>
  <si>
    <t>[5]</t>
    <phoneticPr fontId="40" type="noConversion"/>
  </si>
  <si>
    <t>[2]</t>
    <phoneticPr fontId="40" type="noConversion"/>
  </si>
  <si>
    <t>[8]</t>
    <phoneticPr fontId="40" type="noConversion"/>
  </si>
  <si>
    <t>망토</t>
    <phoneticPr fontId="40" type="noConversion"/>
  </si>
  <si>
    <t>바람총</t>
    <phoneticPr fontId="40" type="noConversion"/>
  </si>
  <si>
    <t>볼라</t>
    <phoneticPr fontId="40" type="noConversion"/>
  </si>
  <si>
    <t>십자궁</t>
    <phoneticPr fontId="40" type="noConversion"/>
  </si>
  <si>
    <t>투창기</t>
    <phoneticPr fontId="40" type="noConversion"/>
  </si>
  <si>
    <t>투척 무기(단도)</t>
    <phoneticPr fontId="40" type="noConversion"/>
  </si>
  <si>
    <t>투척 무기(도끼/철퇴)</t>
    <phoneticPr fontId="40" type="noConversion"/>
  </si>
  <si>
    <t>투척 무기(슈리켄)</t>
    <phoneticPr fontId="40" type="noConversion"/>
  </si>
  <si>
    <t>투척 무기(작살)</t>
    <phoneticPr fontId="40" type="noConversion"/>
  </si>
  <si>
    <t>투척 무기(창)</t>
    <phoneticPr fontId="40" type="noConversion"/>
  </si>
  <si>
    <t>소형 망토</t>
    <phoneticPr fontId="40" type="noConversion"/>
  </si>
  <si>
    <t>[1]</t>
    <phoneticPr fontId="40" type="noConversion"/>
  </si>
  <si>
    <t>방패</t>
    <phoneticPr fontId="40" type="noConversion"/>
  </si>
  <si>
    <t xml:space="preserve"> 비틀거림   (이동력, 피하기 ½)</t>
    <phoneticPr fontId="40" type="noConversion"/>
  </si>
  <si>
    <t>두개골</t>
    <phoneticPr fontId="40" type="noConversion"/>
  </si>
  <si>
    <t>가죽 모자</t>
    <phoneticPr fontId="40" type="noConversion"/>
  </si>
  <si>
    <t>1*</t>
    <phoneticPr fontId="40" type="noConversion"/>
  </si>
  <si>
    <t>두개골</t>
    <phoneticPr fontId="40" type="noConversion"/>
  </si>
  <si>
    <t>가죽 투구</t>
    <phoneticPr fontId="40" type="noConversion"/>
  </si>
  <si>
    <t>얼굴</t>
    <phoneticPr fontId="40" type="noConversion"/>
  </si>
  <si>
    <t>천 모자</t>
    <phoneticPr fontId="40" type="noConversion"/>
  </si>
  <si>
    <t>1*</t>
    <phoneticPr fontId="40" type="noConversion"/>
  </si>
  <si>
    <t>청동 모자</t>
    <phoneticPr fontId="40" type="noConversion"/>
  </si>
  <si>
    <t>청동 투구</t>
    <phoneticPr fontId="40" type="noConversion"/>
  </si>
  <si>
    <t>로마식 투구</t>
    <phoneticPr fontId="40" type="noConversion"/>
  </si>
  <si>
    <t>메일 코이프</t>
    <phoneticPr fontId="40" type="noConversion"/>
  </si>
  <si>
    <t>4/2*</t>
    <phoneticPr fontId="40" type="noConversion"/>
  </si>
  <si>
    <t>[3]</t>
    <phoneticPr fontId="40" type="noConversion"/>
  </si>
  <si>
    <t>목</t>
    <phoneticPr fontId="40" type="noConversion"/>
  </si>
  <si>
    <t>메일 코이프</t>
    <phoneticPr fontId="40" type="noConversion"/>
  </si>
  <si>
    <t>4/2*</t>
    <phoneticPr fontId="40" type="noConversion"/>
  </si>
  <si>
    <t>[3]</t>
    <phoneticPr fontId="40" type="noConversion"/>
  </si>
  <si>
    <t>두개골</t>
    <phoneticPr fontId="40" type="noConversion"/>
  </si>
  <si>
    <t>강철 투구</t>
    <phoneticPr fontId="40" type="noConversion"/>
  </si>
  <si>
    <t>[4]</t>
    <phoneticPr fontId="40" type="noConversion"/>
  </si>
  <si>
    <t>얼굴</t>
    <phoneticPr fontId="40" type="noConversion"/>
  </si>
  <si>
    <t>강철 투구</t>
    <phoneticPr fontId="40" type="noConversion"/>
  </si>
  <si>
    <t>두개골</t>
    <phoneticPr fontId="40" type="noConversion"/>
  </si>
  <si>
    <t>그레이트헬름</t>
    <phoneticPr fontId="40" type="noConversion"/>
  </si>
  <si>
    <t>목</t>
    <phoneticPr fontId="40" type="noConversion"/>
  </si>
  <si>
    <t>면갑</t>
    <phoneticPr fontId="40" type="noConversion"/>
  </si>
  <si>
    <t>철모</t>
    <phoneticPr fontId="40" type="noConversion"/>
  </si>
  <si>
    <t>몸통</t>
    <phoneticPr fontId="40" type="noConversion"/>
  </si>
  <si>
    <t>털가죽 웃옷</t>
    <phoneticPr fontId="40" type="noConversion"/>
  </si>
  <si>
    <t>1*</t>
    <phoneticPr fontId="40" type="noConversion"/>
  </si>
  <si>
    <t>[1]</t>
    <phoneticPr fontId="40" type="noConversion"/>
  </si>
  <si>
    <t>샅</t>
    <phoneticPr fontId="40" type="noConversion"/>
  </si>
  <si>
    <t>털가죽 허리싸개</t>
    <phoneticPr fontId="40" type="noConversion"/>
  </si>
  <si>
    <t>가죽 갑옷</t>
    <phoneticPr fontId="40" type="noConversion"/>
  </si>
  <si>
    <t>팔</t>
    <phoneticPr fontId="40" type="noConversion"/>
  </si>
  <si>
    <t>가죽 자켓</t>
    <phoneticPr fontId="40" type="noConversion"/>
  </si>
  <si>
    <t>천 갑옷</t>
    <phoneticPr fontId="40" type="noConversion"/>
  </si>
  <si>
    <t>청동 코슬렛</t>
    <phoneticPr fontId="40" type="noConversion"/>
  </si>
  <si>
    <t>청동 흉갑</t>
    <phoneticPr fontId="40" type="noConversion"/>
  </si>
  <si>
    <t>4전</t>
    <phoneticPr fontId="40" type="noConversion"/>
  </si>
  <si>
    <t>[2]</t>
    <phoneticPr fontId="40" type="noConversion"/>
  </si>
  <si>
    <t>경장 미늘 갑옷</t>
    <phoneticPr fontId="40" type="noConversion"/>
  </si>
  <si>
    <t>로리카 세그멘타타</t>
    <phoneticPr fontId="40" type="noConversion"/>
  </si>
  <si>
    <t>메일 상의</t>
    <phoneticPr fontId="40" type="noConversion"/>
  </si>
  <si>
    <t>[1,3]</t>
    <phoneticPr fontId="40" type="noConversion"/>
  </si>
  <si>
    <t>메일 호버크</t>
    <phoneticPr fontId="40" type="noConversion"/>
  </si>
  <si>
    <t>미늘 갑옷</t>
    <phoneticPr fontId="40" type="noConversion"/>
  </si>
  <si>
    <t>강철 중장 코슬렛</t>
    <phoneticPr fontId="40" type="noConversion"/>
  </si>
  <si>
    <t>강철 코슬렛</t>
    <phoneticPr fontId="40" type="noConversion"/>
  </si>
  <si>
    <t>강철 흉갑</t>
    <phoneticPr fontId="40" type="noConversion"/>
  </si>
  <si>
    <t>5전</t>
    <phoneticPr fontId="40" type="noConversion"/>
  </si>
  <si>
    <t>더블메일 호버크</t>
    <phoneticPr fontId="40" type="noConversion"/>
  </si>
  <si>
    <t>5/3*</t>
    <phoneticPr fontId="40" type="noConversion"/>
  </si>
  <si>
    <t>편철 갑옷</t>
    <phoneticPr fontId="40" type="noConversion"/>
  </si>
  <si>
    <t>버프 코트(가죽)</t>
    <phoneticPr fontId="40" type="noConversion"/>
  </si>
  <si>
    <t>2*</t>
    <phoneticPr fontId="40" type="noConversion"/>
  </si>
  <si>
    <t>다리</t>
    <phoneticPr fontId="40" type="noConversion"/>
  </si>
  <si>
    <t>가죽 각반</t>
    <phoneticPr fontId="40" type="noConversion"/>
  </si>
  <si>
    <t>가죽 다리 갑옷</t>
    <phoneticPr fontId="40" type="noConversion"/>
  </si>
  <si>
    <t>가죽 바지</t>
    <phoneticPr fontId="40" type="noConversion"/>
  </si>
  <si>
    <t>가죽 팔 갑옷</t>
    <phoneticPr fontId="40" type="noConversion"/>
  </si>
  <si>
    <t>강화 가죽 치마</t>
    <phoneticPr fontId="40" type="noConversion"/>
  </si>
  <si>
    <t>3/2*</t>
    <phoneticPr fontId="40" type="noConversion"/>
  </si>
  <si>
    <t>천 소매</t>
    <phoneticPr fontId="40" type="noConversion"/>
  </si>
  <si>
    <t>청동 다리 갑옷</t>
    <phoneticPr fontId="40" type="noConversion"/>
  </si>
  <si>
    <t>청동 팔 보호대</t>
    <phoneticPr fontId="40" type="noConversion"/>
  </si>
  <si>
    <t>메일 각반</t>
    <phoneticPr fontId="40" type="noConversion"/>
  </si>
  <si>
    <t>메일 소매</t>
    <phoneticPr fontId="40" type="noConversion"/>
  </si>
  <si>
    <t>미늘 각반</t>
    <phoneticPr fontId="40" type="noConversion"/>
  </si>
  <si>
    <t>미늘 소매</t>
    <phoneticPr fontId="40" type="noConversion"/>
  </si>
  <si>
    <t>중장 철판 다리 갑옷</t>
    <phoneticPr fontId="40" type="noConversion"/>
  </si>
  <si>
    <t>중장 철판 팔 갑옷</t>
    <phoneticPr fontId="40" type="noConversion"/>
  </si>
  <si>
    <t>철판 다리 갑옷</t>
    <phoneticPr fontId="40" type="noConversion"/>
  </si>
  <si>
    <t>철판 팔 갑옷</t>
    <phoneticPr fontId="40" type="noConversion"/>
  </si>
  <si>
    <t>손</t>
    <phoneticPr fontId="40" type="noConversion"/>
  </si>
  <si>
    <t>가죽 장갑</t>
    <phoneticPr fontId="40" type="noConversion"/>
  </si>
  <si>
    <t>천 장갑</t>
    <phoneticPr fontId="40" type="noConversion"/>
  </si>
  <si>
    <t>철장갑</t>
    <phoneticPr fontId="40" type="noConversion"/>
  </si>
  <si>
    <t>중형 철장갑</t>
    <phoneticPr fontId="40" type="noConversion"/>
  </si>
  <si>
    <t>발</t>
    <phoneticPr fontId="40" type="noConversion"/>
  </si>
  <si>
    <t>샌들</t>
    <phoneticPr fontId="40" type="noConversion"/>
  </si>
  <si>
    <t>[1,2]</t>
    <phoneticPr fontId="40" type="noConversion"/>
  </si>
  <si>
    <t>구두</t>
    <phoneticPr fontId="40" type="noConversion"/>
  </si>
  <si>
    <t>1*</t>
    <phoneticPr fontId="40" type="noConversion"/>
  </si>
  <si>
    <t>[1]</t>
    <phoneticPr fontId="40" type="noConversion"/>
  </si>
  <si>
    <t>부츠</t>
    <phoneticPr fontId="40" type="noConversion"/>
  </si>
  <si>
    <t>2*</t>
    <phoneticPr fontId="40" type="noConversion"/>
  </si>
  <si>
    <t>철장화</t>
    <phoneticPr fontId="40" type="noConversion"/>
  </si>
  <si>
    <t>가방 1</t>
    <phoneticPr fontId="40" type="noConversion"/>
  </si>
  <si>
    <t>가방 3</t>
    <phoneticPr fontId="40" type="noConversion"/>
  </si>
  <si>
    <t>가방 2</t>
    <phoneticPr fontId="40" type="noConversion"/>
  </si>
  <si>
    <t>집합특성</t>
    <phoneticPr fontId="40" type="noConversion"/>
  </si>
  <si>
    <t>자체 무게</t>
    <phoneticPr fontId="40" type="noConversion"/>
  </si>
  <si>
    <t>1단계</t>
    <phoneticPr fontId="40" type="noConversion"/>
  </si>
  <si>
    <t>2단계</t>
  </si>
  <si>
    <t>2단계</t>
    <phoneticPr fontId="40" type="noConversion"/>
  </si>
  <si>
    <t>0레벨</t>
    <phoneticPr fontId="40" type="noConversion"/>
  </si>
  <si>
    <t>1레벨</t>
    <phoneticPr fontId="40" type="noConversion"/>
  </si>
  <si>
    <t>2레벨</t>
  </si>
  <si>
    <t>3레벨</t>
  </si>
  <si>
    <t>4레벨</t>
  </si>
  <si>
    <t>3단계</t>
  </si>
  <si>
    <t>4단계</t>
  </si>
  <si>
    <t>5단계</t>
  </si>
  <si>
    <t>6단계</t>
  </si>
  <si>
    <t>7단계</t>
  </si>
  <si>
    <t>8단계</t>
  </si>
  <si>
    <t>9단계</t>
  </si>
  <si>
    <t>2레벨</t>
    <phoneticPr fontId="40" type="noConversion"/>
  </si>
  <si>
    <t>3레벨</t>
    <phoneticPr fontId="40" type="noConversion"/>
  </si>
  <si>
    <t>4레벨</t>
    <phoneticPr fontId="40" type="noConversion"/>
  </si>
  <si>
    <t>5레벨</t>
  </si>
  <si>
    <t>6레벨</t>
  </si>
  <si>
    <t>7레벨</t>
  </si>
  <si>
    <t>8레벨</t>
  </si>
  <si>
    <t>9레벨</t>
  </si>
  <si>
    <t>주문레벨</t>
    <phoneticPr fontId="40" type="noConversion"/>
  </si>
  <si>
    <t>클래스
단계</t>
    <phoneticPr fontId="40" type="noConversion"/>
  </si>
  <si>
    <t>클래스
단계</t>
    <phoneticPr fontId="40" type="noConversion"/>
  </si>
  <si>
    <t>복합형 주문 슬롯</t>
    <phoneticPr fontId="40" type="noConversion"/>
  </si>
  <si>
    <t>주력 시전자 주문 슬롯</t>
    <phoneticPr fontId="40" type="noConversion"/>
  </si>
  <si>
    <t>MP</t>
    <phoneticPr fontId="40" type="noConversion"/>
  </si>
  <si>
    <t>주력 시전자(포인트)</t>
    <phoneticPr fontId="40" type="noConversion"/>
  </si>
  <si>
    <t>복합 시전자(포인트)</t>
    <phoneticPr fontId="40" type="noConversion"/>
  </si>
  <si>
    <t>고통에 강함</t>
    <phoneticPr fontId="40" type="noConversion"/>
  </si>
  <si>
    <t>면역(생물학적 유해 요소)</t>
    <phoneticPr fontId="40" type="noConversion"/>
  </si>
  <si>
    <t>부상 내성(균질)</t>
    <phoneticPr fontId="40" type="noConversion"/>
  </si>
  <si>
    <t>수작업 불가</t>
    <phoneticPr fontId="40" type="noConversion"/>
  </si>
  <si>
    <t>수면 불필요</t>
    <phoneticPr fontId="40" type="noConversion"/>
  </si>
  <si>
    <t>호흡 불필요</t>
    <phoneticPr fontId="40" type="noConversion"/>
  </si>
  <si>
    <t>진동 감각(공기)</t>
    <phoneticPr fontId="40" type="noConversion"/>
  </si>
  <si>
    <t>부상 취약(부자연적)</t>
    <phoneticPr fontId="40" type="noConversion"/>
  </si>
  <si>
    <t>음식 불필요</t>
    <phoneticPr fontId="40" type="noConversion"/>
  </si>
  <si>
    <t>자연치유 불가(완전)</t>
    <phoneticPr fontId="40" type="noConversion"/>
  </si>
  <si>
    <t>전투 숙달 4단계</t>
    <phoneticPr fontId="40" type="noConversion"/>
  </si>
  <si>
    <t>괴물 4 단계</t>
    <phoneticPr fontId="40" type="noConversion"/>
  </si>
  <si>
    <t>바위 던지기</t>
    <phoneticPr fontId="40" type="noConversion"/>
  </si>
  <si>
    <t>바닥 후려치기</t>
    <phoneticPr fontId="40" type="noConversion"/>
  </si>
  <si>
    <t>바닥 후려치기</t>
    <phoneticPr fontId="40" type="noConversion"/>
  </si>
  <si>
    <t>구르기</t>
    <phoneticPr fontId="40" type="noConversion"/>
  </si>
  <si>
    <t>능숙한 받아내기(격투)*</t>
    <phoneticPr fontId="40" type="noConversion"/>
  </si>
  <si>
    <t>약점 부위(마법학 -8, -3, x2)**</t>
    <phoneticPr fontId="40" type="noConversion"/>
  </si>
  <si>
    <t>비무장 전투!</t>
    <phoneticPr fontId="40" type="noConversion"/>
  </si>
  <si>
    <t>종합기능</t>
    <phoneticPr fontId="40" type="noConversion"/>
  </si>
  <si>
    <t>DX</t>
    <phoneticPr fontId="40" type="noConversion"/>
  </si>
  <si>
    <t>고유공격(발사)</t>
    <phoneticPr fontId="40" type="noConversion"/>
  </si>
  <si>
    <t>쉬움</t>
    <phoneticPr fontId="40" type="noConversion"/>
  </si>
  <si>
    <t>육신 방어</t>
    <phoneticPr fontId="40" type="noConversion"/>
  </si>
  <si>
    <t>어려움</t>
    <phoneticPr fontId="40" type="noConversion"/>
  </si>
  <si>
    <t>HT</t>
    <phoneticPr fontId="40" type="noConversion"/>
  </si>
  <si>
    <t>바위 골렘</t>
    <phoneticPr fontId="40" type="noConversion"/>
  </si>
  <si>
    <t>+12</t>
    <phoneticPr fontId="40" type="noConversion"/>
  </si>
  <si>
    <t>피하기 향상 2단계</t>
    <phoneticPr fontId="40" type="noConversion"/>
  </si>
  <si>
    <t>(-)/R:C,1(영역효과 3m)/vs(ST/DX)-7, 넘어짐/1초 준비</t>
    <phoneticPr fontId="40" type="noConversion"/>
  </si>
  <si>
    <t>비무장 전투!</t>
    <phoneticPr fontId="40" type="noConversion"/>
  </si>
  <si>
    <t>찌르기</t>
    <phoneticPr fontId="40" type="noConversion"/>
  </si>
  <si>
    <t>때리기</t>
    <phoneticPr fontId="40" type="noConversion"/>
  </si>
  <si>
    <t>C,1,2</t>
    <phoneticPr fontId="40" type="noConversion"/>
  </si>
  <si>
    <t>비무장 공격</t>
    <phoneticPr fontId="40" type="noConversion"/>
  </si>
  <si>
    <t>추가 공격(다중공격 가능) 1단계</t>
    <phoneticPr fontId="40" type="noConversion"/>
  </si>
  <si>
    <t>바위 던지기</t>
    <phoneticPr fontId="40" type="noConversion"/>
  </si>
  <si>
    <t>고유공격(발사)</t>
    <phoneticPr fontId="40" type="noConversion"/>
  </si>
  <si>
    <t>x30</t>
    <phoneticPr fontId="40" type="noConversion"/>
  </si>
  <si>
    <t>x50</t>
    <phoneticPr fontId="40" type="noConversion"/>
  </si>
  <si>
    <t>T</t>
    <phoneticPr fontId="40" type="noConversion"/>
  </si>
  <si>
    <t>휘두르기</t>
    <phoneticPr fontId="40" type="noConversion"/>
  </si>
  <si>
    <t>원추(10,2m)</t>
    <phoneticPr fontId="40" type="noConversion"/>
  </si>
  <si>
    <t>불가</t>
    <phoneticPr fontId="40" type="noConversion"/>
  </si>
  <si>
    <t>구르기***</t>
    <phoneticPr fontId="40" type="noConversion"/>
  </si>
  <si>
    <t>*비무장 받아내기가 무기에 대해서도 페널티 없이 가능하다.
**지각력 기반의 마법학 -8 판정을 통하여 약점 위치 파악이 가능하다. 명중 부위 페널티는 -3이며 부상배수는 x2.
***사용시 10m 전방으로 이동하며 10m길이, 폭 2m의 원추형의 범위에 피해를 입힌다.</t>
    <phoneticPr fontId="40" type="noConversion"/>
  </si>
  <si>
    <t>추가 공격 1회(다중공격)</t>
  </si>
  <si>
    <r>
      <t>구르기</t>
    </r>
    <r>
      <rPr>
        <sz val="11"/>
        <color theme="1"/>
        <rFont val="맑은 고딕"/>
        <family val="2"/>
        <charset val="129"/>
        <scheme val="minor"/>
      </rPr>
      <t>***</t>
    </r>
    <phoneticPr fontId="40" type="noConversion"/>
  </si>
  <si>
    <t>(20)R:원추(10,2m)/7d-1 때리기/P:불가/2초 준비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</si>
</sst>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4" formatCode="\$#,##0_);[Red]\(\$#,##0\)"/>
  </numFmts>
  <fonts count="53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rgb="FF000000"/>
      <name val="나눔고딕 bold"/>
      <family val="3"/>
      <charset val="129"/>
    </font>
    <font>
      <sz val="11"/>
      <name val="맑은 고딕"/>
      <family val="3"/>
      <charset val="129"/>
    </font>
    <font>
      <b/>
      <sz val="16"/>
      <color rgb="FF000000"/>
      <name val="나눔손글씨 붓"/>
      <family val="3"/>
      <charset val="129"/>
    </font>
    <font>
      <sz val="9"/>
      <color rgb="FF000000"/>
      <name val="맑은 고딕"/>
      <family val="3"/>
      <charset val="129"/>
    </font>
    <font>
      <b/>
      <sz val="11"/>
      <color rgb="FFC00000"/>
      <name val="휴먼둥근헤드라인"/>
      <family val="1"/>
      <charset val="129"/>
    </font>
    <font>
      <sz val="9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u/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7"/>
      <color rgb="FF000000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22"/>
      <color rgb="FF000000"/>
      <name val="휴먼둥근헤드라인"/>
      <family val="1"/>
      <charset val="129"/>
    </font>
    <font>
      <b/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9"/>
      <color rgb="FFC00000"/>
      <name val="맑은 고딕"/>
      <family val="3"/>
      <charset val="129"/>
    </font>
    <font>
      <b/>
      <sz val="10"/>
      <color rgb="FFC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i/>
      <sz val="9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b/>
      <sz val="22"/>
      <color rgb="FF000000"/>
      <name val="맑은 고딕"/>
      <family val="3"/>
      <charset val="129"/>
    </font>
    <font>
      <b/>
      <sz val="9"/>
      <name val="맑은 고딕"/>
      <family val="3"/>
      <charset val="129"/>
    </font>
    <font>
      <b/>
      <i/>
      <sz val="11"/>
      <color rgb="FF000000"/>
      <name val="맑은 고딕"/>
      <family val="3"/>
      <charset val="129"/>
    </font>
    <font>
      <sz val="14"/>
      <color rgb="FF000000"/>
      <name val="휴먼둥근헤드라인"/>
      <family val="1"/>
      <charset val="129"/>
    </font>
    <font>
      <sz val="6"/>
      <color rgb="FF000000"/>
      <name val="맑은 고딕"/>
      <family val="3"/>
      <charset val="129"/>
    </font>
    <font>
      <b/>
      <sz val="7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8"/>
      <color rgb="FF000000"/>
      <name val="휴먼둥근헤드라인"/>
      <family val="1"/>
      <charset val="129"/>
    </font>
    <font>
      <sz val="9"/>
      <color rgb="FF000000"/>
      <name val="휴먼둥근헤드라인"/>
      <family val="1"/>
      <charset val="129"/>
    </font>
    <font>
      <sz val="16"/>
      <color rgb="FF000000"/>
      <name val="휴먼둥근헤드라인"/>
      <family val="1"/>
      <charset val="129"/>
    </font>
    <font>
      <b/>
      <sz val="15"/>
      <color rgb="FF000000"/>
      <name val="맑은 고딕"/>
      <family val="3"/>
      <charset val="129"/>
    </font>
    <font>
      <b/>
      <sz val="16"/>
      <color rgb="FF000000"/>
      <name val="맑은 고딕"/>
      <family val="3"/>
      <charset val="129"/>
    </font>
    <font>
      <b/>
      <sz val="7"/>
      <name val="맑은 고딕"/>
      <family val="3"/>
      <charset val="129"/>
    </font>
    <font>
      <sz val="16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0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4"/>
      <color rgb="FFFF0000"/>
      <name val="맑은 고딕"/>
      <family val="3"/>
      <charset val="129"/>
    </font>
    <font>
      <b/>
      <sz val="14"/>
      <color rgb="FF00B050"/>
      <name val="맑은 고딕"/>
      <family val="3"/>
      <charset val="129"/>
    </font>
    <font>
      <b/>
      <sz val="14"/>
      <color rgb="FF00B0F0"/>
      <name val="맑은 고딕"/>
      <family val="3"/>
      <charset val="129"/>
    </font>
    <font>
      <b/>
      <sz val="14"/>
      <color theme="9" tint="-0.499984740745262"/>
      <name val="맑은 고딕"/>
      <family val="3"/>
      <charset val="129"/>
    </font>
    <font>
      <b/>
      <sz val="8"/>
      <color theme="1"/>
      <name val="맑은 고딕"/>
      <family val="3"/>
      <charset val="129"/>
      <scheme val="minor"/>
    </font>
    <font>
      <b/>
      <sz val="20"/>
      <color rgb="FF000000"/>
      <name val="맑은 고딕"/>
      <family val="3"/>
      <charset val="129"/>
    </font>
    <font>
      <b/>
      <sz val="11"/>
      <color rgb="FFFFFF00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sz val="10"/>
      <color theme="0"/>
      <name val="맑은 고딕"/>
      <family val="2"/>
      <charset val="129"/>
      <scheme val="minor"/>
    </font>
    <font>
      <b/>
      <sz val="6.5"/>
      <color theme="1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D9F0"/>
        <bgColor rgb="FFC6D9F0"/>
      </patternFill>
    </fill>
    <fill>
      <patternFill patternType="solid">
        <fgColor rgb="FFB8CCE4"/>
        <bgColor rgb="FFB8CCE4"/>
      </patternFill>
    </fill>
    <fill>
      <patternFill patternType="solid">
        <fgColor rgb="FFDBE5F1"/>
        <bgColor rgb="FFDBE5F1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theme="3" tint="0.59999389629810485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/>
        <bgColor indexed="64"/>
      </patternFill>
    </fill>
  </fills>
  <borders count="10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medium">
        <color rgb="FF000000"/>
      </left>
      <right style="hair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hair">
        <color rgb="FF000000"/>
      </bottom>
      <diagonal/>
    </border>
    <border>
      <left/>
      <right style="medium">
        <color indexed="64"/>
      </right>
      <top/>
      <bottom style="hair">
        <color rgb="FF000000"/>
      </bottom>
      <diagonal/>
    </border>
    <border>
      <left style="medium">
        <color indexed="64"/>
      </left>
      <right/>
      <top style="hair">
        <color rgb="FF000000"/>
      </top>
      <bottom style="hair">
        <color rgb="FF000000"/>
      </bottom>
      <diagonal/>
    </border>
    <border>
      <left style="medium">
        <color indexed="64"/>
      </left>
      <right/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hair">
        <color rgb="FF000000"/>
      </top>
      <bottom style="hair">
        <color rgb="FF000000"/>
      </bottom>
      <diagonal/>
    </border>
    <border>
      <left/>
      <right style="medium">
        <color indexed="64"/>
      </right>
      <top style="hair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rgb="FF000000"/>
      </top>
      <bottom style="thick">
        <color indexed="64"/>
      </bottom>
      <diagonal/>
    </border>
    <border>
      <left style="medium">
        <color rgb="FF000000"/>
      </left>
      <right/>
      <top style="hair">
        <color rgb="FF000000"/>
      </top>
      <bottom style="thick">
        <color indexed="64"/>
      </bottom>
      <diagonal/>
    </border>
    <border>
      <left style="medium">
        <color indexed="64"/>
      </left>
      <right/>
      <top style="hair">
        <color rgb="FF000000"/>
      </top>
      <bottom/>
      <diagonal/>
    </border>
    <border>
      <left/>
      <right style="medium">
        <color indexed="64"/>
      </right>
      <top style="hair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 style="hair">
        <color rgb="FF000000"/>
      </top>
      <bottom/>
      <diagonal/>
    </border>
  </borders>
  <cellStyleXfs count="7">
    <xf numFmtId="0" fontId="0" fillId="0" borderId="0"/>
    <xf numFmtId="0" fontId="3" fillId="6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</cellStyleXfs>
  <cellXfs count="573">
    <xf numFmtId="0" fontId="0" fillId="0" borderId="0" xfId="0" applyFont="1" applyAlignment="1">
      <alignment vertical="center"/>
    </xf>
    <xf numFmtId="0" fontId="4" fillId="2" borderId="0" xfId="0" applyFont="1" applyFill="1" applyBorder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0" fontId="9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right" vertical="center"/>
    </xf>
    <xf numFmtId="0" fontId="4" fillId="2" borderId="0" xfId="0" applyFont="1" applyFill="1" applyBorder="1" applyAlignment="1">
      <alignment vertical="center"/>
    </xf>
    <xf numFmtId="0" fontId="11" fillId="2" borderId="0" xfId="0" applyFont="1" applyFill="1" applyBorder="1" applyAlignment="1">
      <alignment horizontal="right" vertical="center"/>
    </xf>
    <xf numFmtId="0" fontId="12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left" vertical="center"/>
    </xf>
    <xf numFmtId="0" fontId="15" fillId="2" borderId="0" xfId="0" applyFont="1" applyFill="1" applyBorder="1" applyAlignment="1">
      <alignment horizontal="left" vertical="center"/>
    </xf>
    <xf numFmtId="0" fontId="7" fillId="4" borderId="7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vertical="center"/>
    </xf>
    <xf numFmtId="0" fontId="7" fillId="2" borderId="4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right" vertical="center"/>
    </xf>
    <xf numFmtId="0" fontId="7" fillId="2" borderId="7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right" vertical="center"/>
    </xf>
    <xf numFmtId="0" fontId="7" fillId="2" borderId="30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right" vertical="center"/>
    </xf>
    <xf numFmtId="0" fontId="11" fillId="2" borderId="46" xfId="0" applyFont="1" applyFill="1" applyBorder="1" applyAlignment="1">
      <alignment horizontal="right" vertical="center"/>
    </xf>
    <xf numFmtId="0" fontId="28" fillId="2" borderId="18" xfId="0" applyFont="1" applyFill="1" applyBorder="1" applyAlignment="1">
      <alignment horizontal="left" vertical="center" wrapText="1"/>
    </xf>
    <xf numFmtId="0" fontId="7" fillId="2" borderId="18" xfId="0" applyFont="1" applyFill="1" applyBorder="1" applyAlignment="1">
      <alignment vertical="top"/>
    </xf>
    <xf numFmtId="0" fontId="29" fillId="2" borderId="0" xfId="0" applyFont="1" applyFill="1" applyBorder="1" applyAlignment="1">
      <alignment horizontal="left" vertical="center"/>
    </xf>
    <xf numFmtId="0" fontId="21" fillId="5" borderId="0" xfId="0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 vertical="center"/>
    </xf>
    <xf numFmtId="0" fontId="21" fillId="2" borderId="49" xfId="0" applyFont="1" applyFill="1" applyBorder="1" applyAlignment="1">
      <alignment horizontal="center" vertical="center"/>
    </xf>
    <xf numFmtId="0" fontId="31" fillId="3" borderId="49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32" fillId="3" borderId="50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 vertical="center"/>
    </xf>
    <xf numFmtId="0" fontId="7" fillId="2" borderId="51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23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vertical="center"/>
    </xf>
    <xf numFmtId="0" fontId="11" fillId="5" borderId="11" xfId="0" applyFont="1" applyFill="1" applyBorder="1" applyAlignment="1">
      <alignment horizontal="left" vertical="center"/>
    </xf>
    <xf numFmtId="0" fontId="11" fillId="3" borderId="14" xfId="0" applyFont="1" applyFill="1" applyBorder="1" applyAlignment="1">
      <alignment horizontal="left" vertical="center"/>
    </xf>
    <xf numFmtId="0" fontId="35" fillId="2" borderId="0" xfId="0" applyFont="1" applyFill="1" applyBorder="1" applyAlignment="1">
      <alignment vertical="center"/>
    </xf>
    <xf numFmtId="0" fontId="11" fillId="5" borderId="14" xfId="0" applyFont="1" applyFill="1" applyBorder="1" applyAlignment="1">
      <alignment horizontal="left" vertical="center"/>
    </xf>
    <xf numFmtId="0" fontId="11" fillId="5" borderId="4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0" fontId="18" fillId="4" borderId="5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2" borderId="0" xfId="0" applyFont="1" applyFill="1" applyBorder="1" applyAlignment="1">
      <alignment vertical="center"/>
    </xf>
    <xf numFmtId="0" fontId="7" fillId="2" borderId="11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29" fillId="2" borderId="4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7" fillId="0" borderId="14" xfId="0" applyFont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left" vertical="center"/>
    </xf>
    <xf numFmtId="0" fontId="23" fillId="2" borderId="0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left" vertical="center"/>
    </xf>
    <xf numFmtId="0" fontId="11" fillId="4" borderId="6" xfId="0" applyFont="1" applyFill="1" applyBorder="1" applyAlignment="1">
      <alignment horizontal="center" vertical="center"/>
    </xf>
    <xf numFmtId="24" fontId="7" fillId="2" borderId="11" xfId="0" applyNumberFormat="1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0" fontId="7" fillId="2" borderId="12" xfId="0" applyFont="1" applyFill="1" applyBorder="1" applyAlignment="1">
      <alignment horizontal="center" vertical="center"/>
    </xf>
    <xf numFmtId="24" fontId="22" fillId="5" borderId="12" xfId="0" applyNumberFormat="1" applyFont="1" applyFill="1" applyBorder="1" applyAlignment="1">
      <alignment horizontal="center" vertical="center"/>
    </xf>
    <xf numFmtId="24" fontId="7" fillId="2" borderId="4" xfId="0" applyNumberFormat="1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24" fontId="22" fillId="3" borderId="9" xfId="0" applyNumberFormat="1" applyFont="1" applyFill="1" applyBorder="1" applyAlignment="1">
      <alignment horizontal="center" vertical="center"/>
    </xf>
    <xf numFmtId="0" fontId="9" fillId="2" borderId="11" xfId="0" applyFont="1" applyFill="1" applyBorder="1" applyAlignment="1">
      <alignment horizontal="center" vertical="center"/>
    </xf>
    <xf numFmtId="24" fontId="9" fillId="2" borderId="11" xfId="0" applyNumberFormat="1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24" fontId="9" fillId="2" borderId="14" xfId="0" applyNumberFormat="1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25" fillId="2" borderId="14" xfId="0" applyFont="1" applyFill="1" applyBorder="1" applyAlignment="1">
      <alignment horizontal="center" vertical="center"/>
    </xf>
    <xf numFmtId="24" fontId="25" fillId="2" borderId="14" xfId="0" applyNumberFormat="1" applyFont="1" applyFill="1" applyBorder="1" applyAlignment="1">
      <alignment horizontal="center" vertical="center"/>
    </xf>
    <xf numFmtId="0" fontId="7" fillId="2" borderId="45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vertical="center"/>
    </xf>
    <xf numFmtId="24" fontId="7" fillId="2" borderId="11" xfId="0" applyNumberFormat="1" applyFont="1" applyFill="1" applyBorder="1" applyAlignment="1">
      <alignment vertical="center"/>
    </xf>
    <xf numFmtId="0" fontId="11" fillId="2" borderId="22" xfId="0" applyFont="1" applyFill="1" applyBorder="1" applyAlignment="1">
      <alignment horizontal="right" vertical="center"/>
    </xf>
    <xf numFmtId="0" fontId="7" fillId="2" borderId="14" xfId="0" applyFont="1" applyFill="1" applyBorder="1" applyAlignment="1">
      <alignment vertical="center"/>
    </xf>
    <xf numFmtId="24" fontId="7" fillId="2" borderId="14" xfId="0" applyNumberFormat="1" applyFont="1" applyFill="1" applyBorder="1" applyAlignment="1">
      <alignment vertical="center"/>
    </xf>
    <xf numFmtId="0" fontId="7" fillId="2" borderId="17" xfId="0" applyFont="1" applyFill="1" applyBorder="1" applyAlignment="1">
      <alignment vertical="center"/>
    </xf>
    <xf numFmtId="24" fontId="7" fillId="2" borderId="17" xfId="0" applyNumberFormat="1" applyFont="1" applyFill="1" applyBorder="1" applyAlignment="1">
      <alignment vertical="center"/>
    </xf>
    <xf numFmtId="0" fontId="11" fillId="2" borderId="8" xfId="0" applyFont="1" applyFill="1" applyBorder="1" applyAlignment="1">
      <alignment horizontal="right" vertical="center"/>
    </xf>
    <xf numFmtId="0" fontId="15" fillId="2" borderId="22" xfId="0" applyFont="1" applyFill="1" applyBorder="1" applyAlignment="1">
      <alignment vertical="center"/>
    </xf>
    <xf numFmtId="0" fontId="11" fillId="2" borderId="22" xfId="0" applyFont="1" applyFill="1" applyBorder="1" applyAlignment="1">
      <alignment vertical="center"/>
    </xf>
    <xf numFmtId="24" fontId="7" fillId="2" borderId="14" xfId="0" applyNumberFormat="1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5" fillId="0" borderId="0" xfId="0" applyFont="1" applyBorder="1" applyAlignment="1"/>
    <xf numFmtId="0" fontId="0" fillId="0" borderId="62" xfId="0" applyFont="1" applyBorder="1" applyAlignment="1">
      <alignment vertical="center"/>
    </xf>
    <xf numFmtId="0" fontId="0" fillId="0" borderId="65" xfId="0" applyFont="1" applyBorder="1" applyAlignment="1">
      <alignment vertical="center"/>
    </xf>
    <xf numFmtId="0" fontId="0" fillId="12" borderId="60" xfId="0" applyFont="1" applyFill="1" applyBorder="1" applyAlignment="1">
      <alignment vertical="center"/>
    </xf>
    <xf numFmtId="0" fontId="0" fillId="13" borderId="59" xfId="0" applyFont="1" applyFill="1" applyBorder="1" applyAlignment="1">
      <alignment vertical="center"/>
    </xf>
    <xf numFmtId="0" fontId="41" fillId="13" borderId="60" xfId="0" applyFont="1" applyFill="1" applyBorder="1" applyAlignment="1">
      <alignment horizontal="center" vertical="center"/>
    </xf>
    <xf numFmtId="0" fontId="0" fillId="13" borderId="60" xfId="0" applyFont="1" applyFill="1" applyBorder="1" applyAlignment="1">
      <alignment vertical="center"/>
    </xf>
    <xf numFmtId="0" fontId="42" fillId="13" borderId="60" xfId="0" applyFont="1" applyFill="1" applyBorder="1" applyAlignment="1">
      <alignment horizontal="center" vertical="center"/>
    </xf>
    <xf numFmtId="0" fontId="43" fillId="13" borderId="60" xfId="0" applyFont="1" applyFill="1" applyBorder="1" applyAlignment="1">
      <alignment horizontal="center" vertical="center"/>
    </xf>
    <xf numFmtId="0" fontId="0" fillId="13" borderId="64" xfId="0" applyFont="1" applyFill="1" applyBorder="1" applyAlignment="1">
      <alignment vertical="center"/>
    </xf>
    <xf numFmtId="0" fontId="30" fillId="13" borderId="65" xfId="0" applyFont="1" applyFill="1" applyBorder="1" applyAlignment="1">
      <alignment horizontal="center" vertical="center"/>
    </xf>
    <xf numFmtId="0" fontId="0" fillId="13" borderId="65" xfId="0" applyFont="1" applyFill="1" applyBorder="1" applyAlignment="1">
      <alignment vertical="center"/>
    </xf>
    <xf numFmtId="0" fontId="30" fillId="12" borderId="60" xfId="0" quotePrefix="1" applyFont="1" applyFill="1" applyBorder="1" applyAlignment="1">
      <alignment horizontal="center" vertical="center"/>
    </xf>
    <xf numFmtId="0" fontId="11" fillId="12" borderId="60" xfId="0" applyFont="1" applyFill="1" applyBorder="1" applyAlignment="1">
      <alignment horizontal="center" vertical="center"/>
    </xf>
    <xf numFmtId="0" fontId="0" fillId="13" borderId="0" xfId="0" applyFont="1" applyFill="1" applyBorder="1" applyAlignment="1">
      <alignment vertical="center"/>
    </xf>
    <xf numFmtId="0" fontId="11" fillId="12" borderId="61" xfId="0" applyFont="1" applyFill="1" applyBorder="1" applyAlignment="1">
      <alignment horizontal="center" vertical="center"/>
    </xf>
    <xf numFmtId="0" fontId="0" fillId="15" borderId="57" xfId="0" applyFont="1" applyFill="1" applyBorder="1" applyAlignment="1">
      <alignment vertical="center"/>
    </xf>
    <xf numFmtId="0" fontId="0" fillId="15" borderId="0" xfId="0" applyFont="1" applyFill="1" applyBorder="1" applyAlignment="1">
      <alignment vertical="center"/>
    </xf>
    <xf numFmtId="0" fontId="0" fillId="15" borderId="58" xfId="0" applyFont="1" applyFill="1" applyBorder="1" applyAlignment="1">
      <alignment vertical="center"/>
    </xf>
    <xf numFmtId="0" fontId="44" fillId="13" borderId="60" xfId="0" applyFont="1" applyFill="1" applyBorder="1" applyAlignment="1">
      <alignment horizontal="center" vertical="center"/>
    </xf>
    <xf numFmtId="0" fontId="0" fillId="15" borderId="71" xfId="0" applyFont="1" applyFill="1" applyBorder="1" applyAlignment="1">
      <alignment vertical="center"/>
    </xf>
    <xf numFmtId="0" fontId="0" fillId="15" borderId="60" xfId="0" applyFont="1" applyFill="1" applyBorder="1" applyAlignment="1">
      <alignment vertical="center"/>
    </xf>
    <xf numFmtId="0" fontId="0" fillId="15" borderId="72" xfId="0" applyFont="1" applyFill="1" applyBorder="1" applyAlignment="1">
      <alignment vertical="center"/>
    </xf>
    <xf numFmtId="0" fontId="0" fillId="15" borderId="73" xfId="0" applyFont="1" applyFill="1" applyBorder="1" applyAlignment="1">
      <alignment vertical="center"/>
    </xf>
    <xf numFmtId="0" fontId="0" fillId="15" borderId="65" xfId="0" applyFont="1" applyFill="1" applyBorder="1" applyAlignment="1">
      <alignment vertical="center"/>
    </xf>
    <xf numFmtId="0" fontId="0" fillId="15" borderId="70" xfId="0" applyFont="1" applyFill="1" applyBorder="1" applyAlignment="1">
      <alignment vertical="center"/>
    </xf>
    <xf numFmtId="0" fontId="0" fillId="16" borderId="63" xfId="0" applyFont="1" applyFill="1" applyBorder="1" applyAlignment="1">
      <alignment vertical="center"/>
    </xf>
    <xf numFmtId="0" fontId="0" fillId="16" borderId="66" xfId="0" applyFont="1" applyFill="1" applyBorder="1" applyAlignment="1">
      <alignment vertical="center"/>
    </xf>
    <xf numFmtId="0" fontId="0" fillId="16" borderId="65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38" fillId="0" borderId="14" xfId="0" applyFont="1" applyBorder="1" applyAlignment="1">
      <alignment horizontal="center" vertical="center"/>
    </xf>
    <xf numFmtId="0" fontId="11" fillId="12" borderId="60" xfId="0" applyFont="1" applyFill="1" applyBorder="1" applyAlignment="1">
      <alignment vertical="center"/>
    </xf>
    <xf numFmtId="0" fontId="11" fillId="12" borderId="67" xfId="0" applyFont="1" applyFill="1" applyBorder="1" applyAlignment="1">
      <alignment vertical="center"/>
    </xf>
    <xf numFmtId="0" fontId="11" fillId="4" borderId="7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left" vertical="center"/>
    </xf>
    <xf numFmtId="0" fontId="7" fillId="2" borderId="16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1" fillId="2" borderId="22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right"/>
    </xf>
    <xf numFmtId="0" fontId="7" fillId="2" borderId="0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5" fillId="0" borderId="11" xfId="0" applyFont="1" applyBorder="1" applyAlignment="1"/>
    <xf numFmtId="0" fontId="0" fillId="0" borderId="0" xfId="0" applyFont="1" applyAlignment="1">
      <alignment horizontal="left" vertical="center"/>
    </xf>
    <xf numFmtId="0" fontId="5" fillId="0" borderId="14" xfId="0" applyFont="1" applyBorder="1" applyAlignment="1"/>
    <xf numFmtId="0" fontId="20" fillId="2" borderId="0" xfId="0" applyFont="1" applyFill="1" applyBorder="1" applyAlignment="1">
      <alignment vertical="center"/>
    </xf>
    <xf numFmtId="0" fontId="11" fillId="2" borderId="80" xfId="0" applyFont="1" applyFill="1" applyBorder="1" applyAlignment="1">
      <alignment horizontal="center" vertical="center"/>
    </xf>
    <xf numFmtId="0" fontId="22" fillId="2" borderId="80" xfId="0" applyFont="1" applyFill="1" applyBorder="1" applyAlignment="1">
      <alignment vertical="center"/>
    </xf>
    <xf numFmtId="0" fontId="5" fillId="0" borderId="83" xfId="0" applyFont="1" applyBorder="1" applyAlignment="1"/>
    <xf numFmtId="0" fontId="20" fillId="2" borderId="84" xfId="0" applyFont="1" applyFill="1" applyBorder="1" applyAlignment="1">
      <alignment vertical="center"/>
    </xf>
    <xf numFmtId="0" fontId="5" fillId="0" borderId="84" xfId="0" applyFont="1" applyBorder="1" applyAlignment="1"/>
    <xf numFmtId="0" fontId="21" fillId="2" borderId="84" xfId="0" applyFont="1" applyFill="1" applyBorder="1" applyAlignment="1">
      <alignment horizontal="center" vertical="center"/>
    </xf>
    <xf numFmtId="0" fontId="22" fillId="2" borderId="85" xfId="0" applyFont="1" applyFill="1" applyBorder="1" applyAlignment="1">
      <alignment vertical="center"/>
    </xf>
    <xf numFmtId="0" fontId="48" fillId="2" borderId="11" xfId="0" applyFont="1" applyFill="1" applyBorder="1" applyAlignment="1">
      <alignment vertical="center"/>
    </xf>
    <xf numFmtId="0" fontId="48" fillId="0" borderId="11" xfId="0" applyFont="1" applyBorder="1" applyAlignment="1"/>
    <xf numFmtId="0" fontId="7" fillId="4" borderId="77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horizontal="center" vertical="center"/>
    </xf>
    <xf numFmtId="0" fontId="11" fillId="4" borderId="78" xfId="0" applyFont="1" applyFill="1" applyBorder="1" applyAlignment="1">
      <alignment horizontal="center" vertical="center"/>
    </xf>
    <xf numFmtId="0" fontId="7" fillId="2" borderId="80" xfId="0" applyFont="1" applyFill="1" applyBorder="1" applyAlignment="1">
      <alignment vertical="center"/>
    </xf>
    <xf numFmtId="0" fontId="7" fillId="2" borderId="86" xfId="0" applyFont="1" applyFill="1" applyBorder="1" applyAlignment="1">
      <alignment vertical="center"/>
    </xf>
    <xf numFmtId="0" fontId="7" fillId="2" borderId="84" xfId="0" applyFont="1" applyFill="1" applyBorder="1" applyAlignment="1">
      <alignment horizontal="center" vertical="center"/>
    </xf>
    <xf numFmtId="0" fontId="48" fillId="2" borderId="84" xfId="0" applyFont="1" applyFill="1" applyBorder="1" applyAlignment="1">
      <alignment vertical="center"/>
    </xf>
    <xf numFmtId="0" fontId="48" fillId="0" borderId="84" xfId="0" applyFont="1" applyBorder="1" applyAlignment="1"/>
    <xf numFmtId="0" fontId="7" fillId="2" borderId="83" xfId="0" applyFont="1" applyFill="1" applyBorder="1" applyAlignment="1">
      <alignment horizontal="center" vertical="center"/>
    </xf>
    <xf numFmtId="0" fontId="7" fillId="2" borderId="87" xfId="0" applyFont="1" applyFill="1" applyBorder="1" applyAlignment="1">
      <alignment vertical="center"/>
    </xf>
    <xf numFmtId="0" fontId="25" fillId="4" borderId="77" xfId="0" applyFont="1" applyFill="1" applyBorder="1" applyAlignment="1">
      <alignment horizontal="center" vertical="center"/>
    </xf>
    <xf numFmtId="0" fontId="7" fillId="2" borderId="80" xfId="0" applyFont="1" applyFill="1" applyBorder="1" applyAlignment="1">
      <alignment horizontal="center" vertical="center"/>
    </xf>
    <xf numFmtId="0" fontId="7" fillId="2" borderId="86" xfId="0" applyFont="1" applyFill="1" applyBorder="1" applyAlignment="1">
      <alignment horizontal="center" vertical="center"/>
    </xf>
    <xf numFmtId="0" fontId="9" fillId="2" borderId="83" xfId="0" applyFont="1" applyFill="1" applyBorder="1" applyAlignment="1">
      <alignment horizontal="center" vertical="center"/>
    </xf>
    <xf numFmtId="0" fontId="7" fillId="2" borderId="87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vertical="center"/>
    </xf>
    <xf numFmtId="0" fontId="11" fillId="2" borderId="84" xfId="0" applyFont="1" applyFill="1" applyBorder="1" applyAlignment="1">
      <alignment vertical="center"/>
    </xf>
    <xf numFmtId="0" fontId="11" fillId="2" borderId="58" xfId="0" applyFont="1" applyFill="1" applyBorder="1" applyAlignment="1">
      <alignment vertical="center"/>
    </xf>
    <xf numFmtId="0" fontId="22" fillId="2" borderId="84" xfId="0" applyFont="1" applyFill="1" applyBorder="1" applyAlignment="1">
      <alignment vertical="center"/>
    </xf>
    <xf numFmtId="0" fontId="7" fillId="2" borderId="84" xfId="0" applyFont="1" applyFill="1" applyBorder="1" applyAlignment="1">
      <alignment vertical="center"/>
    </xf>
    <xf numFmtId="0" fontId="0" fillId="16" borderId="60" xfId="0" applyFont="1" applyFill="1" applyBorder="1" applyAlignment="1">
      <alignment vertical="center"/>
    </xf>
    <xf numFmtId="0" fontId="38" fillId="16" borderId="60" xfId="0" applyFont="1" applyFill="1" applyBorder="1" applyAlignment="1">
      <alignment vertical="center"/>
    </xf>
    <xf numFmtId="0" fontId="38" fillId="16" borderId="61" xfId="0" applyFont="1" applyFill="1" applyBorder="1" applyAlignment="1">
      <alignment vertical="center"/>
    </xf>
    <xf numFmtId="0" fontId="48" fillId="0" borderId="11" xfId="0" applyFont="1" applyBorder="1" applyAlignment="1">
      <alignment horizontal="center"/>
    </xf>
    <xf numFmtId="0" fontId="11" fillId="4" borderId="77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83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84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vertical="center"/>
    </xf>
    <xf numFmtId="0" fontId="18" fillId="4" borderId="76" xfId="0" applyFont="1" applyFill="1" applyBorder="1" applyAlignment="1">
      <alignment vertical="center"/>
    </xf>
    <xf numFmtId="0" fontId="7" fillId="2" borderId="79" xfId="0" applyFont="1" applyFill="1" applyBorder="1" applyAlignment="1">
      <alignment vertical="center"/>
    </xf>
    <xf numFmtId="0" fontId="7" fillId="2" borderId="82" xfId="0" applyFont="1" applyFill="1" applyBorder="1" applyAlignment="1">
      <alignment vertical="center"/>
    </xf>
    <xf numFmtId="0" fontId="7" fillId="2" borderId="11" xfId="0" quotePrefix="1" applyFont="1" applyFill="1" applyBorder="1" applyAlignment="1">
      <alignment horizontal="center" vertical="center"/>
    </xf>
    <xf numFmtId="0" fontId="48" fillId="0" borderId="11" xfId="0" quotePrefix="1" applyFont="1" applyBorder="1" applyAlignment="1">
      <alignment horizontal="center"/>
    </xf>
    <xf numFmtId="0" fontId="7" fillId="2" borderId="89" xfId="0" applyFont="1" applyFill="1" applyBorder="1" applyAlignment="1">
      <alignment vertical="center"/>
    </xf>
    <xf numFmtId="0" fontId="7" fillId="2" borderId="65" xfId="0" applyFont="1" applyFill="1" applyBorder="1" applyAlignment="1">
      <alignment vertical="center"/>
    </xf>
    <xf numFmtId="0" fontId="7" fillId="2" borderId="65" xfId="0" applyFont="1" applyFill="1" applyBorder="1" applyAlignment="1">
      <alignment horizontal="center" vertical="center"/>
    </xf>
    <xf numFmtId="0" fontId="48" fillId="2" borderId="65" xfId="0" applyFont="1" applyFill="1" applyBorder="1" applyAlignment="1">
      <alignment vertical="center"/>
    </xf>
    <xf numFmtId="0" fontId="48" fillId="0" borderId="65" xfId="0" applyFont="1" applyBorder="1" applyAlignment="1">
      <alignment horizontal="center"/>
    </xf>
    <xf numFmtId="0" fontId="7" fillId="2" borderId="65" xfId="0" quotePrefix="1" applyFont="1" applyFill="1" applyBorder="1" applyAlignment="1">
      <alignment horizontal="center" vertical="center"/>
    </xf>
    <xf numFmtId="24" fontId="7" fillId="2" borderId="65" xfId="0" applyNumberFormat="1" applyFont="1" applyFill="1" applyBorder="1" applyAlignment="1">
      <alignment horizontal="center" vertical="center"/>
    </xf>
    <xf numFmtId="0" fontId="7" fillId="2" borderId="70" xfId="0" applyFont="1" applyFill="1" applyBorder="1" applyAlignment="1">
      <alignment vertical="center"/>
    </xf>
    <xf numFmtId="0" fontId="48" fillId="2" borderId="11" xfId="0" quotePrefix="1" applyFont="1" applyFill="1" applyBorder="1" applyAlignment="1">
      <alignment vertical="center"/>
    </xf>
    <xf numFmtId="0" fontId="9" fillId="2" borderId="84" xfId="0" applyFont="1" applyFill="1" applyBorder="1" applyAlignment="1">
      <alignment horizontal="center" vertical="center"/>
    </xf>
    <xf numFmtId="24" fontId="9" fillId="2" borderId="84" xfId="0" applyNumberFormat="1" applyFont="1" applyFill="1" applyBorder="1" applyAlignment="1">
      <alignment horizontal="center" vertical="center"/>
    </xf>
    <xf numFmtId="0" fontId="7" fillId="2" borderId="85" xfId="0" applyFont="1" applyFill="1" applyBorder="1" applyAlignment="1">
      <alignment horizontal="center" vertical="center"/>
    </xf>
    <xf numFmtId="24" fontId="7" fillId="2" borderId="84" xfId="0" applyNumberFormat="1" applyFont="1" applyFill="1" applyBorder="1" applyAlignment="1">
      <alignment horizontal="center" vertical="center"/>
    </xf>
    <xf numFmtId="0" fontId="15" fillId="2" borderId="57" xfId="0" applyFont="1" applyFill="1" applyBorder="1" applyAlignment="1">
      <alignment vertical="center"/>
    </xf>
    <xf numFmtId="0" fontId="15" fillId="20" borderId="57" xfId="0" applyFont="1" applyFill="1" applyBorder="1" applyAlignment="1">
      <alignment vertical="center"/>
    </xf>
    <xf numFmtId="0" fontId="15" fillId="20" borderId="88" xfId="0" applyFont="1" applyFill="1" applyBorder="1" applyAlignment="1">
      <alignment vertical="center"/>
    </xf>
    <xf numFmtId="0" fontId="7" fillId="20" borderId="84" xfId="0" applyFont="1" applyFill="1" applyBorder="1" applyAlignment="1">
      <alignment horizontal="center" vertical="center"/>
    </xf>
    <xf numFmtId="0" fontId="7" fillId="20" borderId="85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0" borderId="11" xfId="0" applyFont="1" applyFill="1" applyBorder="1" applyAlignment="1">
      <alignment horizontal="center" vertical="center"/>
    </xf>
    <xf numFmtId="0" fontId="7" fillId="20" borderId="80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horizontal="center" vertical="center"/>
    </xf>
    <xf numFmtId="0" fontId="15" fillId="21" borderId="57" xfId="0" applyFont="1" applyFill="1" applyBorder="1" applyAlignment="1">
      <alignment vertical="center"/>
    </xf>
    <xf numFmtId="0" fontId="7" fillId="21" borderId="11" xfId="0" applyFont="1" applyFill="1" applyBorder="1" applyAlignment="1">
      <alignment horizontal="center" vertical="center"/>
    </xf>
    <xf numFmtId="0" fontId="7" fillId="21" borderId="80" xfId="0" applyFont="1" applyFill="1" applyBorder="1" applyAlignment="1">
      <alignment horizontal="center" vertical="center"/>
    </xf>
    <xf numFmtId="0" fontId="15" fillId="22" borderId="57" xfId="0" applyFont="1" applyFill="1" applyBorder="1" applyAlignment="1">
      <alignment vertical="center"/>
    </xf>
    <xf numFmtId="0" fontId="7" fillId="22" borderId="11" xfId="0" applyFont="1" applyFill="1" applyBorder="1" applyAlignment="1">
      <alignment horizontal="center" vertical="center"/>
    </xf>
    <xf numFmtId="0" fontId="7" fillId="22" borderId="80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8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77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79" xfId="0" applyFont="1" applyFill="1" applyBorder="1" applyAlignment="1">
      <alignment vertical="center"/>
    </xf>
    <xf numFmtId="0" fontId="7" fillId="2" borderId="11" xfId="0" applyFont="1" applyFill="1" applyBorder="1" applyAlignment="1">
      <alignment vertical="center"/>
    </xf>
    <xf numFmtId="0" fontId="11" fillId="4" borderId="77" xfId="0" applyFont="1" applyFill="1" applyBorder="1" applyAlignment="1">
      <alignment horizontal="center" vertical="center"/>
    </xf>
    <xf numFmtId="0" fontId="7" fillId="2" borderId="11" xfId="0" applyNumberFormat="1" applyFont="1" applyFill="1" applyBorder="1" applyAlignment="1">
      <alignment horizontal="center" vertical="center"/>
    </xf>
    <xf numFmtId="0" fontId="7" fillId="2" borderId="4" xfId="0" applyNumberFormat="1" applyFont="1" applyFill="1" applyBorder="1" applyAlignment="1">
      <alignment horizontal="center" vertical="center"/>
    </xf>
    <xf numFmtId="0" fontId="7" fillId="23" borderId="11" xfId="0" applyFont="1" applyFill="1" applyBorder="1" applyAlignment="1">
      <alignment horizontal="center" vertical="center"/>
    </xf>
    <xf numFmtId="0" fontId="7" fillId="21" borderId="11" xfId="0" applyFont="1" applyFill="1" applyBorder="1" applyAlignment="1">
      <alignment vertical="center"/>
    </xf>
    <xf numFmtId="24" fontId="11" fillId="23" borderId="11" xfId="0" applyNumberFormat="1" applyFont="1" applyFill="1" applyBorder="1" applyAlignment="1">
      <alignment horizontal="center" vertical="center"/>
    </xf>
    <xf numFmtId="0" fontId="11" fillId="23" borderId="11" xfId="0" applyNumberFormat="1" applyFont="1" applyFill="1" applyBorder="1" applyAlignment="1">
      <alignment horizontal="center" vertical="center"/>
    </xf>
    <xf numFmtId="0" fontId="11" fillId="23" borderId="12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38" fillId="0" borderId="93" xfId="0" applyFont="1" applyBorder="1" applyAlignment="1">
      <alignment vertical="center"/>
    </xf>
    <xf numFmtId="0" fontId="0" fillId="0" borderId="93" xfId="0" applyFont="1" applyBorder="1" applyAlignment="1">
      <alignment vertical="center"/>
    </xf>
    <xf numFmtId="0" fontId="38" fillId="0" borderId="97" xfId="0" applyFont="1" applyBorder="1" applyAlignment="1">
      <alignment vertical="center"/>
    </xf>
    <xf numFmtId="0" fontId="0" fillId="0" borderId="98" xfId="0" applyFont="1" applyBorder="1" applyAlignment="1">
      <alignment vertical="center"/>
    </xf>
    <xf numFmtId="0" fontId="38" fillId="0" borderId="99" xfId="0" applyFont="1" applyBorder="1" applyAlignment="1">
      <alignment vertical="center"/>
    </xf>
    <xf numFmtId="0" fontId="0" fillId="0" borderId="100" xfId="0" applyFont="1" applyBorder="1" applyAlignment="1">
      <alignment vertical="center"/>
    </xf>
    <xf numFmtId="0" fontId="0" fillId="0" borderId="101" xfId="0" applyFont="1" applyBorder="1" applyAlignment="1">
      <alignment vertical="center"/>
    </xf>
    <xf numFmtId="0" fontId="38" fillId="30" borderId="93" xfId="0" applyFont="1" applyFill="1" applyBorder="1" applyAlignment="1">
      <alignment vertical="center"/>
    </xf>
    <xf numFmtId="0" fontId="0" fillId="30" borderId="93" xfId="0" applyFont="1" applyFill="1" applyBorder="1" applyAlignment="1">
      <alignment vertical="center"/>
    </xf>
    <xf numFmtId="0" fontId="38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38" fillId="28" borderId="93" xfId="0" applyFont="1" applyFill="1" applyBorder="1" applyAlignment="1">
      <alignment vertical="center"/>
    </xf>
    <xf numFmtId="0" fontId="0" fillId="28" borderId="93" xfId="0" applyFont="1" applyFill="1" applyBorder="1" applyAlignment="1">
      <alignment vertical="center"/>
    </xf>
    <xf numFmtId="0" fontId="38" fillId="28" borderId="98" xfId="0" applyFont="1" applyFill="1" applyBorder="1" applyAlignment="1">
      <alignment vertical="center"/>
    </xf>
    <xf numFmtId="0" fontId="38" fillId="28" borderId="97" xfId="0" applyFont="1" applyFill="1" applyBorder="1" applyAlignment="1">
      <alignment vertical="center"/>
    </xf>
    <xf numFmtId="0" fontId="0" fillId="28" borderId="98" xfId="0" applyFont="1" applyFill="1" applyBorder="1" applyAlignment="1">
      <alignment vertical="center"/>
    </xf>
    <xf numFmtId="0" fontId="50" fillId="28" borderId="93" xfId="0" applyFont="1" applyFill="1" applyBorder="1" applyAlignment="1">
      <alignment vertical="center"/>
    </xf>
    <xf numFmtId="0" fontId="50" fillId="0" borderId="93" xfId="0" applyFont="1" applyBorder="1" applyAlignment="1">
      <alignment vertical="center"/>
    </xf>
    <xf numFmtId="0" fontId="50" fillId="0" borderId="101" xfId="0" applyFont="1" applyBorder="1" applyAlignment="1">
      <alignment vertical="center"/>
    </xf>
    <xf numFmtId="0" fontId="50" fillId="30" borderId="93" xfId="0" applyFont="1" applyFill="1" applyBorder="1" applyAlignment="1">
      <alignment vertical="center"/>
    </xf>
    <xf numFmtId="0" fontId="38" fillId="27" borderId="97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horizontal="left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left" vertical="center"/>
    </xf>
    <xf numFmtId="0" fontId="19" fillId="2" borderId="14" xfId="0" applyFont="1" applyFill="1" applyBorder="1" applyAlignment="1">
      <alignment horizontal="center" vertical="center"/>
    </xf>
    <xf numFmtId="0" fontId="5" fillId="0" borderId="15" xfId="0" applyFont="1" applyBorder="1"/>
    <xf numFmtId="0" fontId="19" fillId="5" borderId="11" xfId="0" applyFont="1" applyFill="1" applyBorder="1" applyAlignment="1">
      <alignment horizontal="center" vertical="center"/>
    </xf>
    <xf numFmtId="0" fontId="19" fillId="5" borderId="1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5" fillId="0" borderId="6" xfId="0" applyFont="1" applyBorder="1"/>
    <xf numFmtId="0" fontId="19" fillId="2" borderId="11" xfId="0" applyFont="1" applyFill="1" applyBorder="1" applyAlignment="1">
      <alignment horizontal="center" vertical="center"/>
    </xf>
    <xf numFmtId="0" fontId="5" fillId="0" borderId="12" xfId="0" applyFont="1" applyBorder="1"/>
    <xf numFmtId="0" fontId="19" fillId="2" borderId="17" xfId="0" applyFont="1" applyFill="1" applyBorder="1" applyAlignment="1">
      <alignment horizontal="center" vertical="center"/>
    </xf>
    <xf numFmtId="0" fontId="5" fillId="0" borderId="45" xfId="0" applyFont="1" applyBorder="1"/>
    <xf numFmtId="0" fontId="7" fillId="2" borderId="36" xfId="0" applyFont="1" applyFill="1" applyBorder="1" applyAlignment="1">
      <alignment horizontal="center" vertical="center"/>
    </xf>
    <xf numFmtId="0" fontId="5" fillId="0" borderId="37" xfId="0" applyFont="1" applyBorder="1"/>
    <xf numFmtId="0" fontId="19" fillId="2" borderId="19" xfId="0" applyFont="1" applyFill="1" applyBorder="1" applyAlignment="1">
      <alignment horizontal="center" vertical="center"/>
    </xf>
    <xf numFmtId="0" fontId="5" fillId="0" borderId="20" xfId="0" applyFont="1" applyBorder="1"/>
    <xf numFmtId="0" fontId="7" fillId="4" borderId="24" xfId="0" applyFont="1" applyFill="1" applyBorder="1" applyAlignment="1">
      <alignment horizontal="center" vertical="center"/>
    </xf>
    <xf numFmtId="0" fontId="5" fillId="0" borderId="25" xfId="0" applyFont="1" applyBorder="1"/>
    <xf numFmtId="0" fontId="13" fillId="5" borderId="29" xfId="0" applyFont="1" applyFill="1" applyBorder="1" applyAlignment="1">
      <alignment horizontal="center" vertical="center"/>
    </xf>
    <xf numFmtId="0" fontId="7" fillId="2" borderId="38" xfId="0" applyFont="1" applyFill="1" applyBorder="1" applyAlignment="1">
      <alignment horizontal="center" vertical="center"/>
    </xf>
    <xf numFmtId="0" fontId="5" fillId="0" borderId="23" xfId="0" applyFont="1" applyBorder="1"/>
    <xf numFmtId="0" fontId="13" fillId="2" borderId="39" xfId="0" applyFont="1" applyFill="1" applyBorder="1" applyAlignment="1">
      <alignment horizontal="center" vertical="center"/>
    </xf>
    <xf numFmtId="0" fontId="5" fillId="0" borderId="43" xfId="0" applyFont="1" applyBorder="1"/>
    <xf numFmtId="0" fontId="24" fillId="3" borderId="29" xfId="0" applyFont="1" applyFill="1" applyBorder="1" applyAlignment="1">
      <alignment horizontal="center" vertical="center"/>
    </xf>
    <xf numFmtId="0" fontId="5" fillId="0" borderId="38" xfId="0" applyFont="1" applyBorder="1"/>
    <xf numFmtId="0" fontId="5" fillId="0" borderId="44" xfId="0" applyFont="1" applyBorder="1"/>
    <xf numFmtId="0" fontId="5" fillId="0" borderId="9" xfId="0" applyFont="1" applyBorder="1"/>
    <xf numFmtId="0" fontId="18" fillId="4" borderId="21" xfId="0" applyFont="1" applyFill="1" applyBorder="1" applyAlignment="1">
      <alignment horizontal="center" vertical="center"/>
    </xf>
    <xf numFmtId="0" fontId="5" fillId="0" borderId="19" xfId="0" applyFont="1" applyBorder="1"/>
    <xf numFmtId="0" fontId="11" fillId="2" borderId="38" xfId="0" applyFont="1" applyFill="1" applyBorder="1" applyAlignment="1">
      <alignment horizontal="left" vertical="center"/>
    </xf>
    <xf numFmtId="0" fontId="13" fillId="3" borderId="27" xfId="0" applyFont="1" applyFill="1" applyBorder="1" applyAlignment="1">
      <alignment horizontal="center" vertical="center"/>
    </xf>
    <xf numFmtId="0" fontId="5" fillId="0" borderId="28" xfId="0" applyFont="1" applyBorder="1"/>
    <xf numFmtId="0" fontId="26" fillId="2" borderId="2" xfId="0" applyFont="1" applyFill="1" applyBorder="1" applyAlignment="1">
      <alignment horizontal="center" vertical="center"/>
    </xf>
    <xf numFmtId="0" fontId="5" fillId="0" borderId="4" xfId="0" applyFont="1" applyBorder="1"/>
    <xf numFmtId="0" fontId="19" fillId="2" borderId="24" xfId="0" applyFont="1" applyFill="1" applyBorder="1" applyAlignment="1">
      <alignment horizontal="center" vertical="center"/>
    </xf>
    <xf numFmtId="0" fontId="11" fillId="2" borderId="36" xfId="0" applyFont="1" applyFill="1" applyBorder="1" applyAlignment="1">
      <alignment horizontal="left" vertical="center"/>
    </xf>
    <xf numFmtId="0" fontId="19" fillId="5" borderId="7" xfId="0" applyFont="1" applyFill="1" applyBorder="1" applyAlignment="1">
      <alignment horizontal="center" vertical="center"/>
    </xf>
    <xf numFmtId="0" fontId="5" fillId="0" borderId="7" xfId="0" applyFont="1" applyBorder="1"/>
    <xf numFmtId="0" fontId="7" fillId="2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7" fillId="2" borderId="3" xfId="0" applyFont="1" applyFill="1" applyBorder="1" applyAlignment="1">
      <alignment horizontal="center" vertical="center"/>
    </xf>
    <xf numFmtId="0" fontId="5" fillId="0" borderId="3" xfId="0" applyFont="1" applyBorder="1"/>
    <xf numFmtId="0" fontId="13" fillId="2" borderId="4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5" fillId="0" borderId="8" xfId="0" applyFont="1" applyBorder="1"/>
    <xf numFmtId="0" fontId="7" fillId="2" borderId="13" xfId="0" applyFont="1" applyFill="1" applyBorder="1" applyAlignment="1">
      <alignment horizontal="left" vertical="center"/>
    </xf>
    <xf numFmtId="0" fontId="5" fillId="0" borderId="14" xfId="0" applyFont="1" applyBorder="1"/>
    <xf numFmtId="0" fontId="7" fillId="2" borderId="10" xfId="0" applyFont="1" applyFill="1" applyBorder="1" applyAlignment="1">
      <alignment horizontal="left" vertical="center"/>
    </xf>
    <xf numFmtId="0" fontId="5" fillId="0" borderId="11" xfId="0" applyFont="1" applyBorder="1"/>
    <xf numFmtId="0" fontId="17" fillId="4" borderId="5" xfId="0" applyFont="1" applyFill="1" applyBorder="1" applyAlignment="1">
      <alignment horizontal="left" vertical="center"/>
    </xf>
    <xf numFmtId="0" fontId="11" fillId="2" borderId="14" xfId="0" applyFont="1" applyFill="1" applyBorder="1" applyAlignment="1">
      <alignment horizontal="center" vertical="center"/>
    </xf>
    <xf numFmtId="0" fontId="7" fillId="2" borderId="81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17" fillId="2" borderId="79" xfId="0" applyFont="1" applyFill="1" applyBorder="1" applyAlignment="1">
      <alignment horizontal="center" vertical="center"/>
    </xf>
    <xf numFmtId="0" fontId="17" fillId="2" borderId="11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5" fillId="0" borderId="0" xfId="0" applyFont="1" applyBorder="1"/>
    <xf numFmtId="0" fontId="7" fillId="2" borderId="8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center" vertical="center"/>
    </xf>
    <xf numFmtId="0" fontId="5" fillId="0" borderId="18" xfId="0" applyFont="1" applyBorder="1"/>
    <xf numFmtId="0" fontId="7" fillId="2" borderId="16" xfId="0" applyFont="1" applyFill="1" applyBorder="1" applyAlignment="1">
      <alignment horizontal="left" vertical="center"/>
    </xf>
    <xf numFmtId="0" fontId="5" fillId="0" borderId="17" xfId="0" applyFont="1" applyBorder="1"/>
    <xf numFmtId="0" fontId="17" fillId="4" borderId="5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top" wrapText="1"/>
    </xf>
    <xf numFmtId="0" fontId="19" fillId="2" borderId="0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left" vertical="center"/>
    </xf>
    <xf numFmtId="0" fontId="17" fillId="4" borderId="22" xfId="0" applyFont="1" applyFill="1" applyBorder="1" applyAlignment="1">
      <alignment horizontal="left" vertical="center"/>
    </xf>
    <xf numFmtId="0" fontId="32" fillId="5" borderId="11" xfId="0" applyFont="1" applyFill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5" fillId="0" borderId="2" xfId="0" applyFont="1" applyBorder="1"/>
    <xf numFmtId="0" fontId="25" fillId="0" borderId="17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5" fillId="0" borderId="42" xfId="0" applyFont="1" applyBorder="1"/>
    <xf numFmtId="0" fontId="7" fillId="2" borderId="11" xfId="0" applyFont="1" applyFill="1" applyBorder="1" applyAlignment="1">
      <alignment horizontal="left" vertical="center"/>
    </xf>
    <xf numFmtId="0" fontId="16" fillId="3" borderId="22" xfId="0" applyFont="1" applyFill="1" applyBorder="1" applyAlignment="1">
      <alignment horizontal="center" vertical="top"/>
    </xf>
    <xf numFmtId="0" fontId="11" fillId="2" borderId="22" xfId="0" applyFont="1" applyFill="1" applyBorder="1" applyAlignment="1">
      <alignment horizontal="center" vertical="center"/>
    </xf>
    <xf numFmtId="0" fontId="35" fillId="5" borderId="5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35" fillId="3" borderId="5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horizontal="center" vertical="center"/>
    </xf>
    <xf numFmtId="24" fontId="17" fillId="3" borderId="55" xfId="0" applyNumberFormat="1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5" fillId="0" borderId="33" xfId="0" applyFont="1" applyBorder="1"/>
    <xf numFmtId="0" fontId="5" fillId="0" borderId="34" xfId="0" applyFont="1" applyBorder="1"/>
    <xf numFmtId="0" fontId="7" fillId="2" borderId="1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53" xfId="0" applyFont="1" applyFill="1" applyBorder="1" applyAlignment="1">
      <alignment horizontal="center" vertical="center"/>
    </xf>
    <xf numFmtId="24" fontId="11" fillId="2" borderId="16" xfId="0" applyNumberFormat="1" applyFont="1" applyFill="1" applyBorder="1" applyAlignment="1">
      <alignment horizontal="center" vertical="center"/>
    </xf>
    <xf numFmtId="0" fontId="5" fillId="0" borderId="54" xfId="0" applyFont="1" applyBorder="1"/>
    <xf numFmtId="0" fontId="19" fillId="2" borderId="15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left" vertical="center"/>
    </xf>
    <xf numFmtId="0" fontId="7" fillId="2" borderId="91" xfId="0" applyFont="1" applyFill="1" applyBorder="1" applyAlignment="1">
      <alignment horizontal="left" vertical="center"/>
    </xf>
    <xf numFmtId="0" fontId="5" fillId="0" borderId="24" xfId="0" applyFont="1" applyBorder="1"/>
    <xf numFmtId="0" fontId="7" fillId="2" borderId="22" xfId="0" applyFont="1" applyFill="1" applyBorder="1" applyAlignment="1">
      <alignment horizontal="left" vertical="center"/>
    </xf>
    <xf numFmtId="0" fontId="27" fillId="3" borderId="22" xfId="0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3" fillId="3" borderId="13" xfId="0" applyFont="1" applyFill="1" applyBorder="1" applyAlignment="1">
      <alignment horizontal="center" vertical="center"/>
    </xf>
    <xf numFmtId="0" fontId="19" fillId="2" borderId="12" xfId="0" applyFont="1" applyFill="1" applyBorder="1" applyAlignment="1">
      <alignment horizontal="center" vertical="center"/>
    </xf>
    <xf numFmtId="0" fontId="32" fillId="5" borderId="17" xfId="0" applyFont="1" applyFill="1" applyBorder="1" applyAlignment="1">
      <alignment horizontal="center" vertical="center"/>
    </xf>
    <xf numFmtId="0" fontId="32" fillId="5" borderId="4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horizontal="center" vertical="center"/>
    </xf>
    <xf numFmtId="0" fontId="33" fillId="3" borderId="22" xfId="0" applyFont="1" applyFill="1" applyBorder="1" applyAlignment="1">
      <alignment horizontal="center" vertical="top"/>
    </xf>
    <xf numFmtId="0" fontId="32" fillId="5" borderId="14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center" vertical="center"/>
    </xf>
    <xf numFmtId="0" fontId="7" fillId="4" borderId="77" xfId="0" applyFont="1" applyFill="1" applyBorder="1" applyAlignment="1">
      <alignment horizontal="center" vertical="center"/>
    </xf>
    <xf numFmtId="0" fontId="5" fillId="0" borderId="78" xfId="0" applyFont="1" applyBorder="1"/>
    <xf numFmtId="0" fontId="32" fillId="3" borderId="14" xfId="0" applyFont="1" applyFill="1" applyBorder="1" applyAlignment="1">
      <alignment horizontal="center" vertical="center"/>
    </xf>
    <xf numFmtId="0" fontId="18" fillId="4" borderId="76" xfId="0" applyFont="1" applyFill="1" applyBorder="1" applyAlignment="1">
      <alignment horizontal="left" vertical="center"/>
    </xf>
    <xf numFmtId="0" fontId="5" fillId="0" borderId="77" xfId="0" applyFont="1" applyBorder="1"/>
    <xf numFmtId="0" fontId="11" fillId="2" borderId="0" xfId="0" applyFont="1" applyFill="1" applyBorder="1" applyAlignment="1">
      <alignment horizontal="center" vertical="center"/>
    </xf>
    <xf numFmtId="0" fontId="15" fillId="2" borderId="0" xfId="0" applyFont="1" applyFill="1" applyBorder="1" applyAlignment="1">
      <alignment horizontal="center" vertical="center"/>
    </xf>
    <xf numFmtId="0" fontId="23" fillId="5" borderId="10" xfId="0" applyFont="1" applyFill="1" applyBorder="1" applyAlignment="1">
      <alignment horizontal="center" vertical="center"/>
    </xf>
    <xf numFmtId="0" fontId="7" fillId="2" borderId="14" xfId="0" quotePrefix="1" applyFont="1" applyFill="1" applyBorder="1" applyAlignment="1">
      <alignment horizontal="center" vertical="center"/>
    </xf>
    <xf numFmtId="0" fontId="32" fillId="3" borderId="11" xfId="0" applyFont="1" applyFill="1" applyBorder="1" applyAlignment="1">
      <alignment horizontal="center" vertical="center"/>
    </xf>
    <xf numFmtId="0" fontId="25" fillId="4" borderId="32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34" fillId="2" borderId="52" xfId="0" applyFont="1" applyFill="1" applyBorder="1" applyAlignment="1">
      <alignment horizontal="center" vertical="center"/>
    </xf>
    <xf numFmtId="0" fontId="5" fillId="0" borderId="50" xfId="0" applyFont="1" applyBorder="1"/>
    <xf numFmtId="0" fontId="6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right" vertical="center"/>
    </xf>
    <xf numFmtId="0" fontId="10" fillId="3" borderId="3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right" vertical="center"/>
    </xf>
    <xf numFmtId="0" fontId="11" fillId="4" borderId="5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5" fillId="0" borderId="58" xfId="0" applyFont="1" applyBorder="1"/>
    <xf numFmtId="0" fontId="18" fillId="4" borderId="57" xfId="0" applyFont="1" applyFill="1" applyBorder="1" applyAlignment="1">
      <alignment vertical="center"/>
    </xf>
    <xf numFmtId="0" fontId="7" fillId="2" borderId="104" xfId="0" applyFont="1" applyFill="1" applyBorder="1" applyAlignment="1">
      <alignment horizontal="left" vertical="center"/>
    </xf>
    <xf numFmtId="0" fontId="19" fillId="5" borderId="14" xfId="0" applyFont="1" applyFill="1" applyBorder="1" applyAlignment="1">
      <alignment horizontal="center" vertical="center"/>
    </xf>
    <xf numFmtId="0" fontId="19" fillId="5" borderId="86" xfId="0" applyFont="1" applyFill="1" applyBorder="1" applyAlignment="1">
      <alignment horizontal="center" vertical="center"/>
    </xf>
    <xf numFmtId="0" fontId="19" fillId="5" borderId="83" xfId="0" applyFont="1" applyFill="1" applyBorder="1" applyAlignment="1">
      <alignment horizontal="center" vertical="center"/>
    </xf>
    <xf numFmtId="0" fontId="19" fillId="5" borderId="87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9" fillId="5" borderId="18" xfId="0" applyFont="1" applyFill="1" applyBorder="1" applyAlignment="1">
      <alignment horizontal="center" vertical="center"/>
    </xf>
    <xf numFmtId="0" fontId="5" fillId="0" borderId="56" xfId="0" applyFont="1" applyBorder="1"/>
    <xf numFmtId="0" fontId="19" fillId="5" borderId="17" xfId="0" applyFont="1" applyFill="1" applyBorder="1" applyAlignment="1">
      <alignment horizontal="center" vertical="center"/>
    </xf>
    <xf numFmtId="0" fontId="19" fillId="5" borderId="45" xfId="0" applyFont="1" applyFill="1" applyBorder="1" applyAlignment="1">
      <alignment horizontal="center" vertical="center"/>
    </xf>
    <xf numFmtId="0" fontId="7" fillId="2" borderId="81" xfId="0" applyFont="1" applyFill="1" applyBorder="1" applyAlignment="1">
      <alignment horizontal="left" vertical="center"/>
    </xf>
    <xf numFmtId="0" fontId="7" fillId="5" borderId="18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vertical="center"/>
    </xf>
    <xf numFmtId="0" fontId="5" fillId="0" borderId="22" xfId="0" applyFont="1" applyBorder="1"/>
    <xf numFmtId="0" fontId="0" fillId="0" borderId="0" xfId="0" applyFont="1" applyAlignment="1">
      <alignment vertical="center"/>
    </xf>
    <xf numFmtId="0" fontId="17" fillId="2" borderId="18" xfId="0" applyFont="1" applyFill="1" applyBorder="1" applyAlignment="1">
      <alignment horizontal="center" vertical="center"/>
    </xf>
    <xf numFmtId="0" fontId="17" fillId="5" borderId="53" xfId="0" applyFont="1" applyFill="1" applyBorder="1" applyAlignment="1">
      <alignment horizontal="center" vertical="center"/>
    </xf>
    <xf numFmtId="0" fontId="37" fillId="3" borderId="5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left" vertical="center"/>
    </xf>
    <xf numFmtId="0" fontId="18" fillId="2" borderId="18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right" vertical="center"/>
    </xf>
    <xf numFmtId="0" fontId="18" fillId="5" borderId="53" xfId="0" applyFont="1" applyFill="1" applyBorder="1" applyAlignment="1">
      <alignment horizontal="center" vertical="center"/>
    </xf>
    <xf numFmtId="0" fontId="5" fillId="0" borderId="80" xfId="0" applyFont="1" applyBorder="1"/>
    <xf numFmtId="0" fontId="7" fillId="2" borderId="82" xfId="0" applyFont="1" applyFill="1" applyBorder="1" applyAlignment="1">
      <alignment horizontal="left" vertical="center"/>
    </xf>
    <xf numFmtId="0" fontId="5" fillId="0" borderId="83" xfId="0" applyFont="1" applyBorder="1"/>
    <xf numFmtId="0" fontId="18" fillId="4" borderId="5" xfId="0" applyFont="1" applyFill="1" applyBorder="1" applyAlignment="1">
      <alignment horizontal="center" vertical="center"/>
    </xf>
    <xf numFmtId="0" fontId="18" fillId="4" borderId="76" xfId="0" applyFont="1" applyFill="1" applyBorder="1" applyAlignment="1">
      <alignment horizontal="center" vertical="center"/>
    </xf>
    <xf numFmtId="0" fontId="18" fillId="4" borderId="77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5" fillId="0" borderId="87" xfId="0" applyFont="1" applyBorder="1"/>
    <xf numFmtId="0" fontId="11" fillId="4" borderId="7" xfId="0" applyFont="1" applyFill="1" applyBorder="1" applyAlignment="1">
      <alignment horizontal="center" vertical="center"/>
    </xf>
    <xf numFmtId="0" fontId="7" fillId="2" borderId="79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88" xfId="0" applyFont="1" applyFill="1" applyBorder="1" applyAlignment="1">
      <alignment horizontal="center" vertical="center"/>
    </xf>
    <xf numFmtId="0" fontId="7" fillId="2" borderId="8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left" vertical="center"/>
    </xf>
    <xf numFmtId="0" fontId="5" fillId="0" borderId="92" xfId="0" applyFont="1" applyBorder="1"/>
    <xf numFmtId="0" fontId="7" fillId="2" borderId="13" xfId="0" applyFont="1" applyFill="1" applyBorder="1" applyAlignment="1">
      <alignment vertical="center"/>
    </xf>
    <xf numFmtId="0" fontId="7" fillId="2" borderId="10" xfId="0" applyFont="1" applyFill="1" applyBorder="1" applyAlignment="1">
      <alignment vertical="center"/>
    </xf>
    <xf numFmtId="0" fontId="7" fillId="2" borderId="16" xfId="0" applyFont="1" applyFill="1" applyBorder="1" applyAlignment="1">
      <alignment vertical="center"/>
    </xf>
    <xf numFmtId="24" fontId="11" fillId="3" borderId="36" xfId="0" applyNumberFormat="1" applyFont="1" applyFill="1" applyBorder="1" applyAlignment="1">
      <alignment horizontal="center" vertical="center"/>
    </xf>
    <xf numFmtId="0" fontId="7" fillId="25" borderId="10" xfId="0" applyFont="1" applyFill="1" applyBorder="1" applyAlignment="1">
      <alignment horizontal="left" vertical="center"/>
    </xf>
    <xf numFmtId="0" fontId="5" fillId="26" borderId="11" xfId="0" applyFont="1" applyFill="1" applyBorder="1"/>
    <xf numFmtId="0" fontId="11" fillId="5" borderId="4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/>
    </xf>
    <xf numFmtId="24" fontId="11" fillId="5" borderId="36" xfId="0" applyNumberFormat="1" applyFont="1" applyFill="1" applyBorder="1" applyAlignment="1">
      <alignment horizontal="center" vertical="center"/>
    </xf>
    <xf numFmtId="0" fontId="11" fillId="5" borderId="0" xfId="0" applyFont="1" applyFill="1" applyBorder="1" applyAlignment="1">
      <alignment horizontal="center" vertical="center"/>
    </xf>
    <xf numFmtId="0" fontId="7" fillId="2" borderId="82" xfId="0" applyFont="1" applyFill="1" applyBorder="1" applyAlignment="1">
      <alignment horizontal="center" vertical="center"/>
    </xf>
    <xf numFmtId="0" fontId="7" fillId="2" borderId="83" xfId="0" applyFont="1" applyFill="1" applyBorder="1" applyAlignment="1">
      <alignment horizontal="center" vertical="center"/>
    </xf>
    <xf numFmtId="0" fontId="11" fillId="2" borderId="83" xfId="0" applyFont="1" applyFill="1" applyBorder="1" applyAlignment="1">
      <alignment horizontal="center" vertical="center"/>
    </xf>
    <xf numFmtId="24" fontId="11" fillId="5" borderId="27" xfId="0" applyNumberFormat="1" applyFont="1" applyFill="1" applyBorder="1" applyAlignment="1">
      <alignment horizontal="center" vertical="center"/>
    </xf>
    <xf numFmtId="24" fontId="11" fillId="3" borderId="47" xfId="0" applyNumberFormat="1" applyFont="1" applyFill="1" applyBorder="1" applyAlignment="1">
      <alignment horizontal="center" vertical="center"/>
    </xf>
    <xf numFmtId="0" fontId="7" fillId="2" borderId="47" xfId="0" applyFont="1" applyFill="1" applyBorder="1" applyAlignment="1">
      <alignment horizontal="center" vertical="center"/>
    </xf>
    <xf numFmtId="0" fontId="5" fillId="0" borderId="48" xfId="0" applyFont="1" applyBorder="1"/>
    <xf numFmtId="0" fontId="7" fillId="2" borderId="44" xfId="0" applyFont="1" applyFill="1" applyBorder="1" applyAlignment="1">
      <alignment horizontal="center" vertical="center"/>
    </xf>
    <xf numFmtId="0" fontId="18" fillId="4" borderId="21" xfId="0" applyFont="1" applyFill="1" applyBorder="1" applyAlignment="1">
      <alignment horizontal="left" vertical="center"/>
    </xf>
    <xf numFmtId="0" fontId="18" fillId="4" borderId="78" xfId="0" applyFont="1" applyFill="1" applyBorder="1" applyAlignment="1">
      <alignment horizontal="center" vertical="center"/>
    </xf>
    <xf numFmtId="0" fontId="11" fillId="23" borderId="10" xfId="0" applyFont="1" applyFill="1" applyBorder="1" applyAlignment="1">
      <alignment horizontal="center" vertical="center"/>
    </xf>
    <xf numFmtId="0" fontId="49" fillId="24" borderId="11" xfId="0" applyFont="1" applyFill="1" applyBorder="1" applyAlignment="1">
      <alignment horizontal="center"/>
    </xf>
    <xf numFmtId="0" fontId="7" fillId="4" borderId="78" xfId="0" applyFont="1" applyFill="1" applyBorder="1" applyAlignment="1">
      <alignment horizontal="center" vertical="center"/>
    </xf>
    <xf numFmtId="0" fontId="19" fillId="5" borderId="80" xfId="0" applyFont="1" applyFill="1" applyBorder="1" applyAlignment="1">
      <alignment horizontal="center" vertical="center"/>
    </xf>
    <xf numFmtId="0" fontId="7" fillId="2" borderId="79" xfId="0" applyFont="1" applyFill="1" applyBorder="1" applyAlignment="1">
      <alignment horizontal="left" vertical="center"/>
    </xf>
    <xf numFmtId="0" fontId="19" fillId="2" borderId="84" xfId="0" applyFont="1" applyFill="1" applyBorder="1" applyAlignment="1">
      <alignment horizontal="center" vertical="center"/>
    </xf>
    <xf numFmtId="0" fontId="5" fillId="0" borderId="85" xfId="0" applyFont="1" applyBorder="1"/>
    <xf numFmtId="0" fontId="38" fillId="16" borderId="102" xfId="0" applyFont="1" applyFill="1" applyBorder="1" applyAlignment="1">
      <alignment horizontal="center" vertical="center"/>
    </xf>
    <xf numFmtId="0" fontId="38" fillId="16" borderId="103" xfId="0" applyFont="1" applyFill="1" applyBorder="1" applyAlignment="1">
      <alignment horizontal="center" vertical="center"/>
    </xf>
    <xf numFmtId="0" fontId="38" fillId="27" borderId="93" xfId="0" applyFont="1" applyFill="1" applyBorder="1" applyAlignment="1">
      <alignment horizontal="center" vertical="center" wrapText="1"/>
    </xf>
    <xf numFmtId="0" fontId="38" fillId="27" borderId="93" xfId="0" applyFont="1" applyFill="1" applyBorder="1" applyAlignment="1">
      <alignment horizontal="center" vertical="center"/>
    </xf>
    <xf numFmtId="0" fontId="38" fillId="29" borderId="93" xfId="0" applyFont="1" applyFill="1" applyBorder="1" applyAlignment="1">
      <alignment horizontal="center" vertical="center"/>
    </xf>
    <xf numFmtId="0" fontId="38" fillId="31" borderId="93" xfId="0" applyFont="1" applyFill="1" applyBorder="1" applyAlignment="1">
      <alignment horizontal="center" vertical="center"/>
    </xf>
    <xf numFmtId="0" fontId="38" fillId="16" borderId="94" xfId="0" applyFont="1" applyFill="1" applyBorder="1" applyAlignment="1">
      <alignment horizontal="center" vertical="center"/>
    </xf>
    <xf numFmtId="0" fontId="38" fillId="16" borderId="95" xfId="0" applyFont="1" applyFill="1" applyBorder="1" applyAlignment="1">
      <alignment horizontal="center" vertical="center"/>
    </xf>
    <xf numFmtId="0" fontId="38" fillId="16" borderId="96" xfId="0" applyFont="1" applyFill="1" applyBorder="1" applyAlignment="1">
      <alignment horizontal="center" vertical="center"/>
    </xf>
    <xf numFmtId="0" fontId="38" fillId="27" borderId="97" xfId="0" applyFont="1" applyFill="1" applyBorder="1" applyAlignment="1">
      <alignment horizontal="center" vertical="center" wrapText="1"/>
    </xf>
    <xf numFmtId="0" fontId="38" fillId="31" borderId="98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vertical="center"/>
    </xf>
    <xf numFmtId="0" fontId="7" fillId="20" borderId="22" xfId="0" applyFont="1" applyFill="1" applyBorder="1" applyAlignment="1">
      <alignment horizontal="center" vertical="center"/>
    </xf>
    <xf numFmtId="0" fontId="7" fillId="20" borderId="0" xfId="0" applyFont="1" applyFill="1" applyBorder="1" applyAlignment="1">
      <alignment horizontal="center" vertical="center"/>
    </xf>
    <xf numFmtId="0" fontId="7" fillId="20" borderId="58" xfId="0" applyFont="1" applyFill="1" applyBorder="1" applyAlignment="1">
      <alignment horizontal="center" vertical="center"/>
    </xf>
    <xf numFmtId="0" fontId="7" fillId="20" borderId="57" xfId="0" applyFont="1" applyFill="1" applyBorder="1" applyAlignment="1">
      <alignment horizontal="center" vertical="center"/>
    </xf>
    <xf numFmtId="0" fontId="7" fillId="2" borderId="90" xfId="0" applyFont="1" applyFill="1" applyBorder="1" applyAlignment="1">
      <alignment vertical="center"/>
    </xf>
    <xf numFmtId="0" fontId="7" fillId="2" borderId="89" xfId="0" applyFont="1" applyFill="1" applyBorder="1" applyAlignment="1">
      <alignment vertical="center"/>
    </xf>
    <xf numFmtId="0" fontId="7" fillId="2" borderId="81" xfId="0" applyFont="1" applyFill="1" applyBorder="1" applyAlignment="1">
      <alignment vertical="center"/>
    </xf>
    <xf numFmtId="0" fontId="7" fillId="2" borderId="79" xfId="0" applyFont="1" applyFill="1" applyBorder="1" applyAlignment="1">
      <alignment vertical="center"/>
    </xf>
    <xf numFmtId="0" fontId="7" fillId="2" borderId="11" xfId="0" applyFont="1" applyFill="1" applyBorder="1" applyAlignment="1">
      <alignment vertical="center"/>
    </xf>
    <xf numFmtId="0" fontId="7" fillId="2" borderId="82" xfId="0" applyFont="1" applyFill="1" applyBorder="1" applyAlignment="1">
      <alignment vertical="center"/>
    </xf>
    <xf numFmtId="0" fontId="7" fillId="2" borderId="83" xfId="0" applyFont="1" applyFill="1" applyBorder="1" applyAlignment="1">
      <alignment vertical="center"/>
    </xf>
    <xf numFmtId="0" fontId="7" fillId="2" borderId="83" xfId="0" applyFont="1" applyFill="1" applyBorder="1" applyAlignment="1">
      <alignment horizontal="left" vertical="center"/>
    </xf>
    <xf numFmtId="0" fontId="7" fillId="20" borderId="79" xfId="0" applyFont="1" applyFill="1" applyBorder="1" applyAlignment="1">
      <alignment horizontal="center" vertical="center"/>
    </xf>
    <xf numFmtId="0" fontId="7" fillId="20" borderId="11" xfId="0" applyFont="1" applyFill="1" applyBorder="1" applyAlignment="1">
      <alignment horizontal="center" vertical="center"/>
    </xf>
    <xf numFmtId="0" fontId="7" fillId="20" borderId="80" xfId="0" applyFont="1" applyFill="1" applyBorder="1" applyAlignment="1">
      <alignment horizontal="center" vertical="center"/>
    </xf>
    <xf numFmtId="0" fontId="7" fillId="20" borderId="81" xfId="0" applyFont="1" applyFill="1" applyBorder="1" applyAlignment="1">
      <alignment horizontal="center" vertical="center"/>
    </xf>
    <xf numFmtId="0" fontId="7" fillId="20" borderId="14" xfId="0" applyFont="1" applyFill="1" applyBorder="1" applyAlignment="1">
      <alignment horizontal="center" vertical="center"/>
    </xf>
    <xf numFmtId="0" fontId="7" fillId="20" borderId="86" xfId="0" applyFont="1" applyFill="1" applyBorder="1" applyAlignment="1">
      <alignment horizontal="center" vertical="center"/>
    </xf>
    <xf numFmtId="0" fontId="15" fillId="20" borderId="84" xfId="0" applyFont="1" applyFill="1" applyBorder="1" applyAlignment="1">
      <alignment horizontal="center" vertical="center"/>
    </xf>
    <xf numFmtId="0" fontId="19" fillId="20" borderId="83" xfId="0" applyFont="1" applyFill="1" applyBorder="1" applyAlignment="1">
      <alignment horizontal="center" vertical="center"/>
    </xf>
    <xf numFmtId="0" fontId="7" fillId="20" borderId="83" xfId="0" applyFont="1" applyFill="1" applyBorder="1" applyAlignment="1">
      <alignment horizontal="center" vertical="center"/>
    </xf>
    <xf numFmtId="0" fontId="15" fillId="20" borderId="0" xfId="0" applyFont="1" applyFill="1" applyBorder="1" applyAlignment="1">
      <alignment horizontal="center" vertical="center"/>
    </xf>
    <xf numFmtId="0" fontId="19" fillId="20" borderId="14" xfId="0" applyFont="1" applyFill="1" applyBorder="1" applyAlignment="1">
      <alignment horizontal="center" vertical="center"/>
    </xf>
    <xf numFmtId="0" fontId="15" fillId="21" borderId="0" xfId="0" applyFont="1" applyFill="1" applyBorder="1" applyAlignment="1">
      <alignment horizontal="center" vertical="center"/>
    </xf>
    <xf numFmtId="0" fontId="15" fillId="22" borderId="0" xfId="0" applyFont="1" applyFill="1" applyBorder="1" applyAlignment="1">
      <alignment horizontal="center" vertical="center"/>
    </xf>
    <xf numFmtId="0" fontId="11" fillId="4" borderId="77" xfId="0" applyFont="1" applyFill="1" applyBorder="1" applyAlignment="1">
      <alignment horizontal="center" vertical="center"/>
    </xf>
    <xf numFmtId="0" fontId="19" fillId="21" borderId="14" xfId="0" applyFont="1" applyFill="1" applyBorder="1" applyAlignment="1">
      <alignment horizontal="center" vertical="center"/>
    </xf>
    <xf numFmtId="0" fontId="19" fillId="22" borderId="14" xfId="0" applyFont="1" applyFill="1" applyBorder="1" applyAlignment="1">
      <alignment horizontal="center" vertical="center"/>
    </xf>
    <xf numFmtId="0" fontId="7" fillId="21" borderId="14" xfId="0" applyFont="1" applyFill="1" applyBorder="1" applyAlignment="1">
      <alignment horizontal="center" vertical="center"/>
    </xf>
    <xf numFmtId="0" fontId="7" fillId="22" borderId="14" xfId="0" applyFont="1" applyFill="1" applyBorder="1" applyAlignment="1">
      <alignment horizontal="center" vertical="center"/>
    </xf>
    <xf numFmtId="0" fontId="38" fillId="14" borderId="67" xfId="0" applyFont="1" applyFill="1" applyBorder="1" applyAlignment="1">
      <alignment horizontal="center" vertical="center"/>
    </xf>
    <xf numFmtId="0" fontId="38" fillId="14" borderId="68" xfId="0" applyFont="1" applyFill="1" applyBorder="1" applyAlignment="1">
      <alignment horizontal="center" vertical="center"/>
    </xf>
    <xf numFmtId="0" fontId="38" fillId="14" borderId="69" xfId="0" applyFont="1" applyFill="1" applyBorder="1" applyAlignment="1">
      <alignment horizontal="center" vertical="center"/>
    </xf>
    <xf numFmtId="0" fontId="21" fillId="16" borderId="71" xfId="0" applyFont="1" applyFill="1" applyBorder="1" applyAlignment="1">
      <alignment horizontal="left" vertical="top" wrapText="1"/>
    </xf>
    <xf numFmtId="0" fontId="21" fillId="16" borderId="60" xfId="0" applyFont="1" applyFill="1" applyBorder="1" applyAlignment="1">
      <alignment horizontal="left" vertical="top"/>
    </xf>
    <xf numFmtId="0" fontId="21" fillId="16" borderId="61" xfId="0" applyFont="1" applyFill="1" applyBorder="1" applyAlignment="1">
      <alignment horizontal="left" vertical="top"/>
    </xf>
    <xf numFmtId="0" fontId="21" fillId="16" borderId="57" xfId="0" applyFont="1" applyFill="1" applyBorder="1" applyAlignment="1">
      <alignment horizontal="left" vertical="top"/>
    </xf>
    <xf numFmtId="0" fontId="21" fillId="16" borderId="0" xfId="0" applyFont="1" applyFill="1" applyBorder="1" applyAlignment="1">
      <alignment horizontal="left" vertical="top"/>
    </xf>
    <xf numFmtId="0" fontId="21" fillId="16" borderId="63" xfId="0" applyFont="1" applyFill="1" applyBorder="1" applyAlignment="1">
      <alignment horizontal="left" vertical="top"/>
    </xf>
    <xf numFmtId="0" fontId="21" fillId="16" borderId="73" xfId="0" applyFont="1" applyFill="1" applyBorder="1" applyAlignment="1">
      <alignment horizontal="left" vertical="top"/>
    </xf>
    <xf numFmtId="0" fontId="21" fillId="16" borderId="65" xfId="0" applyFont="1" applyFill="1" applyBorder="1" applyAlignment="1">
      <alignment horizontal="left" vertical="top"/>
    </xf>
    <xf numFmtId="0" fontId="21" fillId="16" borderId="66" xfId="0" applyFont="1" applyFill="1" applyBorder="1" applyAlignment="1">
      <alignment horizontal="left" vertical="top"/>
    </xf>
    <xf numFmtId="0" fontId="47" fillId="19" borderId="61" xfId="0" applyFont="1" applyFill="1" applyBorder="1" applyAlignment="1">
      <alignment horizontal="right" vertical="center"/>
    </xf>
    <xf numFmtId="0" fontId="47" fillId="19" borderId="66" xfId="0" applyFont="1" applyFill="1" applyBorder="1" applyAlignment="1">
      <alignment horizontal="right" vertical="center"/>
    </xf>
    <xf numFmtId="0" fontId="39" fillId="10" borderId="71" xfId="5" applyBorder="1" applyAlignment="1">
      <alignment horizontal="center" vertical="center"/>
    </xf>
    <xf numFmtId="0" fontId="39" fillId="10" borderId="61" xfId="5" applyBorder="1" applyAlignment="1">
      <alignment horizontal="center" vertical="center"/>
    </xf>
    <xf numFmtId="0" fontId="3" fillId="6" borderId="64" xfId="1" applyNumberFormat="1" applyBorder="1" applyAlignment="1">
      <alignment vertical="center"/>
    </xf>
    <xf numFmtId="0" fontId="3" fillId="6" borderId="65" xfId="1" applyNumberFormat="1" applyBorder="1" applyAlignment="1">
      <alignment vertical="center"/>
    </xf>
    <xf numFmtId="0" fontId="3" fillId="6" borderId="62" xfId="1" applyNumberFormat="1" applyBorder="1" applyAlignment="1">
      <alignment vertical="center"/>
    </xf>
    <xf numFmtId="0" fontId="3" fillId="6" borderId="0" xfId="1" applyNumberFormat="1" applyBorder="1" applyAlignment="1">
      <alignment vertical="center"/>
    </xf>
    <xf numFmtId="0" fontId="39" fillId="7" borderId="62" xfId="2" applyNumberFormat="1" applyBorder="1" applyAlignment="1">
      <alignment vertical="center"/>
    </xf>
    <xf numFmtId="0" fontId="39" fillId="7" borderId="0" xfId="2" applyNumberFormat="1" applyBorder="1" applyAlignment="1">
      <alignment vertical="center"/>
    </xf>
    <xf numFmtId="0" fontId="2" fillId="35" borderId="62" xfId="1" applyNumberFormat="1" applyFont="1" applyFill="1" applyBorder="1" applyAlignment="1">
      <alignment vertical="center"/>
    </xf>
    <xf numFmtId="0" fontId="3" fillId="35" borderId="0" xfId="1" applyNumberFormat="1" applyFill="1" applyBorder="1" applyAlignment="1">
      <alignment vertical="center"/>
    </xf>
    <xf numFmtId="0" fontId="5" fillId="11" borderId="67" xfId="0" applyFont="1" applyFill="1" applyBorder="1" applyAlignment="1">
      <alignment horizontal="center" vertical="center"/>
    </xf>
    <xf numFmtId="0" fontId="5" fillId="11" borderId="68" xfId="0" applyFont="1" applyFill="1" applyBorder="1" applyAlignment="1">
      <alignment horizontal="center" vertical="center"/>
    </xf>
    <xf numFmtId="0" fontId="5" fillId="11" borderId="69" xfId="0" applyFont="1" applyFill="1" applyBorder="1" applyAlignment="1">
      <alignment horizontal="center" vertical="center"/>
    </xf>
    <xf numFmtId="0" fontId="51" fillId="7" borderId="59" xfId="2" applyNumberFormat="1" applyFont="1" applyBorder="1" applyAlignment="1">
      <alignment vertical="center"/>
    </xf>
    <xf numFmtId="0" fontId="51" fillId="7" borderId="60" xfId="2" applyNumberFormat="1" applyFont="1" applyBorder="1" applyAlignment="1">
      <alignment vertical="center"/>
    </xf>
    <xf numFmtId="0" fontId="29" fillId="16" borderId="59" xfId="0" applyFont="1" applyFill="1" applyBorder="1" applyAlignment="1">
      <alignment horizontal="left" vertical="top" wrapText="1"/>
    </xf>
    <xf numFmtId="0" fontId="29" fillId="16" borderId="60" xfId="0" applyFont="1" applyFill="1" applyBorder="1" applyAlignment="1">
      <alignment horizontal="left" vertical="top" wrapText="1"/>
    </xf>
    <xf numFmtId="0" fontId="29" fillId="16" borderId="62" xfId="0" applyFont="1" applyFill="1" applyBorder="1" applyAlignment="1">
      <alignment horizontal="left" vertical="top" wrapText="1"/>
    </xf>
    <xf numFmtId="0" fontId="29" fillId="16" borderId="0" xfId="0" applyFont="1" applyFill="1" applyBorder="1" applyAlignment="1">
      <alignment horizontal="left" vertical="top" wrapText="1"/>
    </xf>
    <xf numFmtId="0" fontId="29" fillId="16" borderId="64" xfId="0" applyFont="1" applyFill="1" applyBorder="1" applyAlignment="1">
      <alignment horizontal="left" vertical="top" wrapText="1"/>
    </xf>
    <xf numFmtId="0" fontId="29" fillId="16" borderId="65" xfId="0" applyFont="1" applyFill="1" applyBorder="1" applyAlignment="1">
      <alignment horizontal="left" vertical="top" wrapText="1"/>
    </xf>
    <xf numFmtId="0" fontId="45" fillId="9" borderId="0" xfId="4" applyNumberFormat="1" applyFont="1" applyBorder="1" applyAlignment="1">
      <alignment vertical="center"/>
    </xf>
    <xf numFmtId="0" fontId="45" fillId="9" borderId="63" xfId="4" applyNumberFormat="1" applyFont="1" applyBorder="1" applyAlignment="1">
      <alignment vertical="center"/>
    </xf>
    <xf numFmtId="0" fontId="45" fillId="8" borderId="65" xfId="3" applyNumberFormat="1" applyFont="1" applyBorder="1" applyAlignment="1">
      <alignment vertical="center"/>
    </xf>
    <xf numFmtId="0" fontId="45" fillId="8" borderId="66" xfId="3" applyNumberFormat="1" applyFont="1" applyBorder="1" applyAlignment="1">
      <alignment vertical="center"/>
    </xf>
    <xf numFmtId="0" fontId="2" fillId="34" borderId="62" xfId="1" applyFont="1" applyFill="1" applyBorder="1" applyAlignment="1">
      <alignment horizontal="left" vertical="center"/>
    </xf>
    <xf numFmtId="0" fontId="2" fillId="34" borderId="0" xfId="1" applyFont="1" applyFill="1" applyBorder="1" applyAlignment="1">
      <alignment horizontal="left" vertical="center"/>
    </xf>
    <xf numFmtId="49" fontId="45" fillId="14" borderId="0" xfId="3" applyNumberFormat="1" applyFont="1" applyFill="1" applyBorder="1" applyAlignment="1">
      <alignment horizontal="center" vertical="center" wrapText="1"/>
    </xf>
    <xf numFmtId="49" fontId="45" fillId="14" borderId="63" xfId="3" applyNumberFormat="1" applyFont="1" applyFill="1" applyBorder="1" applyAlignment="1">
      <alignment horizontal="center" vertical="center" wrapText="1"/>
    </xf>
    <xf numFmtId="0" fontId="39" fillId="33" borderId="57" xfId="6" applyNumberFormat="1" applyFill="1" applyBorder="1" applyAlignment="1">
      <alignment horizontal="center" vertical="center"/>
    </xf>
    <xf numFmtId="0" fontId="39" fillId="33" borderId="0" xfId="6" applyNumberFormat="1" applyFill="1" applyBorder="1" applyAlignment="1">
      <alignment horizontal="center" vertical="center"/>
    </xf>
    <xf numFmtId="0" fontId="39" fillId="33" borderId="63" xfId="6" applyNumberFormat="1" applyFill="1" applyBorder="1" applyAlignment="1">
      <alignment horizontal="center" vertical="center"/>
    </xf>
    <xf numFmtId="0" fontId="18" fillId="18" borderId="74" xfId="0" applyFont="1" applyFill="1" applyBorder="1" applyAlignment="1">
      <alignment horizontal="right" vertical="center"/>
    </xf>
    <xf numFmtId="0" fontId="18" fillId="18" borderId="66" xfId="0" applyFont="1" applyFill="1" applyBorder="1" applyAlignment="1">
      <alignment horizontal="right" vertical="center"/>
    </xf>
    <xf numFmtId="0" fontId="18" fillId="18" borderId="63" xfId="0" applyFont="1" applyFill="1" applyBorder="1" applyAlignment="1">
      <alignment horizontal="right" vertical="center"/>
    </xf>
    <xf numFmtId="0" fontId="46" fillId="17" borderId="61" xfId="0" applyFont="1" applyFill="1" applyBorder="1" applyAlignment="1">
      <alignment horizontal="center" vertical="center"/>
    </xf>
    <xf numFmtId="0" fontId="46" fillId="17" borderId="75" xfId="0" applyFont="1" applyFill="1" applyBorder="1" applyAlignment="1">
      <alignment horizontal="center" vertical="center"/>
    </xf>
    <xf numFmtId="0" fontId="45" fillId="8" borderId="0" xfId="3" applyNumberFormat="1" applyFont="1" applyBorder="1" applyAlignment="1">
      <alignment vertical="center"/>
    </xf>
    <xf numFmtId="0" fontId="45" fillId="8" borderId="63" xfId="3" applyNumberFormat="1" applyFont="1" applyBorder="1" applyAlignment="1">
      <alignment vertical="center"/>
    </xf>
    <xf numFmtId="0" fontId="45" fillId="9" borderId="60" xfId="4" applyNumberFormat="1" applyFont="1" applyBorder="1" applyAlignment="1">
      <alignment vertical="center"/>
    </xf>
    <xf numFmtId="0" fontId="45" fillId="9" borderId="61" xfId="4" applyNumberFormat="1" applyFont="1" applyBorder="1" applyAlignment="1">
      <alignment vertical="center"/>
    </xf>
    <xf numFmtId="0" fontId="52" fillId="9" borderId="0" xfId="4" applyNumberFormat="1" applyFont="1" applyBorder="1" applyAlignment="1">
      <alignment vertical="center"/>
    </xf>
    <xf numFmtId="0" fontId="52" fillId="9" borderId="63" xfId="4" applyNumberFormat="1" applyFont="1" applyBorder="1" applyAlignment="1">
      <alignment vertical="center"/>
    </xf>
    <xf numFmtId="0" fontId="38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52" fillId="35" borderId="0" xfId="3" applyNumberFormat="1" applyFont="1" applyFill="1" applyBorder="1" applyAlignment="1">
      <alignment vertical="center"/>
    </xf>
    <xf numFmtId="0" fontId="52" fillId="35" borderId="63" xfId="3" applyNumberFormat="1" applyFont="1" applyFill="1" applyBorder="1" applyAlignment="1">
      <alignment vertical="center"/>
    </xf>
    <xf numFmtId="0" fontId="29" fillId="16" borderId="66" xfId="0" applyFont="1" applyFill="1" applyBorder="1" applyAlignment="1">
      <alignment horizontal="left" vertical="top" wrapText="1"/>
    </xf>
  </cellXfs>
  <cellStyles count="7">
    <cellStyle name="20% - 강조색5" xfId="3" builtinId="46"/>
    <cellStyle name="40% - 강조색1" xfId="1" builtinId="31"/>
    <cellStyle name="40% - 강조색5" xfId="4" builtinId="47"/>
    <cellStyle name="60% - 강조색1" xfId="2" builtinId="32"/>
    <cellStyle name="강조색2" xfId="6" builtinId="33"/>
    <cellStyle name="강조색6" xfId="5" builtinId="49"/>
    <cellStyle name="표준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30</xdr:col>
      <xdr:colOff>9525</xdr:colOff>
      <xdr:row>44</xdr:row>
      <xdr:rowOff>171450</xdr:rowOff>
    </xdr:to>
    <xdr:sp macro="" textlink="">
      <xdr:nvSpPr>
        <xdr:cNvPr id="1028" name="Rectangle 4" hidden="1">
          <a:extLst>
            <a:ext uri="{FF2B5EF4-FFF2-40B4-BE49-F238E27FC236}">
              <a16:creationId xmlns:a16="http://schemas.microsoft.com/office/drawing/2014/main" xmlns="" id="{00000000-0008-0000-0000-00000404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10</xdr:col>
      <xdr:colOff>66195</xdr:colOff>
      <xdr:row>2</xdr:row>
      <xdr:rowOff>304800</xdr:rowOff>
    </xdr:to>
    <xdr:sp macro="" textlink="">
      <xdr:nvSpPr>
        <xdr:cNvPr id="2050" name="AutoShape 2" descr="dex icon에 대한 이미지 검색결과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3990975" y="4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66194</xdr:colOff>
      <xdr:row>6</xdr:row>
      <xdr:rowOff>114300</xdr:rowOff>
    </xdr:to>
    <xdr:sp macro="" textlink="">
      <xdr:nvSpPr>
        <xdr:cNvPr id="2054" name="AutoShape 6" descr="dex icon에 대한 이미지 검색결과">
          <a:extLs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296025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21780</xdr:colOff>
      <xdr:row>2</xdr:row>
      <xdr:rowOff>35618</xdr:rowOff>
    </xdr:from>
    <xdr:to>
      <xdr:col>3</xdr:col>
      <xdr:colOff>381780</xdr:colOff>
      <xdr:row>2</xdr:row>
      <xdr:rowOff>395618</xdr:rowOff>
    </xdr:to>
    <xdr:pic>
      <xdr:nvPicPr>
        <xdr:cNvPr id="10" name="그림 9" descr="dex icon에 대한 이미지 검색결과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054" y="531637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32523</xdr:colOff>
      <xdr:row>2</xdr:row>
      <xdr:rowOff>38284</xdr:rowOff>
    </xdr:from>
    <xdr:to>
      <xdr:col>5</xdr:col>
      <xdr:colOff>392523</xdr:colOff>
      <xdr:row>2</xdr:row>
      <xdr:rowOff>398284</xdr:rowOff>
    </xdr:to>
    <xdr:pic>
      <xdr:nvPicPr>
        <xdr:cNvPr id="14" name="그림 13" descr="Brain icon에 대한 이미지 검색결과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128" y="532969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66195</xdr:colOff>
      <xdr:row>8</xdr:row>
      <xdr:rowOff>114300</xdr:rowOff>
    </xdr:to>
    <xdr:sp macro="" textlink="">
      <xdr:nvSpPr>
        <xdr:cNvPr id="2061" name="AutoShape 13" descr="Health icon에 대한 이미지 검색결과">
          <a:extLst>
            <a:ext uri="{FF2B5EF4-FFF2-40B4-BE49-F238E27FC236}">
              <a16:creationId xmlns:a16="http://schemas.microsoft.com/office/drawing/2014/main" xmlns="" id="{00000000-0008-0000-0100-00000D080000}"/>
            </a:ext>
          </a:extLst>
        </xdr:cNvPr>
        <xdr:cNvSpPr>
          <a:spLocks noChangeAspect="1" noChangeArrowheads="1"/>
        </xdr:cNvSpPr>
      </xdr:nvSpPr>
      <xdr:spPr bwMode="auto">
        <a:xfrm>
          <a:off x="3952875" y="160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37167</xdr:colOff>
      <xdr:row>3</xdr:row>
      <xdr:rowOff>32840</xdr:rowOff>
    </xdr:from>
    <xdr:to>
      <xdr:col>1</xdr:col>
      <xdr:colOff>397167</xdr:colOff>
      <xdr:row>3</xdr:row>
      <xdr:rowOff>392840</xdr:rowOff>
    </xdr:to>
    <xdr:pic>
      <xdr:nvPicPr>
        <xdr:cNvPr id="18" name="그림 17" descr="Health icon에 대한 이미지 검색결과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826" y="959363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20159</xdr:colOff>
      <xdr:row>3</xdr:row>
      <xdr:rowOff>36189</xdr:rowOff>
    </xdr:from>
    <xdr:to>
      <xdr:col>3</xdr:col>
      <xdr:colOff>380159</xdr:colOff>
      <xdr:row>3</xdr:row>
      <xdr:rowOff>396189</xdr:rowOff>
    </xdr:to>
    <xdr:pic>
      <xdr:nvPicPr>
        <xdr:cNvPr id="19" name="그림 18" descr="stress icon에 대한 이미지 검색결과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070" y="961036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32526</xdr:colOff>
      <xdr:row>3</xdr:row>
      <xdr:rowOff>35404</xdr:rowOff>
    </xdr:from>
    <xdr:to>
      <xdr:col>5</xdr:col>
      <xdr:colOff>392526</xdr:colOff>
      <xdr:row>3</xdr:row>
      <xdr:rowOff>395404</xdr:rowOff>
    </xdr:to>
    <xdr:pic>
      <xdr:nvPicPr>
        <xdr:cNvPr id="20" name="그림 19" descr="Ear icon에 대한 이미지 검색결과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131" y="960251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66195</xdr:colOff>
      <xdr:row>6</xdr:row>
      <xdr:rowOff>114300</xdr:rowOff>
    </xdr:to>
    <xdr:sp macro="" textlink="">
      <xdr:nvSpPr>
        <xdr:cNvPr id="2066" name="AutoShape 18" descr="breath icon에 대한 이미지 검색결과">
          <a:extLst>
            <a:ext uri="{FF2B5EF4-FFF2-40B4-BE49-F238E27FC236}">
              <a16:creationId xmlns:a16="http://schemas.microsoft.com/office/drawing/2014/main" xmlns="" id="{00000000-0008-0000-0100-000012080000}"/>
            </a:ext>
          </a:extLst>
        </xdr:cNvPr>
        <xdr:cNvSpPr>
          <a:spLocks noChangeAspect="1" noChangeArrowheads="1"/>
        </xdr:cNvSpPr>
      </xdr:nvSpPr>
      <xdr:spPr bwMode="auto">
        <a:xfrm>
          <a:off x="3971925" y="144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37170</xdr:colOff>
      <xdr:row>3</xdr:row>
      <xdr:rowOff>36712</xdr:rowOff>
    </xdr:from>
    <xdr:to>
      <xdr:col>7</xdr:col>
      <xdr:colOff>397170</xdr:colOff>
      <xdr:row>3</xdr:row>
      <xdr:rowOff>396712</xdr:rowOff>
    </xdr:to>
    <xdr:pic>
      <xdr:nvPicPr>
        <xdr:cNvPr id="23" name="그림 22" descr="breath icon에 대한 이미지 검색결과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9468" y="961559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32541</xdr:colOff>
      <xdr:row>1</xdr:row>
      <xdr:rowOff>55756</xdr:rowOff>
    </xdr:from>
    <xdr:to>
      <xdr:col>9</xdr:col>
      <xdr:colOff>212249</xdr:colOff>
      <xdr:row>1</xdr:row>
      <xdr:rowOff>235756</xdr:rowOff>
    </xdr:to>
    <xdr:pic>
      <xdr:nvPicPr>
        <xdr:cNvPr id="25" name="그림 24" descr="dodge icon game에 대한 이미지 검색결과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1224" y="264841"/>
          <a:ext cx="179708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32524</xdr:colOff>
      <xdr:row>1</xdr:row>
      <xdr:rowOff>55033</xdr:rowOff>
    </xdr:from>
    <xdr:to>
      <xdr:col>7</xdr:col>
      <xdr:colOff>212505</xdr:colOff>
      <xdr:row>1</xdr:row>
      <xdr:rowOff>235033</xdr:rowOff>
    </xdr:to>
    <xdr:pic>
      <xdr:nvPicPr>
        <xdr:cNvPr id="26" name="그림 25" descr="dodge icon game에 대한 이미지 검색결과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4837" y="275299"/>
          <a:ext cx="179981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37171</xdr:colOff>
      <xdr:row>1</xdr:row>
      <xdr:rowOff>51110</xdr:rowOff>
    </xdr:from>
    <xdr:to>
      <xdr:col>5</xdr:col>
      <xdr:colOff>217369</xdr:colOff>
      <xdr:row>1</xdr:row>
      <xdr:rowOff>231110</xdr:rowOff>
    </xdr:to>
    <xdr:pic>
      <xdr:nvPicPr>
        <xdr:cNvPr id="27" name="그림 26" descr="lightning icon에 대한 이미지 검색결과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2659" y="260195"/>
          <a:ext cx="180198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18587</xdr:colOff>
      <xdr:row>1</xdr:row>
      <xdr:rowOff>32684</xdr:rowOff>
    </xdr:from>
    <xdr:to>
      <xdr:col>11</xdr:col>
      <xdr:colOff>227671</xdr:colOff>
      <xdr:row>1</xdr:row>
      <xdr:rowOff>241709</xdr:rowOff>
    </xdr:to>
    <xdr:pic>
      <xdr:nvPicPr>
        <xdr:cNvPr id="28" name="그림 27" descr="shield icon에 대한 이미지 검색결과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728" y="252950"/>
          <a:ext cx="209084" cy="20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304800</xdr:colOff>
      <xdr:row>3</xdr:row>
      <xdr:rowOff>304800</xdr:rowOff>
    </xdr:to>
    <xdr:sp macro="" textlink="">
      <xdr:nvSpPr>
        <xdr:cNvPr id="2073" name="AutoShape 25" descr="sword icon에 대한 이미지 검색결과">
          <a:extLst>
            <a:ext uri="{FF2B5EF4-FFF2-40B4-BE49-F238E27FC236}">
              <a16:creationId xmlns:a16="http://schemas.microsoft.com/office/drawing/2014/main" xmlns="" id="{00000000-0008-0000-0100-000019080000}"/>
            </a:ext>
          </a:extLst>
        </xdr:cNvPr>
        <xdr:cNvSpPr>
          <a:spLocks noChangeAspect="1" noChangeArrowheads="1"/>
        </xdr:cNvSpPr>
      </xdr:nvSpPr>
      <xdr:spPr bwMode="auto">
        <a:xfrm>
          <a:off x="5124450" y="89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34847</xdr:colOff>
      <xdr:row>1</xdr:row>
      <xdr:rowOff>51110</xdr:rowOff>
    </xdr:from>
    <xdr:to>
      <xdr:col>13</xdr:col>
      <xdr:colOff>214856</xdr:colOff>
      <xdr:row>1</xdr:row>
      <xdr:rowOff>231110</xdr:rowOff>
    </xdr:to>
    <xdr:pic>
      <xdr:nvPicPr>
        <xdr:cNvPr id="30" name="그림 29" descr="sword icon에 대한 이미지 검색결과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384" y="260195"/>
          <a:ext cx="180009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304800</xdr:colOff>
      <xdr:row>5</xdr:row>
      <xdr:rowOff>114300</xdr:rowOff>
    </xdr:to>
    <xdr:sp macro="" textlink="">
      <xdr:nvSpPr>
        <xdr:cNvPr id="2080" name="AutoShape 32" descr="Face icon에 대한 이미지 검색결과">
          <a:extLst>
            <a:ext uri="{FF2B5EF4-FFF2-40B4-BE49-F238E27FC236}">
              <a16:creationId xmlns:a16="http://schemas.microsoft.com/office/drawing/2014/main" xmlns="" id="{00000000-0008-0000-0100-000020080000}"/>
            </a:ext>
          </a:extLst>
        </xdr:cNvPr>
        <xdr:cNvSpPr>
          <a:spLocks noChangeAspect="1" noChangeArrowheads="1"/>
        </xdr:cNvSpPr>
      </xdr:nvSpPr>
      <xdr:spPr bwMode="auto">
        <a:xfrm>
          <a:off x="5743575" y="132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304800</xdr:colOff>
      <xdr:row>8</xdr:row>
      <xdr:rowOff>114300</xdr:rowOff>
    </xdr:to>
    <xdr:sp macro="" textlink="">
      <xdr:nvSpPr>
        <xdr:cNvPr id="2084" name="AutoShape 36" descr="groin icon에 대한 이미지 검색결과">
          <a:extLst>
            <a:ext uri="{FF2B5EF4-FFF2-40B4-BE49-F238E27FC236}">
              <a16:creationId xmlns:a16="http://schemas.microsoft.com/office/drawing/2014/main" xmlns="" id="{00000000-0008-0000-0100-000024080000}"/>
            </a:ext>
          </a:extLst>
        </xdr:cNvPr>
        <xdr:cNvSpPr>
          <a:spLocks noChangeAspect="1" noChangeArrowheads="1"/>
        </xdr:cNvSpPr>
      </xdr:nvSpPr>
      <xdr:spPr bwMode="auto">
        <a:xfrm>
          <a:off x="5743575" y="189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304800</xdr:colOff>
      <xdr:row>6</xdr:row>
      <xdr:rowOff>114300</xdr:rowOff>
    </xdr:to>
    <xdr:sp macro="" textlink="">
      <xdr:nvSpPr>
        <xdr:cNvPr id="2097" name="AutoShape 49" descr="hand icon에 대한 이미지 검색결과">
          <a:extLst>
            <a:ext uri="{FF2B5EF4-FFF2-40B4-BE49-F238E27FC236}">
              <a16:creationId xmlns:a16="http://schemas.microsoft.com/office/drawing/2014/main" xmlns="" id="{00000000-0008-0000-0100-000031080000}"/>
            </a:ext>
          </a:extLst>
        </xdr:cNvPr>
        <xdr:cNvSpPr>
          <a:spLocks noChangeAspect="1" noChangeArrowheads="1"/>
        </xdr:cNvSpPr>
      </xdr:nvSpPr>
      <xdr:spPr bwMode="auto">
        <a:xfrm>
          <a:off x="5743575" y="151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40049</xdr:colOff>
      <xdr:row>2</xdr:row>
      <xdr:rowOff>37342</xdr:rowOff>
    </xdr:from>
    <xdr:to>
      <xdr:col>1</xdr:col>
      <xdr:colOff>400049</xdr:colOff>
      <xdr:row>2</xdr:row>
      <xdr:rowOff>397342</xdr:rowOff>
    </xdr:to>
    <xdr:pic>
      <xdr:nvPicPr>
        <xdr:cNvPr id="55" name="그림 54" descr="Strength icon에 대한 이미지 검색결과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708" y="535240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35526</xdr:colOff>
      <xdr:row>2</xdr:row>
      <xdr:rowOff>35526</xdr:rowOff>
    </xdr:from>
    <xdr:to>
      <xdr:col>7</xdr:col>
      <xdr:colOff>395526</xdr:colOff>
      <xdr:row>2</xdr:row>
      <xdr:rowOff>395526</xdr:rowOff>
    </xdr:to>
    <xdr:pic>
      <xdr:nvPicPr>
        <xdr:cNvPr id="57" name="그림 56" descr="Health icon에 대한 이미지 검색결과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7824" y="530211"/>
          <a:ext cx="360000" cy="360000"/>
        </a:xfrm>
        <a:prstGeom prst="rect">
          <a:avLst/>
        </a:prstGeom>
        <a:noFill/>
        <a:ln w="25400" cmpd="thickThin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26241</xdr:colOff>
      <xdr:row>2</xdr:row>
      <xdr:rowOff>65484</xdr:rowOff>
    </xdr:from>
    <xdr:to>
      <xdr:col>14</xdr:col>
      <xdr:colOff>307732</xdr:colOff>
      <xdr:row>9</xdr:row>
      <xdr:rowOff>5953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pSpPr/>
      </xdr:nvGrpSpPr>
      <xdr:grpSpPr>
        <a:xfrm>
          <a:off x="4019414" y="563715"/>
          <a:ext cx="1710241" cy="1757546"/>
          <a:chOff x="4019414" y="563715"/>
          <a:chExt cx="1710241" cy="1757546"/>
        </a:xfrm>
      </xdr:grpSpPr>
      <xdr:grpSp>
        <xdr:nvGrpSpPr>
          <xdr:cNvPr id="9" name="그룹 8">
            <a:extLst>
              <a:ext uri="{FF2B5EF4-FFF2-40B4-BE49-F238E27FC236}">
                <a16:creationId xmlns:a16="http://schemas.microsoft.com/office/drawing/2014/main" xmlns="" id="{00000000-0008-0000-0100-000009000000}"/>
              </a:ext>
            </a:extLst>
          </xdr:cNvPr>
          <xdr:cNvGrpSpPr/>
        </xdr:nvGrpSpPr>
        <xdr:grpSpPr>
          <a:xfrm>
            <a:off x="4019414" y="563715"/>
            <a:ext cx="1687489" cy="1757546"/>
            <a:chOff x="3985068" y="482690"/>
            <a:chExt cx="1791576" cy="1794777"/>
          </a:xfrm>
        </xdr:grpSpPr>
        <xdr:pic>
          <xdr:nvPicPr>
            <xdr:cNvPr id="31" name="그림 30" descr="관련 이미지">
              <a:extLst>
                <a:ext uri="{FF2B5EF4-FFF2-40B4-BE49-F238E27FC236}">
                  <a16:creationId xmlns:a16="http://schemas.microsoft.com/office/drawing/2014/main" xmlns="" id="{00000000-0008-0000-0100-00001F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985068" y="482690"/>
              <a:ext cx="1791576" cy="179477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Sheet1!W27">
          <xdr:nvSpPr>
            <xdr:cNvPr id="8" name="TextBox 7">
              <a:extLst>
                <a:ext uri="{FF2B5EF4-FFF2-40B4-BE49-F238E27FC236}">
                  <a16:creationId xmlns:a16="http://schemas.microsoft.com/office/drawing/2014/main" xmlns="" id="{00000000-0008-0000-0100-000008000000}"/>
                </a:ext>
              </a:extLst>
            </xdr:cNvPr>
            <xdr:cNvSpPr txBox="1"/>
          </xdr:nvSpPr>
          <xdr:spPr>
            <a:xfrm>
              <a:off x="4605817" y="503084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D29BA631-2574-400C-8B62-7364445F2A8E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AA27">
          <xdr:nvSpPr>
            <xdr:cNvPr id="45" name="TextBox 44">
              <a:extLst>
                <a:ext uri="{FF2B5EF4-FFF2-40B4-BE49-F238E27FC236}">
                  <a16:creationId xmlns:a16="http://schemas.microsoft.com/office/drawing/2014/main" xmlns="" id="{00000000-0008-0000-0100-00002D000000}"/>
                </a:ext>
              </a:extLst>
            </xdr:cNvPr>
            <xdr:cNvSpPr txBox="1"/>
          </xdr:nvSpPr>
          <xdr:spPr>
            <a:xfrm>
              <a:off x="4606454" y="691003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562F57C7-3DBE-4554-BD1E-D06246145243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Y27">
          <xdr:nvSpPr>
            <xdr:cNvPr id="46" name="TextBox 45">
              <a:extLst>
                <a:ext uri="{FF2B5EF4-FFF2-40B4-BE49-F238E27FC236}">
                  <a16:creationId xmlns:a16="http://schemas.microsoft.com/office/drawing/2014/main" xmlns="" id="{00000000-0008-0000-0100-00002E000000}"/>
                </a:ext>
              </a:extLst>
            </xdr:cNvPr>
            <xdr:cNvSpPr txBox="1"/>
          </xdr:nvSpPr>
          <xdr:spPr>
            <a:xfrm>
              <a:off x="4610320" y="875693"/>
              <a:ext cx="540925" cy="150948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92B95B75-730A-4D4F-8EE9-499884B13CFB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AA30">
          <xdr:nvSpPr>
            <xdr:cNvPr id="47" name="TextBox 46">
              <a:extLst>
                <a:ext uri="{FF2B5EF4-FFF2-40B4-BE49-F238E27FC236}">
                  <a16:creationId xmlns:a16="http://schemas.microsoft.com/office/drawing/2014/main" xmlns="" id="{00000000-0008-0000-0100-00002F000000}"/>
                </a:ext>
              </a:extLst>
            </xdr:cNvPr>
            <xdr:cNvSpPr txBox="1"/>
          </xdr:nvSpPr>
          <xdr:spPr>
            <a:xfrm>
              <a:off x="4604499" y="1046660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6978DD5D-11CC-4CC0-9115-E7110A645C6D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W30">
          <xdr:nvSpPr>
            <xdr:cNvPr id="48" name="TextBox 47">
              <a:extLst>
                <a:ext uri="{FF2B5EF4-FFF2-40B4-BE49-F238E27FC236}">
                  <a16:creationId xmlns:a16="http://schemas.microsoft.com/office/drawing/2014/main" xmlns="" id="{00000000-0008-0000-0100-000030000000}"/>
                </a:ext>
              </a:extLst>
            </xdr:cNvPr>
            <xdr:cNvSpPr txBox="1"/>
          </xdr:nvSpPr>
          <xdr:spPr>
            <a:xfrm>
              <a:off x="4605136" y="1231350"/>
              <a:ext cx="540925" cy="150948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B0F3F40B-CBD4-4615-920E-331C43DC6F6A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Y30">
          <xdr:nvSpPr>
            <xdr:cNvPr id="49" name="TextBox 48">
              <a:extLst>
                <a:ext uri="{FF2B5EF4-FFF2-40B4-BE49-F238E27FC236}">
                  <a16:creationId xmlns:a16="http://schemas.microsoft.com/office/drawing/2014/main" xmlns="" id="{00000000-0008-0000-0100-000031000000}"/>
                </a:ext>
              </a:extLst>
            </xdr:cNvPr>
            <xdr:cNvSpPr txBox="1"/>
          </xdr:nvSpPr>
          <xdr:spPr>
            <a:xfrm>
              <a:off x="4609034" y="1415226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611A4908-1BA5-47F4-BFAA-EA00153E030B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Y33">
          <xdr:nvSpPr>
            <xdr:cNvPr id="50" name="TextBox 49">
              <a:extLst>
                <a:ext uri="{FF2B5EF4-FFF2-40B4-BE49-F238E27FC236}">
                  <a16:creationId xmlns:a16="http://schemas.microsoft.com/office/drawing/2014/main" xmlns="" id="{00000000-0008-0000-0100-000032000000}"/>
                </a:ext>
              </a:extLst>
            </xdr:cNvPr>
            <xdr:cNvSpPr txBox="1"/>
          </xdr:nvSpPr>
          <xdr:spPr>
            <a:xfrm>
              <a:off x="4609679" y="1599914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39CB3953-A9FC-49C0-9B83-C92D43F953B8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W33">
          <xdr:nvSpPr>
            <xdr:cNvPr id="51" name="TextBox 50">
              <a:extLst>
                <a:ext uri="{FF2B5EF4-FFF2-40B4-BE49-F238E27FC236}">
                  <a16:creationId xmlns:a16="http://schemas.microsoft.com/office/drawing/2014/main" xmlns="" id="{00000000-0008-0000-0100-000033000000}"/>
                </a:ext>
              </a:extLst>
            </xdr:cNvPr>
            <xdr:cNvSpPr txBox="1"/>
          </xdr:nvSpPr>
          <xdr:spPr>
            <a:xfrm>
              <a:off x="5211426" y="1057344"/>
              <a:ext cx="541632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5EA45CEC-37D1-4429-B0C9-796DFB757446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AA33">
          <xdr:nvSpPr>
            <xdr:cNvPr id="52" name="TextBox 51">
              <a:extLst>
                <a:ext uri="{FF2B5EF4-FFF2-40B4-BE49-F238E27FC236}">
                  <a16:creationId xmlns:a16="http://schemas.microsoft.com/office/drawing/2014/main" xmlns="" id="{00000000-0008-0000-0100-000034000000}"/>
                </a:ext>
              </a:extLst>
            </xdr:cNvPr>
            <xdr:cNvSpPr txBox="1"/>
          </xdr:nvSpPr>
          <xdr:spPr>
            <a:xfrm>
              <a:off x="4015743" y="776243"/>
              <a:ext cx="540924" cy="150948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649B5ED4-DD9F-449B-A218-8DC4197D9A34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sp macro="" textlink="Sheet1!AC33">
          <xdr:nvSpPr>
            <xdr:cNvPr id="53" name="TextBox 52">
              <a:extLst>
                <a:ext uri="{FF2B5EF4-FFF2-40B4-BE49-F238E27FC236}">
                  <a16:creationId xmlns:a16="http://schemas.microsoft.com/office/drawing/2014/main" xmlns="" id="{00000000-0008-0000-0100-000035000000}"/>
                </a:ext>
              </a:extLst>
            </xdr:cNvPr>
            <xdr:cNvSpPr txBox="1"/>
          </xdr:nvSpPr>
          <xdr:spPr>
            <a:xfrm>
              <a:off x="4605158" y="1905368"/>
              <a:ext cx="540925" cy="151755"/>
            </a:xfrm>
            <a:prstGeom prst="rect">
              <a:avLst/>
            </a:prstGeom>
            <a:solidFill>
              <a:schemeClr val="lt1"/>
            </a:solidFill>
            <a:ln w="25400" cmpd="thickThin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r"/>
              <a:fld id="{9E8044AC-00D3-4646-9980-3E097F5A8BBE}" type="TxLink">
                <a:rPr lang="en-US" altLang="en-US" sz="900" b="1" i="0" u="none" strike="noStrike">
                  <a:solidFill>
                    <a:srgbClr val="000000"/>
                  </a:solidFill>
                  <a:latin typeface="맑은 고딕"/>
                  <a:ea typeface="맑은 고딕"/>
                </a:rPr>
                <a:pPr algn="r"/>
                <a:t>12</a:t>
              </a:fld>
              <a:endParaRPr lang="ko-KR" altLang="en-US" sz="900" b="1"/>
            </a:p>
          </xdr:txBody>
        </xdr:sp>
        <xdr:pic>
          <xdr:nvPicPr>
            <xdr:cNvPr id="54" name="그림 53" descr="두개골 icon에 대한 이미지 검색결과">
              <a:extLst>
                <a:ext uri="{FF2B5EF4-FFF2-40B4-BE49-F238E27FC236}">
                  <a16:creationId xmlns:a16="http://schemas.microsoft.com/office/drawing/2014/main" xmlns="" id="{00000000-0008-0000-0100-00003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12261" y="506319"/>
              <a:ext cx="144019" cy="144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6" name="그림 55" descr="eye icon에 대한 이미지 검색결과">
              <a:extLst>
                <a:ext uri="{FF2B5EF4-FFF2-40B4-BE49-F238E27FC236}">
                  <a16:creationId xmlns:a16="http://schemas.microsoft.com/office/drawing/2014/main" xmlns="" id="{00000000-0008-0000-0100-00003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15488" y="693590"/>
              <a:ext cx="143972" cy="144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8" name="그림 57" descr="Face icon에 대한 이미지 검색결과">
              <a:extLst>
                <a:ext uri="{FF2B5EF4-FFF2-40B4-BE49-F238E27FC236}">
                  <a16:creationId xmlns:a16="http://schemas.microsoft.com/office/drawing/2014/main" xmlns="" id="{00000000-0008-0000-0100-00003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34862" y="892970"/>
              <a:ext cx="108014" cy="108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59" name="그림 58" descr="Throat icon에 대한 이미지 검색결과">
              <a:extLst>
                <a:ext uri="{FF2B5EF4-FFF2-40B4-BE49-F238E27FC236}">
                  <a16:creationId xmlns:a16="http://schemas.microsoft.com/office/drawing/2014/main" xmlns="" id="{00000000-0008-0000-0100-00003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20463" y="1051181"/>
              <a:ext cx="143995" cy="144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0" name="그림 59" descr="chest icon에 대한 이미지 검색결과">
              <a:extLst>
                <a:ext uri="{FF2B5EF4-FFF2-40B4-BE49-F238E27FC236}">
                  <a16:creationId xmlns:a16="http://schemas.microsoft.com/office/drawing/2014/main" xmlns="" id="{00000000-0008-0000-0100-00003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16650" y="1238452"/>
              <a:ext cx="144012" cy="14319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1" name="그림 70" descr="groin icon에 대한 이미지 검색결과">
              <a:extLst>
                <a:ext uri="{FF2B5EF4-FFF2-40B4-BE49-F238E27FC236}">
                  <a16:creationId xmlns:a16="http://schemas.microsoft.com/office/drawing/2014/main" xmlns="" id="{00000000-0008-0000-0100-00004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22722" y="1439207"/>
              <a:ext cx="128587" cy="108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2" name="그림 71" descr="leg icon에 대한 이미지 검색결과">
              <a:extLst>
                <a:ext uri="{FF2B5EF4-FFF2-40B4-BE49-F238E27FC236}">
                  <a16:creationId xmlns:a16="http://schemas.microsoft.com/office/drawing/2014/main" xmlns="" id="{00000000-0008-0000-0100-00004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630342" y="1618774"/>
              <a:ext cx="108169" cy="108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3" name="그림 72" descr="arm icon에 대한 이미지 검색결과">
              <a:extLst>
                <a:ext uri="{FF2B5EF4-FFF2-40B4-BE49-F238E27FC236}">
                  <a16:creationId xmlns:a16="http://schemas.microsoft.com/office/drawing/2014/main" xmlns="" id="{00000000-0008-0000-0100-00004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247007" y="1084986"/>
              <a:ext cx="55244" cy="10800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5" name="그림 74" descr="hand icon에 대한 이미지 검색결과">
              <a:extLst>
                <a:ext uri="{FF2B5EF4-FFF2-40B4-BE49-F238E27FC236}">
                  <a16:creationId xmlns:a16="http://schemas.microsoft.com/office/drawing/2014/main" xmlns="" id="{00000000-0008-0000-0100-00004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016835" y="784384"/>
              <a:ext cx="142239" cy="13828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6" name="그림 75" descr="foot icon에 대한 이미지 검색결과">
              <a:extLst>
                <a:ext uri="{FF2B5EF4-FFF2-40B4-BE49-F238E27FC236}">
                  <a16:creationId xmlns:a16="http://schemas.microsoft.com/office/drawing/2014/main" xmlns="" id="{00000000-0008-0000-0100-00004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599861" y="1919194"/>
              <a:ext cx="129540" cy="12933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$T$2">
        <xdr:nvSpPr>
          <xdr:cNvPr id="117" name="TextBox 116">
            <a:extLst>
              <a:ext uri="{FF2B5EF4-FFF2-40B4-BE49-F238E27FC236}">
                <a16:creationId xmlns:a16="http://schemas.microsoft.com/office/drawing/2014/main" xmlns="" id="{00000000-0008-0000-0100-000075000000}"/>
              </a:ext>
            </a:extLst>
          </xdr:cNvPr>
          <xdr:cNvSpPr txBox="1"/>
        </xdr:nvSpPr>
        <xdr:spPr>
          <a:xfrm>
            <a:off x="5165479" y="1318846"/>
            <a:ext cx="564176" cy="566244"/>
          </a:xfrm>
          <a:prstGeom prst="rect">
            <a:avLst/>
          </a:prstGeom>
          <a:solidFill>
            <a:schemeClr val="lt1"/>
          </a:solidFill>
          <a:ln w="25400" cmpd="thickThin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B17D7354-0201-4864-9FC3-654F20A19B61}" type="TxLink">
              <a:rPr lang="en-US" altLang="en-US" sz="900" b="1" i="0" u="none" strike="noStrike">
                <a:solidFill>
                  <a:srgbClr val="000000"/>
                </a:solidFill>
                <a:latin typeface="맑은 고딕"/>
                <a:ea typeface="맑은 고딕"/>
              </a:rPr>
              <a:pPr algn="ctr"/>
              <a:t>//</a:t>
            </a:fld>
            <a:endParaRPr lang="ko-KR" altLang="en-US" sz="900" b="1"/>
          </a:p>
        </xdr:txBody>
      </xdr:sp>
      <xdr:pic>
        <xdr:nvPicPr>
          <xdr:cNvPr id="118" name="그림 117" descr="shield icon에 대한 이미지 검색결과">
            <a:extLst>
              <a:ext uri="{FF2B5EF4-FFF2-40B4-BE49-F238E27FC236}">
                <a16:creationId xmlns:a16="http://schemas.microsoft.com/office/drawing/2014/main" xmlns="" id="{00000000-0008-0000-0100-00007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48651" y="1391937"/>
            <a:ext cx="187275" cy="18722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17</xdr:col>
      <xdr:colOff>43962</xdr:colOff>
      <xdr:row>11</xdr:row>
      <xdr:rowOff>102578</xdr:rowOff>
    </xdr:from>
    <xdr:to>
      <xdr:col>17</xdr:col>
      <xdr:colOff>223962</xdr:colOff>
      <xdr:row>12</xdr:row>
      <xdr:rowOff>92078</xdr:rowOff>
    </xdr:to>
    <xdr:pic>
      <xdr:nvPicPr>
        <xdr:cNvPr id="61" name="그림 60" descr="swing icon에 대한 이미지 검색결과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808" y="2798886"/>
          <a:ext cx="180000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29308</xdr:colOff>
      <xdr:row>9</xdr:row>
      <xdr:rowOff>124559</xdr:rowOff>
    </xdr:from>
    <xdr:to>
      <xdr:col>17</xdr:col>
      <xdr:colOff>208983</xdr:colOff>
      <xdr:row>10</xdr:row>
      <xdr:rowOff>114059</xdr:rowOff>
    </xdr:to>
    <xdr:pic>
      <xdr:nvPicPr>
        <xdr:cNvPr id="66" name="그림 65" descr="stab icon에 대한 이미지 검색결과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154" y="2439867"/>
          <a:ext cx="179675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29308</xdr:colOff>
      <xdr:row>13</xdr:row>
      <xdr:rowOff>95249</xdr:rowOff>
    </xdr:from>
    <xdr:to>
      <xdr:col>17</xdr:col>
      <xdr:colOff>231483</xdr:colOff>
      <xdr:row>14</xdr:row>
      <xdr:rowOff>84749</xdr:rowOff>
    </xdr:to>
    <xdr:pic>
      <xdr:nvPicPr>
        <xdr:cNvPr id="62" name="그림 61" descr="Gold icon에 대한 이미지 검색결과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154" y="3172557"/>
          <a:ext cx="202175" cy="1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14655</xdr:colOff>
      <xdr:row>4</xdr:row>
      <xdr:rowOff>7326</xdr:rowOff>
    </xdr:from>
    <xdr:to>
      <xdr:col>8</xdr:col>
      <xdr:colOff>271096</xdr:colOff>
      <xdr:row>14</xdr:row>
      <xdr:rowOff>183173</xdr:rowOff>
    </xdr:to>
    <xdr:pic>
      <xdr:nvPicPr>
        <xdr:cNvPr id="63" name="그림 6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95" t="16561" r="9812" b="38216"/>
        <a:stretch/>
      </xdr:blipFill>
      <xdr:spPr bwMode="auto">
        <a:xfrm>
          <a:off x="1164982" y="1370134"/>
          <a:ext cx="2820864" cy="2080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000"/>
  <sheetViews>
    <sheetView topLeftCell="A34" workbookViewId="0">
      <selection activeCell="A66" sqref="A66:G66"/>
    </sheetView>
  </sheetViews>
  <sheetFormatPr defaultColWidth="15.125" defaultRowHeight="15" customHeight="1"/>
  <cols>
    <col min="1" max="1" width="5.125" customWidth="1"/>
    <col min="2" max="2" width="4.375" customWidth="1"/>
    <col min="3" max="4" width="4" customWidth="1"/>
    <col min="5" max="5" width="5.875" customWidth="1"/>
    <col min="6" max="6" width="4" customWidth="1"/>
    <col min="7" max="8" width="4.875" customWidth="1"/>
    <col min="9" max="9" width="0.75" customWidth="1"/>
    <col min="10" max="10" width="6.375" customWidth="1"/>
    <col min="11" max="11" width="5.625" customWidth="1"/>
    <col min="12" max="12" width="5" customWidth="1"/>
    <col min="13" max="13" width="9.25" customWidth="1"/>
    <col min="14" max="18" width="5.75" customWidth="1"/>
    <col min="19" max="19" width="0.75" customWidth="1"/>
    <col min="20" max="21" width="4.875" customWidth="1"/>
    <col min="22" max="22" width="3.625" customWidth="1"/>
    <col min="23" max="23" width="7.875" customWidth="1"/>
    <col min="24" max="24" width="9.25" customWidth="1"/>
    <col min="25" max="25" width="8.625" customWidth="1"/>
    <col min="26" max="26" width="5.125" customWidth="1"/>
    <col min="27" max="27" width="6.125" customWidth="1"/>
    <col min="28" max="28" width="5.625" customWidth="1"/>
    <col min="29" max="29" width="6.375" customWidth="1"/>
    <col min="30" max="30" width="5.25" customWidth="1"/>
    <col min="31" max="31" width="4.5" customWidth="1"/>
    <col min="32" max="41" width="3.625" customWidth="1"/>
  </cols>
  <sheetData>
    <row r="1" spans="1:41" ht="19.5" customHeight="1">
      <c r="A1" s="396" t="s">
        <v>0</v>
      </c>
      <c r="B1" s="329"/>
      <c r="C1" s="395" t="s">
        <v>619</v>
      </c>
      <c r="D1" s="311"/>
      <c r="E1" s="311"/>
      <c r="F1" s="311"/>
      <c r="G1" s="311"/>
      <c r="H1" s="311"/>
      <c r="I1" s="396" t="s">
        <v>1</v>
      </c>
      <c r="J1" s="329"/>
      <c r="K1" s="329"/>
      <c r="L1" s="1"/>
      <c r="M1" s="310"/>
      <c r="N1" s="311"/>
      <c r="O1" s="311"/>
      <c r="P1" s="311"/>
      <c r="Q1" s="400" t="s">
        <v>2</v>
      </c>
      <c r="R1" s="329"/>
      <c r="S1" s="2"/>
      <c r="T1" s="398">
        <v>0</v>
      </c>
      <c r="U1" s="311"/>
      <c r="V1" s="3"/>
      <c r="W1" s="431" t="s">
        <v>232</v>
      </c>
      <c r="X1" s="432"/>
      <c r="Y1" s="432"/>
      <c r="Z1" s="432"/>
      <c r="AA1" s="432"/>
      <c r="AB1" s="432"/>
      <c r="AC1" s="432"/>
      <c r="AD1" s="432"/>
      <c r="AE1" s="432"/>
      <c r="AF1" s="461"/>
      <c r="AG1" s="4"/>
      <c r="AH1" s="4"/>
      <c r="AI1" s="4"/>
      <c r="AJ1" s="4"/>
      <c r="AK1" s="4"/>
      <c r="AL1" s="4"/>
      <c r="AM1" s="4"/>
      <c r="AN1" s="4"/>
      <c r="AO1" s="4"/>
    </row>
    <row r="2" spans="1:41" ht="19.5" customHeight="1">
      <c r="A2" s="1" t="s">
        <v>3</v>
      </c>
      <c r="B2" s="310"/>
      <c r="C2" s="311"/>
      <c r="D2" s="311"/>
      <c r="E2" s="5" t="s">
        <v>4</v>
      </c>
      <c r="F2" s="312"/>
      <c r="G2" s="313"/>
      <c r="H2" s="1" t="s">
        <v>5</v>
      </c>
      <c r="I2" s="6"/>
      <c r="J2" s="310">
        <v>2</v>
      </c>
      <c r="K2" s="311"/>
      <c r="L2" s="4"/>
      <c r="M2" s="1" t="s">
        <v>6</v>
      </c>
      <c r="N2" s="312"/>
      <c r="O2" s="313"/>
      <c r="P2" s="400" t="s">
        <v>7</v>
      </c>
      <c r="Q2" s="329"/>
      <c r="R2" s="329"/>
      <c r="S2" s="2"/>
      <c r="T2" s="397">
        <f>(T1-F60-M60+P60-T60)</f>
        <v>-382</v>
      </c>
      <c r="U2" s="313"/>
      <c r="V2" s="4"/>
      <c r="W2" s="325" t="s">
        <v>18</v>
      </c>
      <c r="X2" s="326"/>
      <c r="Y2" s="147" t="s">
        <v>230</v>
      </c>
      <c r="Z2" s="355" t="s">
        <v>19</v>
      </c>
      <c r="AA2" s="329"/>
      <c r="AB2" s="326" t="s">
        <v>20</v>
      </c>
      <c r="AC2" s="326"/>
      <c r="AD2" s="147" t="s">
        <v>21</v>
      </c>
      <c r="AE2" s="49" t="s">
        <v>233</v>
      </c>
      <c r="AF2" s="179" t="s">
        <v>234</v>
      </c>
      <c r="AG2" s="4"/>
      <c r="AH2" s="4"/>
      <c r="AI2" s="4"/>
      <c r="AJ2" s="4"/>
      <c r="AK2" s="4"/>
      <c r="AL2" s="4"/>
      <c r="AM2" s="4"/>
      <c r="AN2" s="4"/>
      <c r="AO2" s="4"/>
    </row>
    <row r="3" spans="1:41" ht="19.5" customHeight="1" thickBot="1">
      <c r="A3" s="7" t="s">
        <v>8</v>
      </c>
      <c r="B3" s="399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4"/>
      <c r="W3" s="452" t="str">
        <f>IF(A75=0," ",A75)</f>
        <v>바위 던지기</v>
      </c>
      <c r="X3" s="453"/>
      <c r="Y3" s="155" t="str">
        <f>IF(A75=0," ",J75)</f>
        <v>찌르기</v>
      </c>
      <c r="Z3" s="156" t="str">
        <f>IF(W3=" "," ",IF($Y3="휘두르기",VLOOKUP($G$18,'참조 테이블'!$C$2:$P$101,13,FALSE),IF(Y3="고정",K75,VLOOKUP($E$18,'참조 테이블'!$B$2:$P$101,12,FALSE))))</f>
        <v>4d</v>
      </c>
      <c r="AA3" s="157">
        <f>IF(W3=" "," ",IF($Y3="휘두르기",VLOOKUP($G$18,'참조 테이블'!$C$2:$P$101,14,FALSE)+K75,IF(Y3="고정",0,VLOOKUP($E$18,'참조 테이블'!$B$2:$P$101,13,FALSE)+K75)))</f>
        <v>11</v>
      </c>
      <c r="AB3" s="454" t="str">
        <f>IF(A75=0," ",L75)</f>
        <v>때리기</v>
      </c>
      <c r="AC3" s="429"/>
      <c r="AD3" s="158">
        <f>IF(A75=0," ",IF(Y3="고정",G75,MID(G75,2,10)*($A$6+$C$15)))</f>
        <v>1200</v>
      </c>
      <c r="AE3" s="180">
        <f>IF(A75=0," ",IF(Y3="고정",H75,MID(H75,2,10)*($A$6+$C$15)))</f>
        <v>2000</v>
      </c>
      <c r="AF3" s="159">
        <f>IF(W3=" "," ",VLOOKUP(E75,$M$31:$R$58,6,FALSE))</f>
        <v>21</v>
      </c>
      <c r="AG3" s="4"/>
      <c r="AH3" s="4"/>
      <c r="AI3" s="4"/>
      <c r="AJ3" s="4"/>
      <c r="AK3" s="4"/>
      <c r="AL3" s="4"/>
      <c r="AM3" s="4"/>
      <c r="AN3" s="4"/>
      <c r="AO3" s="4"/>
    </row>
    <row r="4" spans="1:41" ht="6.75" customHeight="1">
      <c r="A4" s="2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</row>
    <row r="5" spans="1:41" ht="19.5" customHeight="1" thickBot="1">
      <c r="A5" s="314" t="s">
        <v>9</v>
      </c>
      <c r="B5" s="305"/>
      <c r="C5" s="314" t="s">
        <v>10</v>
      </c>
      <c r="D5" s="305"/>
      <c r="E5" s="314" t="s">
        <v>11</v>
      </c>
      <c r="F5" s="305"/>
      <c r="G5" s="314" t="s">
        <v>12</v>
      </c>
      <c r="H5" s="305"/>
      <c r="I5" s="4"/>
      <c r="J5" s="9" t="s">
        <v>13</v>
      </c>
      <c r="K5" s="4"/>
      <c r="L5" s="4"/>
      <c r="M5" s="4"/>
      <c r="N5" s="4"/>
      <c r="O5" s="4"/>
      <c r="P5" s="4"/>
      <c r="Q5" s="4"/>
      <c r="R5" s="10" t="s">
        <v>14</v>
      </c>
      <c r="S5" s="4"/>
      <c r="T5" s="4"/>
      <c r="U5" s="4"/>
      <c r="V5" s="4"/>
      <c r="W5" s="9" t="s">
        <v>15</v>
      </c>
      <c r="X5" s="4"/>
      <c r="Y5" s="4"/>
      <c r="Z5" s="143"/>
      <c r="AA5" s="143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spans="1:41" ht="19.5" customHeight="1">
      <c r="A6" s="315">
        <v>40</v>
      </c>
      <c r="B6" s="279"/>
      <c r="C6" s="315">
        <v>12</v>
      </c>
      <c r="D6" s="279"/>
      <c r="E6" s="315">
        <v>0</v>
      </c>
      <c r="F6" s="279"/>
      <c r="G6" s="315">
        <v>15</v>
      </c>
      <c r="H6" s="279"/>
      <c r="I6" s="328"/>
      <c r="J6" s="321" t="s">
        <v>16</v>
      </c>
      <c r="K6" s="309"/>
      <c r="L6" s="309"/>
      <c r="M6" s="309"/>
      <c r="N6" s="309"/>
      <c r="O6" s="309"/>
      <c r="P6" s="309"/>
      <c r="Q6" s="309"/>
      <c r="R6" s="309"/>
      <c r="S6" s="11"/>
      <c r="T6" s="278" t="s">
        <v>17</v>
      </c>
      <c r="U6" s="279"/>
      <c r="V6" s="4"/>
      <c r="W6" s="431" t="s">
        <v>231</v>
      </c>
      <c r="X6" s="385"/>
      <c r="Y6" s="385"/>
      <c r="Z6" s="385"/>
      <c r="AA6" s="385"/>
      <c r="AB6" s="385"/>
      <c r="AC6" s="385"/>
      <c r="AD6" s="385"/>
      <c r="AE6" s="382"/>
      <c r="AF6" s="12"/>
      <c r="AG6" s="12"/>
      <c r="AH6" s="9"/>
      <c r="AI6" s="12"/>
      <c r="AJ6" s="12"/>
      <c r="AK6" s="12"/>
      <c r="AL6" s="12"/>
      <c r="AM6" s="12"/>
      <c r="AN6" s="12"/>
      <c r="AO6" s="4"/>
    </row>
    <row r="7" spans="1:41" ht="19.5" customHeight="1" thickBot="1">
      <c r="A7" s="316"/>
      <c r="B7" s="298"/>
      <c r="C7" s="316"/>
      <c r="D7" s="298"/>
      <c r="E7" s="316"/>
      <c r="F7" s="298"/>
      <c r="G7" s="316"/>
      <c r="H7" s="298"/>
      <c r="I7" s="329"/>
      <c r="J7" s="319"/>
      <c r="K7" s="320"/>
      <c r="L7" s="320"/>
      <c r="M7" s="320"/>
      <c r="N7" s="320"/>
      <c r="O7" s="320"/>
      <c r="P7" s="320"/>
      <c r="Q7" s="320"/>
      <c r="R7" s="320"/>
      <c r="S7" s="4"/>
      <c r="T7" s="280"/>
      <c r="U7" s="281"/>
      <c r="V7" s="4"/>
      <c r="W7" s="325" t="s">
        <v>18</v>
      </c>
      <c r="X7" s="326"/>
      <c r="Y7" s="147" t="s">
        <v>230</v>
      </c>
      <c r="Z7" s="355" t="s">
        <v>19</v>
      </c>
      <c r="AA7" s="329"/>
      <c r="AB7" s="326" t="s">
        <v>20</v>
      </c>
      <c r="AC7" s="326"/>
      <c r="AD7" s="147" t="s">
        <v>21</v>
      </c>
      <c r="AE7" s="153" t="s">
        <v>22</v>
      </c>
      <c r="AF7" s="12"/>
      <c r="AG7" s="12"/>
      <c r="AH7" s="12"/>
      <c r="AI7" s="12"/>
      <c r="AJ7" s="12"/>
      <c r="AK7" s="12"/>
      <c r="AL7" s="12"/>
      <c r="AM7" s="12"/>
      <c r="AN7" s="12"/>
      <c r="AO7" s="4"/>
    </row>
    <row r="8" spans="1:41" ht="19.5" customHeight="1">
      <c r="A8" s="308">
        <f>(A6-10)*10</f>
        <v>300</v>
      </c>
      <c r="B8" s="309"/>
      <c r="C8" s="308">
        <f>(C6-10)*20</f>
        <v>40</v>
      </c>
      <c r="D8" s="309"/>
      <c r="E8" s="308">
        <f>(E6-10)*20</f>
        <v>-200</v>
      </c>
      <c r="F8" s="309"/>
      <c r="G8" s="308">
        <f>(G6-10)*10</f>
        <v>50</v>
      </c>
      <c r="H8" s="309"/>
      <c r="I8" s="329"/>
      <c r="J8" s="317"/>
      <c r="K8" s="318"/>
      <c r="L8" s="318"/>
      <c r="M8" s="318"/>
      <c r="N8" s="318"/>
      <c r="O8" s="318"/>
      <c r="P8" s="318"/>
      <c r="Q8" s="318"/>
      <c r="R8" s="318"/>
      <c r="S8" s="4"/>
      <c r="T8" s="274"/>
      <c r="U8" s="275"/>
      <c r="V8" s="4"/>
      <c r="W8" s="323" t="str">
        <f>IF(A64=0," ",A64)</f>
        <v>비무장 공격</v>
      </c>
      <c r="X8" s="324"/>
      <c r="Y8" s="151" t="str">
        <f>IF(A64=0," ",J64)</f>
        <v>찌르기</v>
      </c>
      <c r="Z8" s="152" t="str">
        <f>IF(W8=" "," ",IF($Y8="휘두르기",VLOOKUP($G$18,'참조 테이블'!$C$2:$P$101,13,FALSE),VLOOKUP($E$18,'참조 테이블'!$B$2:$P$101,12,FALSE)))</f>
        <v>4d</v>
      </c>
      <c r="AA8" s="97">
        <f>IF(W8=" "," ",IF($Y8="휘두르기",VLOOKUP($G$18,'참조 테이블'!$C$2:$P$101,14,FALSE)+K64,VLOOKUP($E$18,'참조 테이블'!$B$2:$P$101,13,FALSE)+K64))</f>
        <v>5</v>
      </c>
      <c r="AB8" s="322" t="str">
        <f>IF(A64=0," ",L64)</f>
        <v>때리기</v>
      </c>
      <c r="AC8" s="318"/>
      <c r="AD8" s="145" t="str">
        <f>IF(A64=0," ",M64)</f>
        <v>C,1,2</v>
      </c>
      <c r="AE8" s="154">
        <f>IF(W8=" "," ",VLOOKUP(H64,$M$31:$R$58,6,FALSE))</f>
        <v>20</v>
      </c>
      <c r="AF8" s="12"/>
      <c r="AG8" s="12"/>
      <c r="AH8" s="12"/>
      <c r="AI8" s="12"/>
      <c r="AJ8" s="12"/>
      <c r="AK8" s="12"/>
      <c r="AL8" s="12"/>
      <c r="AM8" s="12"/>
      <c r="AN8" s="12"/>
      <c r="AO8" s="4"/>
    </row>
    <row r="9" spans="1:41" ht="19.5" customHeight="1" thickBot="1">
      <c r="A9" s="314" t="s">
        <v>23</v>
      </c>
      <c r="B9" s="305"/>
      <c r="C9" s="327" t="s">
        <v>24</v>
      </c>
      <c r="D9" s="305"/>
      <c r="E9" s="327" t="s">
        <v>25</v>
      </c>
      <c r="F9" s="305"/>
      <c r="G9" s="314" t="s">
        <v>26</v>
      </c>
      <c r="H9" s="305"/>
      <c r="I9" s="329"/>
      <c r="J9" s="317"/>
      <c r="K9" s="318"/>
      <c r="L9" s="318"/>
      <c r="M9" s="318"/>
      <c r="N9" s="318"/>
      <c r="O9" s="318"/>
      <c r="P9" s="318"/>
      <c r="Q9" s="318"/>
      <c r="R9" s="318"/>
      <c r="S9" s="4"/>
      <c r="T9" s="274"/>
      <c r="U9" s="275"/>
      <c r="V9" s="4"/>
      <c r="W9" s="323" t="str">
        <f t="shared" ref="W9:W12" si="0">IF(A65=0," ",A65)</f>
        <v>구르기***</v>
      </c>
      <c r="X9" s="324"/>
      <c r="Y9" s="151" t="str">
        <f t="shared" ref="Y9:Y12" si="1">IF(A65=0," ",J65)</f>
        <v>휘두르기</v>
      </c>
      <c r="Z9" s="152" t="str">
        <f>IF(W9=" "," ",IF($Y9="휘두르기",VLOOKUP($G$18,'참조 테이블'!$C$2:$P$101,13,FALSE),VLOOKUP($E$18,'참조 테이블'!$B$2:$P$101,12,FALSE)))</f>
        <v>7d</v>
      </c>
      <c r="AA9" s="97">
        <f>IF(W9=" "," ",IF($Y9="휘두르기",VLOOKUP($G$18,'참조 테이블'!$C$2:$P$101,14,FALSE)+K65,VLOOKUP($E$18,'참조 테이블'!$B$2:$P$101,13,FALSE)+K65))</f>
        <v>-1</v>
      </c>
      <c r="AB9" s="322" t="str">
        <f t="shared" ref="AB9:AB12" si="2">IF(A65=0," ",L65)</f>
        <v>때리기</v>
      </c>
      <c r="AC9" s="318"/>
      <c r="AD9" s="145" t="str">
        <f t="shared" ref="AD9:AD12" si="3">IF(A65=0," ",M65)</f>
        <v>원추(10,2m)</v>
      </c>
      <c r="AE9" s="154">
        <f t="shared" ref="AE9:AE12" si="4">IF(W9=" "," ",VLOOKUP(H65,$M$31:$R$58,6,FALSE))</f>
        <v>20</v>
      </c>
      <c r="AF9" s="12"/>
      <c r="AG9" s="12"/>
      <c r="AH9" s="12"/>
      <c r="AI9" s="12"/>
      <c r="AJ9" s="12"/>
      <c r="AK9" s="12"/>
      <c r="AL9" s="12"/>
      <c r="AM9" s="12"/>
      <c r="AN9" s="12"/>
      <c r="AO9" s="4"/>
    </row>
    <row r="10" spans="1:41" ht="19.5" customHeight="1">
      <c r="A10" s="315">
        <f>(A6)+20</f>
        <v>60</v>
      </c>
      <c r="B10" s="279"/>
      <c r="C10" s="315">
        <f>(E6)</f>
        <v>0</v>
      </c>
      <c r="D10" s="279"/>
      <c r="E10" s="315">
        <f>(E6)+13</f>
        <v>13</v>
      </c>
      <c r="F10" s="279"/>
      <c r="G10" s="315">
        <f>G6</f>
        <v>15</v>
      </c>
      <c r="H10" s="279"/>
      <c r="I10" s="329"/>
      <c r="J10" s="317"/>
      <c r="K10" s="318"/>
      <c r="L10" s="318"/>
      <c r="M10" s="318"/>
      <c r="N10" s="318"/>
      <c r="O10" s="318"/>
      <c r="P10" s="318"/>
      <c r="Q10" s="318"/>
      <c r="R10" s="318"/>
      <c r="S10" s="4"/>
      <c r="T10" s="274"/>
      <c r="U10" s="275"/>
      <c r="V10" s="4"/>
      <c r="W10" s="323" t="str">
        <f t="shared" si="0"/>
        <v xml:space="preserve"> </v>
      </c>
      <c r="X10" s="324"/>
      <c r="Y10" s="151" t="str">
        <f t="shared" si="1"/>
        <v xml:space="preserve"> </v>
      </c>
      <c r="Z10" s="152" t="str">
        <f>IF(W10=" "," ",IF($Y10="휘두르기",VLOOKUP($G$18,'참조 테이블'!$C$2:$P$101,13,FALSE),VLOOKUP($E$18,'참조 테이블'!$B$2:$P$101,12,FALSE)))</f>
        <v xml:space="preserve"> </v>
      </c>
      <c r="AA10" s="97" t="str">
        <f>IF(W10=" "," ",IF($Y10="휘두르기",VLOOKUP($G$18,'참조 테이블'!$C$2:$P$101,14,FALSE)+K66,VLOOKUP($E$18,'참조 테이블'!$B$2:$P$101,13,FALSE)+K66))</f>
        <v xml:space="preserve"> </v>
      </c>
      <c r="AB10" s="322" t="str">
        <f t="shared" si="2"/>
        <v xml:space="preserve"> </v>
      </c>
      <c r="AC10" s="318"/>
      <c r="AD10" s="145" t="str">
        <f t="shared" si="3"/>
        <v xml:space="preserve"> </v>
      </c>
      <c r="AE10" s="154" t="str">
        <f t="shared" si="4"/>
        <v xml:space="preserve"> 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4"/>
    </row>
    <row r="11" spans="1:41" ht="19.5" customHeight="1" thickBot="1">
      <c r="A11" s="316"/>
      <c r="B11" s="298"/>
      <c r="C11" s="316"/>
      <c r="D11" s="298"/>
      <c r="E11" s="316"/>
      <c r="F11" s="298"/>
      <c r="G11" s="316"/>
      <c r="H11" s="298"/>
      <c r="I11" s="329"/>
      <c r="J11" s="317"/>
      <c r="K11" s="318"/>
      <c r="L11" s="318"/>
      <c r="M11" s="318"/>
      <c r="N11" s="318"/>
      <c r="O11" s="318"/>
      <c r="P11" s="318"/>
      <c r="Q11" s="318"/>
      <c r="R11" s="318"/>
      <c r="S11" s="4"/>
      <c r="T11" s="274"/>
      <c r="U11" s="275"/>
      <c r="V11" s="4"/>
      <c r="W11" s="323" t="str">
        <f t="shared" si="0"/>
        <v xml:space="preserve"> </v>
      </c>
      <c r="X11" s="324"/>
      <c r="Y11" s="151" t="str">
        <f t="shared" si="1"/>
        <v xml:space="preserve"> </v>
      </c>
      <c r="Z11" s="152" t="str">
        <f>IF(W11=" "," ",IF($Y11="휘두르기",VLOOKUP($G$18,'참조 테이블'!$C$2:$P$101,13,FALSE),VLOOKUP($E$18,'참조 테이블'!$B$2:$P$101,12,FALSE)))</f>
        <v xml:space="preserve"> </v>
      </c>
      <c r="AA11" s="97" t="str">
        <f>IF(W11=" "," ",IF($Y11="휘두르기",VLOOKUP($G$18,'참조 테이블'!$C$2:$P$101,14,FALSE)+K67,VLOOKUP($E$18,'참조 테이블'!$B$2:$P$101,13,FALSE)+K67))</f>
        <v xml:space="preserve"> </v>
      </c>
      <c r="AB11" s="322" t="str">
        <f t="shared" si="2"/>
        <v xml:space="preserve"> </v>
      </c>
      <c r="AC11" s="318"/>
      <c r="AD11" s="145" t="str">
        <f t="shared" si="3"/>
        <v xml:space="preserve"> </v>
      </c>
      <c r="AE11" s="154" t="str">
        <f t="shared" si="4"/>
        <v xml:space="preserve"> </v>
      </c>
      <c r="AF11" s="12"/>
      <c r="AG11" s="12"/>
      <c r="AH11" s="12"/>
      <c r="AI11" s="12"/>
      <c r="AJ11" s="12"/>
      <c r="AK11" s="12"/>
      <c r="AL11" s="12"/>
      <c r="AM11" s="12"/>
      <c r="AN11" s="12"/>
      <c r="AO11" s="4"/>
    </row>
    <row r="12" spans="1:41" ht="19.5" customHeight="1" thickBot="1">
      <c r="A12" s="376">
        <f>(A10-A6)*2</f>
        <v>40</v>
      </c>
      <c r="B12" s="329"/>
      <c r="C12" s="376">
        <f>(C10-E6)*5</f>
        <v>0</v>
      </c>
      <c r="D12" s="329"/>
      <c r="E12" s="376">
        <f>(E10-E6)*5</f>
        <v>65</v>
      </c>
      <c r="F12" s="329"/>
      <c r="G12" s="376">
        <f>(G10-G6)*3</f>
        <v>0</v>
      </c>
      <c r="H12" s="329"/>
      <c r="I12" s="329"/>
      <c r="J12" s="330"/>
      <c r="K12" s="305"/>
      <c r="L12" s="305"/>
      <c r="M12" s="305"/>
      <c r="N12" s="305"/>
      <c r="O12" s="305"/>
      <c r="P12" s="305"/>
      <c r="Q12" s="305"/>
      <c r="R12" s="305"/>
      <c r="S12" s="13"/>
      <c r="T12" s="340"/>
      <c r="U12" s="298"/>
      <c r="V12" s="4"/>
      <c r="W12" s="452" t="str">
        <f t="shared" si="0"/>
        <v xml:space="preserve"> </v>
      </c>
      <c r="X12" s="453"/>
      <c r="Y12" s="155" t="str">
        <f t="shared" si="1"/>
        <v xml:space="preserve"> </v>
      </c>
      <c r="Z12" s="156" t="str">
        <f>IF(W12=" "," ",IF($Y12="휘두르기",VLOOKUP($G$18,'참조 테이블'!$C$2:$P$101,13,FALSE),VLOOKUP($E$18,'참조 테이블'!$B$2:$P$101,12,FALSE)))</f>
        <v xml:space="preserve"> </v>
      </c>
      <c r="AA12" s="157" t="str">
        <f>IF(W12=" "," ",IF($Y12="휘두르기",VLOOKUP($G$18,'참조 테이블'!$C$2:$P$101,14,FALSE)+K68,VLOOKUP($E$18,'참조 테이블'!$B$2:$P$101,13,FALSE)+K68))</f>
        <v xml:space="preserve"> </v>
      </c>
      <c r="AB12" s="454" t="str">
        <f t="shared" si="2"/>
        <v xml:space="preserve"> </v>
      </c>
      <c r="AC12" s="429"/>
      <c r="AD12" s="158" t="str">
        <f t="shared" si="3"/>
        <v xml:space="preserve"> </v>
      </c>
      <c r="AE12" s="159" t="str">
        <f t="shared" si="4"/>
        <v xml:space="preserve"> 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4"/>
    </row>
    <row r="13" spans="1:41" ht="6.75" customHeight="1" thickBot="1">
      <c r="A13" s="12"/>
      <c r="B13" s="12"/>
      <c r="C13" s="12"/>
      <c r="D13" s="12"/>
      <c r="E13" s="12"/>
      <c r="F13" s="12"/>
      <c r="G13" s="12"/>
      <c r="H13" s="12"/>
      <c r="I13" s="329"/>
      <c r="J13" s="331"/>
      <c r="K13" s="332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4"/>
      <c r="W13" s="9" t="s">
        <v>27</v>
      </c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</row>
    <row r="14" spans="1:41" ht="19.5" customHeight="1">
      <c r="A14" s="339" t="s">
        <v>28</v>
      </c>
      <c r="B14" s="279"/>
      <c r="C14" s="339" t="s">
        <v>29</v>
      </c>
      <c r="D14" s="279"/>
      <c r="E14" s="12"/>
      <c r="F14" s="12"/>
      <c r="G14" s="12"/>
      <c r="H14" s="12"/>
      <c r="I14" s="329"/>
      <c r="J14" s="14" t="s">
        <v>30</v>
      </c>
      <c r="K14" s="341"/>
      <c r="L14" s="300"/>
      <c r="M14" s="300"/>
      <c r="N14" s="300"/>
      <c r="O14" s="300"/>
      <c r="P14" s="300"/>
      <c r="Q14" s="300"/>
      <c r="R14" s="300"/>
      <c r="S14" s="15"/>
      <c r="T14" s="286"/>
      <c r="U14" s="287"/>
      <c r="V14" s="4"/>
      <c r="W14" s="299" t="s">
        <v>31</v>
      </c>
      <c r="X14" s="300"/>
      <c r="Y14" s="300"/>
      <c r="Z14" s="300"/>
      <c r="AA14" s="287"/>
      <c r="AB14" s="299" t="s">
        <v>32</v>
      </c>
      <c r="AC14" s="300"/>
      <c r="AD14" s="300"/>
      <c r="AE14" s="287"/>
      <c r="AF14" s="4"/>
      <c r="AG14" s="4"/>
      <c r="AH14" s="4"/>
      <c r="AI14" s="4"/>
      <c r="AJ14" s="4"/>
      <c r="AK14" s="4"/>
      <c r="AL14" s="4"/>
      <c r="AM14" s="4"/>
      <c r="AN14" s="4"/>
      <c r="AO14" s="4"/>
    </row>
    <row r="15" spans="1:41" ht="19.5" customHeight="1">
      <c r="A15" s="351">
        <v>4</v>
      </c>
      <c r="B15" s="292"/>
      <c r="C15" s="351">
        <v>0</v>
      </c>
      <c r="D15" s="292"/>
      <c r="E15" s="4"/>
      <c r="F15" s="4"/>
      <c r="G15" s="4"/>
      <c r="H15" s="4"/>
      <c r="I15" s="329"/>
      <c r="J15" s="342" t="s">
        <v>33</v>
      </c>
      <c r="K15" s="329"/>
      <c r="L15" s="329"/>
      <c r="M15" s="329"/>
      <c r="N15" s="329"/>
      <c r="O15" s="329"/>
      <c r="P15" s="329"/>
      <c r="Q15" s="329"/>
      <c r="R15" s="329"/>
      <c r="S15" s="16"/>
      <c r="T15" s="288" t="s">
        <v>17</v>
      </c>
      <c r="U15" s="289"/>
      <c r="V15" s="4"/>
      <c r="W15" s="17" t="s">
        <v>23</v>
      </c>
      <c r="X15" s="302">
        <f>(A10/2)</f>
        <v>30</v>
      </c>
      <c r="Y15" s="303"/>
      <c r="Z15" s="290">
        <f>ROUNDUP((A10/3),0)</f>
        <v>20</v>
      </c>
      <c r="AA15" s="289"/>
      <c r="AB15" s="18" t="s">
        <v>34</v>
      </c>
      <c r="AC15" s="19" t="s">
        <v>35</v>
      </c>
      <c r="AD15" s="295">
        <f>AB16+AC16</f>
        <v>12</v>
      </c>
      <c r="AE15" s="289"/>
      <c r="AF15" s="4"/>
      <c r="AG15" s="4"/>
      <c r="AH15" s="4"/>
      <c r="AI15" s="4"/>
      <c r="AJ15" s="4"/>
      <c r="AK15" s="4"/>
      <c r="AL15" s="4"/>
      <c r="AM15" s="4"/>
      <c r="AN15" s="4"/>
      <c r="AO15" s="4"/>
    </row>
    <row r="16" spans="1:41" ht="19.5" customHeight="1">
      <c r="A16" s="339" t="s">
        <v>36</v>
      </c>
      <c r="B16" s="279"/>
      <c r="C16" s="401" t="s">
        <v>37</v>
      </c>
      <c r="D16" s="309"/>
      <c r="E16" s="391" t="s">
        <v>38</v>
      </c>
      <c r="F16" s="358"/>
      <c r="G16" s="358"/>
      <c r="H16" s="359"/>
      <c r="I16" s="329"/>
      <c r="J16" s="319"/>
      <c r="K16" s="320"/>
      <c r="L16" s="320"/>
      <c r="M16" s="320"/>
      <c r="N16" s="320"/>
      <c r="O16" s="320"/>
      <c r="P16" s="320"/>
      <c r="Q16" s="320"/>
      <c r="R16" s="320"/>
      <c r="S16" s="4"/>
      <c r="T16" s="338"/>
      <c r="U16" s="292"/>
      <c r="V16" s="4"/>
      <c r="W16" s="20" t="s">
        <v>39</v>
      </c>
      <c r="X16" s="284" t="s">
        <v>40</v>
      </c>
      <c r="Y16" s="285"/>
      <c r="Z16" s="291" t="s">
        <v>41</v>
      </c>
      <c r="AA16" s="292"/>
      <c r="AB16" s="293">
        <f>IF(T64&lt;=D24,G24,IF(T64&lt;=D25,G25,IF(T64&lt;=D26,G26,IF(T64&lt;=D27,G27,IF(T64&lt;=D28,G28,)))))</f>
        <v>10</v>
      </c>
      <c r="AC16" s="304">
        <v>2</v>
      </c>
      <c r="AD16" s="296"/>
      <c r="AE16" s="292"/>
      <c r="AF16" s="4"/>
      <c r="AG16" s="4"/>
      <c r="AH16" s="4"/>
      <c r="AI16" s="4"/>
      <c r="AJ16" s="4"/>
      <c r="AK16" s="4"/>
      <c r="AL16" s="4"/>
      <c r="AM16" s="4"/>
      <c r="AN16" s="4"/>
      <c r="AO16" s="4"/>
    </row>
    <row r="17" spans="1:41" ht="19.5" customHeight="1">
      <c r="A17" s="351">
        <v>0</v>
      </c>
      <c r="B17" s="292"/>
      <c r="C17" s="370">
        <f>IF( ((A6+A17)^2)/10 &gt; 5, MROUND(((A6+A17)^2)/10, 0.5), ((A6+A17)^2)/10 )</f>
        <v>160</v>
      </c>
      <c r="D17" s="329"/>
      <c r="E17" s="344" t="s">
        <v>42</v>
      </c>
      <c r="F17" s="345"/>
      <c r="G17" s="347" t="s">
        <v>43</v>
      </c>
      <c r="H17" s="348"/>
      <c r="I17" s="329"/>
      <c r="J17" s="369"/>
      <c r="K17" s="329"/>
      <c r="L17" s="329"/>
      <c r="M17" s="329"/>
      <c r="N17" s="329"/>
      <c r="O17" s="329"/>
      <c r="P17" s="329"/>
      <c r="Q17" s="329"/>
      <c r="R17" s="329"/>
      <c r="S17" s="4"/>
      <c r="T17" s="306"/>
      <c r="U17" s="289"/>
      <c r="V17" s="4"/>
      <c r="W17" s="20" t="s">
        <v>44</v>
      </c>
      <c r="X17" s="307" t="s">
        <v>45</v>
      </c>
      <c r="Y17" s="285"/>
      <c r="Z17" s="301" t="s">
        <v>467</v>
      </c>
      <c r="AA17" s="292"/>
      <c r="AB17" s="294"/>
      <c r="AC17" s="305"/>
      <c r="AD17" s="297"/>
      <c r="AE17" s="298"/>
      <c r="AF17" s="4"/>
      <c r="AG17" s="4"/>
      <c r="AH17" s="4"/>
      <c r="AI17" s="4"/>
      <c r="AJ17" s="4"/>
      <c r="AK17" s="4"/>
      <c r="AL17" s="4"/>
      <c r="AM17" s="4"/>
      <c r="AN17" s="4"/>
      <c r="AO17" s="4"/>
    </row>
    <row r="18" spans="1:41" ht="19.5" customHeight="1">
      <c r="A18" s="392">
        <f>A17*3</f>
        <v>0</v>
      </c>
      <c r="B18" s="279"/>
      <c r="C18" s="316"/>
      <c r="D18" s="305"/>
      <c r="E18" s="371" t="str">
        <f t="array" ref="E18">INDEX('참조 테이블'!$B$2:$C$101,VALUE($A$6+A15),1)</f>
        <v>4d+1</v>
      </c>
      <c r="F18" s="305"/>
      <c r="G18" s="346" t="str">
        <f t="array" ref="G18">INDEX('참조 테이블'!$B$2:$C101,VALUE($A$6+A15),2)</f>
        <v>7d-1</v>
      </c>
      <c r="H18" s="283"/>
      <c r="I18" s="329"/>
      <c r="J18" s="333"/>
      <c r="K18" s="334"/>
      <c r="L18" s="334"/>
      <c r="M18" s="334"/>
      <c r="N18" s="334"/>
      <c r="O18" s="334"/>
      <c r="P18" s="334"/>
      <c r="Q18" s="334"/>
      <c r="R18" s="334"/>
      <c r="S18" s="13"/>
      <c r="T18" s="282"/>
      <c r="U18" s="283"/>
      <c r="V18" s="4"/>
      <c r="W18" s="21" t="s">
        <v>46</v>
      </c>
      <c r="X18" s="457" t="s">
        <v>12</v>
      </c>
      <c r="Y18" s="458"/>
      <c r="Z18" s="459" t="s">
        <v>47</v>
      </c>
      <c r="AA18" s="298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</row>
    <row r="19" spans="1:41" ht="6.75" customHeight="1">
      <c r="A19" s="4"/>
      <c r="B19" s="4"/>
      <c r="C19" s="4"/>
      <c r="D19" s="4"/>
      <c r="E19" s="4"/>
      <c r="F19" s="4"/>
      <c r="G19" s="4"/>
      <c r="H19" s="4"/>
      <c r="I19" s="329"/>
      <c r="J19" s="22"/>
      <c r="K19" s="23"/>
      <c r="L19" s="336"/>
      <c r="M19" s="331"/>
      <c r="N19" s="332"/>
      <c r="O19" s="332"/>
      <c r="P19" s="332"/>
      <c r="Q19" s="332"/>
      <c r="R19" s="332"/>
      <c r="S19" s="332"/>
      <c r="T19" s="332"/>
      <c r="U19" s="332"/>
      <c r="V19" s="4"/>
      <c r="W19" s="24" t="s">
        <v>48</v>
      </c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</row>
    <row r="20" spans="1:41" ht="19.5" customHeight="1">
      <c r="A20" s="386" t="s">
        <v>49</v>
      </c>
      <c r="B20" s="329"/>
      <c r="C20" s="25">
        <f>(C6+G6)/4</f>
        <v>6.75</v>
      </c>
      <c r="D20" s="26" t="s">
        <v>50</v>
      </c>
      <c r="E20" s="27">
        <v>0.25</v>
      </c>
      <c r="F20" s="26" t="s">
        <v>51</v>
      </c>
      <c r="G20" s="28">
        <f t="shared" ref="G20:G21" si="5">C20+E20</f>
        <v>7</v>
      </c>
      <c r="H20" s="29">
        <f>E20*20</f>
        <v>5</v>
      </c>
      <c r="I20" s="329"/>
      <c r="J20" s="337" t="s">
        <v>52</v>
      </c>
      <c r="K20" s="279"/>
      <c r="L20" s="329"/>
      <c r="M20" s="335" t="s">
        <v>53</v>
      </c>
      <c r="N20" s="309"/>
      <c r="O20" s="309"/>
      <c r="P20" s="309"/>
      <c r="Q20" s="309"/>
      <c r="R20" s="309"/>
      <c r="S20" s="309"/>
      <c r="T20" s="309"/>
      <c r="U20" s="279"/>
      <c r="V20" s="4"/>
      <c r="W20" s="299" t="s">
        <v>54</v>
      </c>
      <c r="X20" s="300"/>
      <c r="Y20" s="300"/>
      <c r="Z20" s="287"/>
      <c r="AA20" s="299" t="s">
        <v>55</v>
      </c>
      <c r="AB20" s="300"/>
      <c r="AC20" s="300"/>
      <c r="AD20" s="300"/>
      <c r="AE20" s="287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spans="1:41" ht="19.5" customHeight="1">
      <c r="A21" s="387" t="s">
        <v>56</v>
      </c>
      <c r="B21" s="329"/>
      <c r="C21" s="30">
        <f>IF(INT(G20)&lt;1, 1, INT(G20))</f>
        <v>7</v>
      </c>
      <c r="D21" s="26" t="s">
        <v>50</v>
      </c>
      <c r="E21" s="31"/>
      <c r="F21" s="26" t="s">
        <v>51</v>
      </c>
      <c r="G21" s="32">
        <f t="shared" si="5"/>
        <v>7</v>
      </c>
      <c r="H21" s="29">
        <f>E21*5</f>
        <v>0</v>
      </c>
      <c r="I21" s="329"/>
      <c r="J21" s="377">
        <f>(W30)</f>
        <v>12</v>
      </c>
      <c r="K21" s="292"/>
      <c r="L21" s="329"/>
      <c r="M21" s="33" t="s">
        <v>8</v>
      </c>
      <c r="N21" s="349"/>
      <c r="O21" s="320"/>
      <c r="P21" s="320"/>
      <c r="Q21" s="320"/>
      <c r="R21" s="320"/>
      <c r="S21" s="12"/>
      <c r="T21" s="280"/>
      <c r="U21" s="281"/>
      <c r="V21" s="4"/>
      <c r="W21" s="18" t="s">
        <v>22</v>
      </c>
      <c r="X21" s="19" t="s">
        <v>35</v>
      </c>
      <c r="Y21" s="295">
        <f>(W22/2+3+X22)</f>
        <v>0</v>
      </c>
      <c r="Z21" s="289"/>
      <c r="AA21" s="18" t="s">
        <v>22</v>
      </c>
      <c r="AB21" s="19" t="s">
        <v>35</v>
      </c>
      <c r="AC21" s="295">
        <f>(AA22/2+3+AB22)</f>
        <v>13</v>
      </c>
      <c r="AD21" s="289"/>
      <c r="AE21" s="34" t="s">
        <v>39</v>
      </c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spans="1:41" ht="6.75" customHeight="1">
      <c r="A22" s="4"/>
      <c r="B22" s="4"/>
      <c r="C22" s="4"/>
      <c r="D22" s="4"/>
      <c r="E22" s="4"/>
      <c r="F22" s="4"/>
      <c r="G22" s="4"/>
      <c r="H22" s="4"/>
      <c r="I22" s="329"/>
      <c r="J22" s="316"/>
      <c r="K22" s="298"/>
      <c r="L22" s="329"/>
      <c r="M22" s="35"/>
      <c r="N22" s="36"/>
      <c r="O22" s="36"/>
      <c r="P22" s="36"/>
      <c r="Q22" s="36"/>
      <c r="R22" s="36"/>
      <c r="S22" s="4"/>
      <c r="T22" s="4"/>
      <c r="U22" s="37"/>
      <c r="V22" s="4"/>
      <c r="W22" s="293">
        <v>0</v>
      </c>
      <c r="X22" s="304">
        <v>-3</v>
      </c>
      <c r="Y22" s="296"/>
      <c r="Z22" s="292"/>
      <c r="AA22" s="293">
        <f>R31</f>
        <v>20</v>
      </c>
      <c r="AB22" s="304">
        <v>0</v>
      </c>
      <c r="AC22" s="296"/>
      <c r="AD22" s="292"/>
      <c r="AE22" s="393">
        <v>0</v>
      </c>
      <c r="AF22" s="4"/>
      <c r="AG22" s="4"/>
      <c r="AH22" s="4"/>
      <c r="AI22" s="4"/>
      <c r="AJ22" s="4"/>
      <c r="AK22" s="4"/>
      <c r="AL22" s="4"/>
      <c r="AM22" s="4"/>
      <c r="AN22" s="4"/>
      <c r="AO22" s="4"/>
    </row>
    <row r="23" spans="1:41" ht="19.5" customHeight="1" thickBot="1">
      <c r="A23" s="339" t="s">
        <v>57</v>
      </c>
      <c r="B23" s="309"/>
      <c r="C23" s="309"/>
      <c r="D23" s="309"/>
      <c r="E23" s="278" t="s">
        <v>58</v>
      </c>
      <c r="F23" s="309"/>
      <c r="G23" s="278" t="s">
        <v>32</v>
      </c>
      <c r="H23" s="279"/>
      <c r="I23" s="329"/>
      <c r="J23" s="337" t="s">
        <v>59</v>
      </c>
      <c r="K23" s="279"/>
      <c r="L23" s="329"/>
      <c r="M23" s="33" t="s">
        <v>60</v>
      </c>
      <c r="N23" s="349"/>
      <c r="O23" s="320"/>
      <c r="P23" s="320"/>
      <c r="Q23" s="320"/>
      <c r="R23" s="320"/>
      <c r="S23" s="12"/>
      <c r="T23" s="280"/>
      <c r="U23" s="281"/>
      <c r="V23" s="4"/>
      <c r="W23" s="294"/>
      <c r="X23" s="305"/>
      <c r="Y23" s="297"/>
      <c r="Z23" s="298"/>
      <c r="AA23" s="294"/>
      <c r="AB23" s="305"/>
      <c r="AC23" s="297"/>
      <c r="AD23" s="298"/>
      <c r="AE23" s="394"/>
      <c r="AF23" s="4"/>
      <c r="AG23" s="4"/>
      <c r="AH23" s="4"/>
      <c r="AI23" s="38"/>
      <c r="AJ23" s="38"/>
      <c r="AK23" s="38"/>
      <c r="AL23" s="38"/>
      <c r="AM23" s="38"/>
      <c r="AN23" s="38"/>
      <c r="AO23" s="38"/>
    </row>
    <row r="24" spans="1:41" ht="19.5" customHeight="1" thickBot="1">
      <c r="A24" s="388" t="s">
        <v>61</v>
      </c>
      <c r="B24" s="320"/>
      <c r="C24" s="320"/>
      <c r="D24" s="39">
        <f>C17</f>
        <v>160</v>
      </c>
      <c r="E24" s="343">
        <f>G21</f>
        <v>7</v>
      </c>
      <c r="F24" s="320"/>
      <c r="G24" s="343">
        <f>IF(INT(G20)+3&lt;1,1,INT(G20)+3)</f>
        <v>10</v>
      </c>
      <c r="H24" s="281"/>
      <c r="I24" s="329"/>
      <c r="J24" s="350">
        <f>(AC21)</f>
        <v>13</v>
      </c>
      <c r="K24" s="292"/>
      <c r="L24" s="329"/>
      <c r="M24" s="33" t="s">
        <v>62</v>
      </c>
      <c r="N24" s="366"/>
      <c r="O24" s="318"/>
      <c r="P24" s="318"/>
      <c r="Q24" s="318"/>
      <c r="R24" s="318"/>
      <c r="S24" s="12"/>
      <c r="T24" s="280"/>
      <c r="U24" s="281"/>
      <c r="V24" s="4"/>
      <c r="W24" s="336"/>
      <c r="X24" s="309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12"/>
      <c r="AJ24" s="12"/>
      <c r="AK24" s="12"/>
      <c r="AL24" s="12"/>
      <c r="AM24" s="12"/>
      <c r="AN24" s="12"/>
      <c r="AO24" s="4"/>
    </row>
    <row r="25" spans="1:41" ht="19.5" customHeight="1" thickBot="1">
      <c r="A25" s="372" t="s">
        <v>63</v>
      </c>
      <c r="B25" s="318"/>
      <c r="C25" s="318"/>
      <c r="D25" s="40">
        <f>C17*2</f>
        <v>320</v>
      </c>
      <c r="E25" s="383">
        <f>IF(INT(G21*0.8)&lt;1, 1, INT(G21*0.8))</f>
        <v>5</v>
      </c>
      <c r="F25" s="318"/>
      <c r="G25" s="390">
        <f>IF(INT(G20)+3-1&lt;1,1,INT(G20)+3-1)</f>
        <v>9</v>
      </c>
      <c r="H25" s="281"/>
      <c r="I25" s="329"/>
      <c r="J25" s="316"/>
      <c r="K25" s="298"/>
      <c r="L25" s="329"/>
      <c r="M25" s="33" t="s">
        <v>64</v>
      </c>
      <c r="N25" s="389" t="s">
        <v>620</v>
      </c>
      <c r="O25" s="318"/>
      <c r="P25" s="318"/>
      <c r="Q25" s="318"/>
      <c r="R25" s="318"/>
      <c r="S25" s="12"/>
      <c r="T25" s="280"/>
      <c r="U25" s="281"/>
      <c r="V25" s="4"/>
      <c r="W25" s="460" t="s">
        <v>65</v>
      </c>
      <c r="X25" s="300"/>
      <c r="Y25" s="300"/>
      <c r="Z25" s="300"/>
      <c r="AA25" s="300"/>
      <c r="AB25" s="300"/>
      <c r="AC25" s="300"/>
      <c r="AD25" s="287"/>
      <c r="AE25" s="4"/>
      <c r="AF25" s="4"/>
      <c r="AG25" s="4"/>
      <c r="AH25" s="4"/>
      <c r="AI25" s="41"/>
      <c r="AJ25" s="41"/>
      <c r="AK25" s="41"/>
      <c r="AL25" s="41"/>
      <c r="AM25" s="41"/>
      <c r="AN25" s="41"/>
      <c r="AO25" s="4"/>
    </row>
    <row r="26" spans="1:41" ht="19.5" customHeight="1">
      <c r="A26" s="380" t="s">
        <v>66</v>
      </c>
      <c r="B26" s="318"/>
      <c r="C26" s="318"/>
      <c r="D26" s="42">
        <f>C17*3</f>
        <v>480</v>
      </c>
      <c r="E26" s="378">
        <f>IF(INT(G21*0.6)&lt;1, 1, INT(G21*0.6))</f>
        <v>4</v>
      </c>
      <c r="F26" s="318"/>
      <c r="G26" s="343">
        <f>IF(INT(G20)+3-2&lt;1,1,INT(G20)+3-2)</f>
        <v>8</v>
      </c>
      <c r="H26" s="281"/>
      <c r="I26" s="329"/>
      <c r="J26" s="337" t="s">
        <v>67</v>
      </c>
      <c r="K26" s="279"/>
      <c r="L26" s="329"/>
      <c r="M26" s="319"/>
      <c r="N26" s="320"/>
      <c r="O26" s="320"/>
      <c r="P26" s="320"/>
      <c r="Q26" s="320"/>
      <c r="R26" s="320"/>
      <c r="S26" s="12"/>
      <c r="T26" s="280"/>
      <c r="U26" s="281"/>
      <c r="V26" s="4"/>
      <c r="W26" s="361" t="s">
        <v>68</v>
      </c>
      <c r="X26" s="334"/>
      <c r="Y26" s="360" t="s">
        <v>69</v>
      </c>
      <c r="Z26" s="334"/>
      <c r="AA26" s="360" t="s">
        <v>70</v>
      </c>
      <c r="AB26" s="334"/>
      <c r="AC26" s="4"/>
      <c r="AD26" s="37"/>
      <c r="AE26" s="4"/>
      <c r="AF26" s="4"/>
      <c r="AG26" s="4"/>
      <c r="AH26" s="4"/>
      <c r="AI26" s="41"/>
      <c r="AJ26" s="41"/>
      <c r="AK26" s="41"/>
      <c r="AL26" s="41"/>
      <c r="AM26" s="41"/>
      <c r="AN26" s="41"/>
      <c r="AO26" s="4"/>
    </row>
    <row r="27" spans="1:41" ht="19.5" customHeight="1">
      <c r="A27" s="372" t="s">
        <v>71</v>
      </c>
      <c r="B27" s="318"/>
      <c r="C27" s="318"/>
      <c r="D27" s="40">
        <f>C17*6</f>
        <v>960</v>
      </c>
      <c r="E27" s="383">
        <f>IF(INT(G21*0.4)&lt;1, 1, INT(G21*0.4))</f>
        <v>2</v>
      </c>
      <c r="F27" s="318"/>
      <c r="G27" s="383">
        <f>IF(INT(G20)+3-3&lt;1,1,INT(G20)+3-3)</f>
        <v>7</v>
      </c>
      <c r="H27" s="275"/>
      <c r="I27" s="329"/>
      <c r="J27" s="350">
        <f>(Y21)</f>
        <v>0</v>
      </c>
      <c r="K27" s="292"/>
      <c r="L27" s="329"/>
      <c r="M27" s="319"/>
      <c r="N27" s="320"/>
      <c r="O27" s="320"/>
      <c r="P27" s="320"/>
      <c r="Q27" s="320"/>
      <c r="R27" s="320"/>
      <c r="S27" s="12"/>
      <c r="T27" s="280"/>
      <c r="U27" s="281"/>
      <c r="V27" s="4"/>
      <c r="W27" s="354">
        <f>(F88)</f>
        <v>12</v>
      </c>
      <c r="X27" s="279"/>
      <c r="Y27" s="352">
        <f>(F89)</f>
        <v>12</v>
      </c>
      <c r="Z27" s="279"/>
      <c r="AA27" s="354">
        <f>(F90)</f>
        <v>12</v>
      </c>
      <c r="AB27" s="279"/>
      <c r="AC27" s="4"/>
      <c r="AD27" s="37"/>
      <c r="AE27" s="4"/>
      <c r="AF27" s="4"/>
      <c r="AG27" s="4"/>
      <c r="AH27" s="4"/>
      <c r="AI27" s="12"/>
      <c r="AJ27" s="12"/>
      <c r="AK27" s="12"/>
      <c r="AL27" s="12"/>
      <c r="AM27" s="12"/>
      <c r="AN27" s="12"/>
      <c r="AO27" s="4"/>
    </row>
    <row r="28" spans="1:41" ht="19.5" customHeight="1">
      <c r="A28" s="379" t="s">
        <v>72</v>
      </c>
      <c r="B28" s="305"/>
      <c r="C28" s="305"/>
      <c r="D28" s="43">
        <f>C17*10</f>
        <v>1600</v>
      </c>
      <c r="E28" s="375">
        <f>IF(INT(G21*0.2)&lt;1, 1, INT(G21*0.2))</f>
        <v>1</v>
      </c>
      <c r="F28" s="305"/>
      <c r="G28" s="374">
        <f>IF(INT(G20)+3-4&lt;1,1,INT(G20)+3-4)</f>
        <v>6</v>
      </c>
      <c r="H28" s="283"/>
      <c r="I28" s="329"/>
      <c r="J28" s="316"/>
      <c r="K28" s="298"/>
      <c r="L28" s="329"/>
      <c r="M28" s="330"/>
      <c r="N28" s="305"/>
      <c r="O28" s="305"/>
      <c r="P28" s="305"/>
      <c r="Q28" s="305"/>
      <c r="R28" s="305"/>
      <c r="S28" s="44"/>
      <c r="T28" s="282"/>
      <c r="U28" s="283"/>
      <c r="V28" s="4"/>
      <c r="W28" s="316"/>
      <c r="X28" s="298"/>
      <c r="Y28" s="316"/>
      <c r="Z28" s="298"/>
      <c r="AA28" s="316"/>
      <c r="AB28" s="298"/>
      <c r="AC28" s="4"/>
      <c r="AD28" s="37"/>
      <c r="AE28" s="45"/>
      <c r="AF28" s="4"/>
      <c r="AG28" s="4"/>
      <c r="AH28" s="4"/>
      <c r="AI28" s="41"/>
      <c r="AJ28" s="41"/>
      <c r="AK28" s="41"/>
      <c r="AL28" s="41"/>
      <c r="AM28" s="41"/>
      <c r="AN28" s="41"/>
      <c r="AO28" s="4"/>
    </row>
    <row r="29" spans="1:41" ht="12" customHeight="1" thickBo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46" t="s">
        <v>73</v>
      </c>
      <c r="N29" s="12"/>
      <c r="O29" s="12"/>
      <c r="P29" s="12"/>
      <c r="Q29" s="12"/>
      <c r="R29" s="12"/>
      <c r="S29" s="12"/>
      <c r="T29" s="12"/>
      <c r="U29" s="12"/>
      <c r="V29" s="4"/>
      <c r="W29" s="362" t="s">
        <v>74</v>
      </c>
      <c r="X29" s="332"/>
      <c r="Y29" s="331" t="s">
        <v>75</v>
      </c>
      <c r="Z29" s="332"/>
      <c r="AA29" s="331" t="s">
        <v>76</v>
      </c>
      <c r="AB29" s="332"/>
      <c r="AC29" s="4"/>
      <c r="AD29" s="37"/>
      <c r="AE29" s="4"/>
      <c r="AF29" s="4"/>
      <c r="AG29" s="4"/>
      <c r="AH29" s="4"/>
      <c r="AI29" s="41"/>
      <c r="AJ29" s="41"/>
      <c r="AK29" s="41"/>
      <c r="AL29" s="41"/>
      <c r="AM29" s="41"/>
      <c r="AN29" s="41"/>
      <c r="AO29" s="4"/>
    </row>
    <row r="30" spans="1:41" ht="19.5" customHeight="1">
      <c r="A30" s="384" t="s">
        <v>77</v>
      </c>
      <c r="B30" s="385"/>
      <c r="C30" s="385"/>
      <c r="D30" s="385"/>
      <c r="E30" s="385"/>
      <c r="F30" s="385"/>
      <c r="G30" s="385"/>
      <c r="H30" s="385"/>
      <c r="I30" s="234"/>
      <c r="J30" s="381" t="s">
        <v>17</v>
      </c>
      <c r="K30" s="382"/>
      <c r="L30" s="133"/>
      <c r="M30" s="47" t="s">
        <v>78</v>
      </c>
      <c r="N30" s="130" t="s">
        <v>79</v>
      </c>
      <c r="O30" s="130" t="s">
        <v>80</v>
      </c>
      <c r="P30" s="130" t="s">
        <v>81</v>
      </c>
      <c r="Q30" s="48" t="s">
        <v>82</v>
      </c>
      <c r="R30" s="48" t="s">
        <v>83</v>
      </c>
      <c r="S30" s="130"/>
      <c r="T30" s="278" t="s">
        <v>17</v>
      </c>
      <c r="U30" s="279"/>
      <c r="V30" s="4"/>
      <c r="W30" s="352">
        <f>(F91)</f>
        <v>12</v>
      </c>
      <c r="X30" s="279"/>
      <c r="Y30" s="354">
        <f>(F92)</f>
        <v>12</v>
      </c>
      <c r="Z30" s="279"/>
      <c r="AA30" s="352">
        <f>(F93)</f>
        <v>12</v>
      </c>
      <c r="AB30" s="279"/>
      <c r="AC30" s="4"/>
      <c r="AD30" s="37"/>
      <c r="AE30" s="49"/>
      <c r="AF30" s="49"/>
      <c r="AG30" s="49"/>
      <c r="AH30" s="49"/>
      <c r="AI30" s="12"/>
      <c r="AJ30" s="12"/>
      <c r="AK30" s="12"/>
      <c r="AL30" s="12"/>
      <c r="AM30" s="12"/>
      <c r="AN30" s="12"/>
      <c r="AO30" s="12"/>
    </row>
    <row r="31" spans="1:41" ht="15" customHeight="1" thickBot="1">
      <c r="A31" s="319" t="s">
        <v>593</v>
      </c>
      <c r="B31" s="349"/>
      <c r="C31" s="349"/>
      <c r="D31" s="349"/>
      <c r="E31" s="349"/>
      <c r="F31" s="349"/>
      <c r="G31" s="349"/>
      <c r="H31" s="349"/>
      <c r="I31" s="272"/>
      <c r="J31" s="280">
        <v>1</v>
      </c>
      <c r="K31" s="373"/>
      <c r="L31" s="133"/>
      <c r="M31" s="269" t="s">
        <v>611</v>
      </c>
      <c r="N31" s="270" t="s">
        <v>612</v>
      </c>
      <c r="O31" s="270" t="s">
        <v>613</v>
      </c>
      <c r="P31" s="270">
        <v>0</v>
      </c>
      <c r="Q31" s="270">
        <v>8</v>
      </c>
      <c r="R31" s="51">
        <f t="shared" ref="R31:R58" si="6">IF(O31="iq",$E$6,IF(O31="DX",$C$6,IF(O31="지각력",$E$10,IF(O31="의지력",$C$10,IF(O31="HT",$G$6,0)))))+P31+Q31</f>
        <v>20</v>
      </c>
      <c r="S31" s="133"/>
      <c r="T31" s="276">
        <f>IF(N31 = "쉬움", VLOOKUP(P31,'참조 테이블'!$F$1:$J$105,2,FALSE), IF(N31 = "보통", VLOOKUP(P31, '참조 테이블'!$F$1:$J$105, 3, FALSE), IF(N31 = "어려움", VLOOKUP(P31, '참조 테이블'!$F$1:$J$105, 4, FALSE), IF(N31 = "매우 어려움", VLOOKUP(P31, '참조 테이블'!$F$1:$J$105, 5, FALSE), IF(N31 = "종합기능", VLOOKUP(P31, '참조 테이블'!$F$1:$K$105, 6, FALSE), 0)))))</f>
        <v>24</v>
      </c>
      <c r="U31" s="277"/>
      <c r="V31" s="4"/>
      <c r="W31" s="316"/>
      <c r="X31" s="298"/>
      <c r="Y31" s="316"/>
      <c r="Z31" s="298"/>
      <c r="AA31" s="316"/>
      <c r="AB31" s="298"/>
      <c r="AC31" s="4"/>
      <c r="AD31" s="37"/>
      <c r="AE31" s="49"/>
      <c r="AF31" s="49"/>
      <c r="AG31" s="49"/>
      <c r="AH31" s="49"/>
      <c r="AI31" s="41"/>
      <c r="AJ31" s="41"/>
      <c r="AK31" s="41"/>
      <c r="AL31" s="41"/>
      <c r="AM31" s="41"/>
      <c r="AN31" s="41"/>
      <c r="AO31" s="41"/>
    </row>
    <row r="32" spans="1:41" ht="15" customHeight="1" thickBot="1">
      <c r="A32" s="317" t="s">
        <v>594</v>
      </c>
      <c r="B32" s="366"/>
      <c r="C32" s="366"/>
      <c r="D32" s="366"/>
      <c r="E32" s="366"/>
      <c r="F32" s="366"/>
      <c r="G32" s="366"/>
      <c r="H32" s="366"/>
      <c r="I32" s="272"/>
      <c r="J32" s="274">
        <v>1</v>
      </c>
      <c r="K32" s="365"/>
      <c r="L32" s="133"/>
      <c r="M32" s="273" t="s">
        <v>614</v>
      </c>
      <c r="N32" s="54" t="s">
        <v>615</v>
      </c>
      <c r="O32" s="271" t="s">
        <v>613</v>
      </c>
      <c r="P32" s="270">
        <v>5</v>
      </c>
      <c r="Q32" s="271">
        <v>4</v>
      </c>
      <c r="R32" s="51">
        <f t="shared" si="6"/>
        <v>21</v>
      </c>
      <c r="S32" s="133"/>
      <c r="T32" s="276">
        <f>IF(N32 = "쉬움", VLOOKUP(P32,'참조 테이블'!$F$1:$J$105,2,FALSE), IF(N32 = "보통", VLOOKUP(P32, '참조 테이블'!$F$1:$J$105, 3, FALSE), IF(N32 = "어려움", VLOOKUP(P32, '참조 테이블'!$F$1:$J$105, 4, FALSE), IF(N32 = "매우 어려움", VLOOKUP(P32, '참조 테이블'!$F$1:$J$105, 5, FALSE), IF(N32 = "종합기능", VLOOKUP(P32, '참조 테이블'!$F$1:$K$105, 6, FALSE), 0)))))</f>
        <v>16</v>
      </c>
      <c r="U32" s="277"/>
      <c r="V32" s="4"/>
      <c r="W32" s="362" t="s">
        <v>87</v>
      </c>
      <c r="X32" s="332"/>
      <c r="Y32" s="331" t="s">
        <v>88</v>
      </c>
      <c r="Z32" s="332"/>
      <c r="AA32" s="331" t="s">
        <v>89</v>
      </c>
      <c r="AB32" s="332"/>
      <c r="AC32" s="353" t="s">
        <v>90</v>
      </c>
      <c r="AD32" s="298"/>
      <c r="AE32" s="49"/>
      <c r="AF32" s="49"/>
      <c r="AG32" s="49"/>
      <c r="AH32" s="49"/>
      <c r="AI32" s="41"/>
      <c r="AJ32" s="41"/>
      <c r="AK32" s="41"/>
      <c r="AL32" s="41"/>
      <c r="AM32" s="41"/>
      <c r="AN32" s="41"/>
      <c r="AO32" s="41"/>
    </row>
    <row r="33" spans="1:41" ht="15" customHeight="1">
      <c r="A33" s="317" t="s">
        <v>595</v>
      </c>
      <c r="B33" s="366"/>
      <c r="C33" s="366"/>
      <c r="D33" s="366"/>
      <c r="E33" s="366"/>
      <c r="F33" s="366"/>
      <c r="G33" s="366"/>
      <c r="H33" s="366"/>
      <c r="I33" s="272"/>
      <c r="J33" s="274">
        <v>1</v>
      </c>
      <c r="K33" s="365"/>
      <c r="L33" s="133"/>
      <c r="M33" s="273" t="s">
        <v>616</v>
      </c>
      <c r="N33" s="54" t="s">
        <v>617</v>
      </c>
      <c r="O33" s="271" t="s">
        <v>618</v>
      </c>
      <c r="P33" s="270">
        <v>1</v>
      </c>
      <c r="Q33" s="271">
        <v>4</v>
      </c>
      <c r="R33" s="51">
        <f t="shared" si="6"/>
        <v>20</v>
      </c>
      <c r="S33" s="133"/>
      <c r="T33" s="276">
        <f>IF(N33 = "쉬움", VLOOKUP(P33,'참조 테이블'!$F$1:$J$105,2,FALSE), IF(N33 = "보통", VLOOKUP(P33, '참조 테이블'!$F$1:$J$105, 3, FALSE), IF(N33 = "어려움", VLOOKUP(P33, '참조 테이블'!$F$1:$J$105, 4, FALSE), IF(N33 = "매우 어려움", VLOOKUP(P33, '참조 테이블'!$F$1:$J$105, 5, FALSE), IF(N33 = "종합기능", VLOOKUP(P33, '참조 테이블'!$F$1:$K$105, 6, FALSE), 0)))))</f>
        <v>8</v>
      </c>
      <c r="U33" s="277"/>
      <c r="V33" s="4"/>
      <c r="W33" s="354">
        <f>(F94)</f>
        <v>12</v>
      </c>
      <c r="X33" s="279"/>
      <c r="Y33" s="352">
        <f>(F96)</f>
        <v>12</v>
      </c>
      <c r="Z33" s="279"/>
      <c r="AA33" s="354">
        <f>(F95)</f>
        <v>12</v>
      </c>
      <c r="AB33" s="279"/>
      <c r="AC33" s="352">
        <f>(F97)</f>
        <v>12</v>
      </c>
      <c r="AD33" s="279"/>
      <c r="AE33" s="49"/>
      <c r="AF33" s="49"/>
      <c r="AG33" s="49"/>
      <c r="AH33" s="49"/>
      <c r="AI33" s="49"/>
      <c r="AJ33" s="49"/>
      <c r="AK33" s="4"/>
      <c r="AL33" s="4"/>
      <c r="AM33" s="4"/>
      <c r="AN33" s="4"/>
      <c r="AO33" s="4"/>
    </row>
    <row r="34" spans="1:41" ht="15" customHeight="1" thickBot="1">
      <c r="A34" s="317" t="s">
        <v>596</v>
      </c>
      <c r="B34" s="366"/>
      <c r="C34" s="366"/>
      <c r="D34" s="366"/>
      <c r="E34" s="366"/>
      <c r="F34" s="366"/>
      <c r="G34" s="366"/>
      <c r="H34" s="366"/>
      <c r="I34" s="272"/>
      <c r="J34" s="274">
        <v>1</v>
      </c>
      <c r="K34" s="365"/>
      <c r="L34" s="133"/>
      <c r="M34" s="131"/>
      <c r="N34" s="54"/>
      <c r="O34" s="138"/>
      <c r="P34" s="50"/>
      <c r="Q34" s="138"/>
      <c r="R34" s="51">
        <f t="shared" si="6"/>
        <v>0</v>
      </c>
      <c r="S34" s="133"/>
      <c r="T34" s="276">
        <f>IF(N34 = "쉬움", VLOOKUP(P34,'참조 테이블'!$F$1:$J$105,2,FALSE), IF(N34 = "보통", VLOOKUP(P34, '참조 테이블'!$F$1:$J$105, 3, FALSE), IF(N34 = "어려움", VLOOKUP(P34, '참조 테이블'!$F$1:$J$105, 4, FALSE), IF(N34 = "매우 어려움", VLOOKUP(P34, '참조 테이블'!$F$1:$J$105, 5, FALSE), IF(N34 = "종합기능", VLOOKUP(P34, '참조 테이블'!$F$1:$K$105, 6, FALSE), 0)))))</f>
        <v>0</v>
      </c>
      <c r="U34" s="277"/>
      <c r="V34" s="4"/>
      <c r="W34" s="316"/>
      <c r="X34" s="298"/>
      <c r="Y34" s="316"/>
      <c r="Z34" s="298"/>
      <c r="AA34" s="316"/>
      <c r="AB34" s="298"/>
      <c r="AC34" s="316"/>
      <c r="AD34" s="298"/>
      <c r="AE34" s="49"/>
      <c r="AF34" s="49"/>
      <c r="AG34" s="49"/>
      <c r="AH34" s="49"/>
      <c r="AI34" s="49"/>
      <c r="AJ34" s="49"/>
      <c r="AK34" s="4"/>
      <c r="AL34" s="4"/>
      <c r="AM34" s="4"/>
      <c r="AN34" s="4"/>
      <c r="AO34" s="4"/>
    </row>
    <row r="35" spans="1:41" ht="15" customHeight="1" thickBot="1">
      <c r="A35" s="317" t="s">
        <v>597</v>
      </c>
      <c r="B35" s="366"/>
      <c r="C35" s="366"/>
      <c r="D35" s="366"/>
      <c r="E35" s="366"/>
      <c r="F35" s="366"/>
      <c r="G35" s="366"/>
      <c r="H35" s="366"/>
      <c r="I35" s="272"/>
      <c r="J35" s="274">
        <v>1</v>
      </c>
      <c r="K35" s="365"/>
      <c r="L35" s="133"/>
      <c r="M35" s="131"/>
      <c r="N35" s="54"/>
      <c r="O35" s="138"/>
      <c r="P35" s="50"/>
      <c r="Q35" s="138"/>
      <c r="R35" s="51">
        <f t="shared" si="6"/>
        <v>0</v>
      </c>
      <c r="S35" s="133"/>
      <c r="T35" s="276">
        <f>IF(N35 = "쉬움", VLOOKUP(P35,'참조 테이블'!$F$1:$J$105,2,FALSE), IF(N35 = "보통", VLOOKUP(P35, '참조 테이블'!$F$1:$J$105, 3, FALSE), IF(N35 = "어려움", VLOOKUP(P35, '참조 테이블'!$F$1:$J$105, 4, FALSE), IF(N35 = "매우 어려움", VLOOKUP(P35, '참조 테이블'!$F$1:$J$105, 5, FALSE), IF(N35 = "종합기능", VLOOKUP(P35, '참조 테이블'!$F$1:$K$105, 6, FALSE), 0)))))</f>
        <v>0</v>
      </c>
      <c r="U35" s="277"/>
      <c r="V35" s="4"/>
      <c r="W35" s="9" t="s">
        <v>91</v>
      </c>
      <c r="X35" s="52"/>
      <c r="Y35" s="52"/>
      <c r="Z35" s="53"/>
      <c r="AA35" s="53"/>
      <c r="AB35" s="53"/>
      <c r="AC35" s="4"/>
      <c r="AD35" s="4"/>
      <c r="AE35" s="49"/>
      <c r="AF35" s="49"/>
      <c r="AG35" s="49"/>
      <c r="AH35" s="49"/>
      <c r="AI35" s="49"/>
      <c r="AJ35" s="49"/>
      <c r="AK35" s="4"/>
      <c r="AL35" s="4"/>
      <c r="AM35" s="4"/>
      <c r="AN35" s="4"/>
      <c r="AO35" s="4"/>
    </row>
    <row r="36" spans="1:41" ht="15" customHeight="1">
      <c r="A36" s="317" t="s">
        <v>598</v>
      </c>
      <c r="B36" s="366"/>
      <c r="C36" s="366"/>
      <c r="D36" s="366"/>
      <c r="E36" s="366"/>
      <c r="F36" s="366"/>
      <c r="G36" s="366"/>
      <c r="H36" s="366"/>
      <c r="I36" s="272"/>
      <c r="J36" s="274">
        <v>1</v>
      </c>
      <c r="K36" s="365"/>
      <c r="L36" s="133"/>
      <c r="M36" s="131"/>
      <c r="N36" s="54"/>
      <c r="O36" s="138"/>
      <c r="P36" s="50"/>
      <c r="Q36" s="138"/>
      <c r="R36" s="51">
        <f t="shared" si="6"/>
        <v>0</v>
      </c>
      <c r="S36" s="133"/>
      <c r="T36" s="276">
        <f>IF(N36 = "쉬움", VLOOKUP(P36,'참조 테이블'!$F$1:$J$105,2,FALSE), IF(N36 = "보통", VLOOKUP(P36, '참조 테이블'!$F$1:$J$105, 3, FALSE), IF(N36 = "어려움", VLOOKUP(P36, '참조 테이블'!$F$1:$J$105, 4, FALSE), IF(N36 = "매우 어려움", VLOOKUP(P36, '참조 테이블'!$F$1:$J$105, 5, FALSE), IF(N36 = "종합기능", VLOOKUP(P36, '참조 테이블'!$F$1:$K$105, 6, FALSE), 0)))))</f>
        <v>0</v>
      </c>
      <c r="U36" s="277"/>
      <c r="V36" s="4"/>
      <c r="W36" s="357" t="s">
        <v>92</v>
      </c>
      <c r="X36" s="358"/>
      <c r="Y36" s="358"/>
      <c r="Z36" s="358"/>
      <c r="AA36" s="358"/>
      <c r="AB36" s="359"/>
      <c r="AC36" s="4"/>
      <c r="AD36" s="4"/>
      <c r="AE36" s="49"/>
      <c r="AF36" s="49"/>
      <c r="AG36" s="49"/>
      <c r="AH36" s="49"/>
      <c r="AI36" s="49"/>
      <c r="AJ36" s="49"/>
      <c r="AK36" s="4"/>
      <c r="AL36" s="4"/>
      <c r="AM36" s="4"/>
      <c r="AN36" s="4"/>
      <c r="AO36" s="4"/>
    </row>
    <row r="37" spans="1:41" ht="15" customHeight="1">
      <c r="A37" s="317" t="s">
        <v>599</v>
      </c>
      <c r="B37" s="366"/>
      <c r="C37" s="366"/>
      <c r="D37" s="366"/>
      <c r="E37" s="366"/>
      <c r="F37" s="366"/>
      <c r="G37" s="366"/>
      <c r="H37" s="366"/>
      <c r="I37" s="272"/>
      <c r="J37" s="274">
        <v>1</v>
      </c>
      <c r="K37" s="365"/>
      <c r="L37" s="133"/>
      <c r="M37" s="131"/>
      <c r="N37" s="54"/>
      <c r="O37" s="138"/>
      <c r="P37" s="50"/>
      <c r="Q37" s="138"/>
      <c r="R37" s="51">
        <f t="shared" si="6"/>
        <v>0</v>
      </c>
      <c r="S37" s="133"/>
      <c r="T37" s="276">
        <f>IF(N37 = "쉬움", VLOOKUP(P37,'참조 테이블'!$F$1:$J$105,2,FALSE), IF(N37 = "보통", VLOOKUP(P37, '참조 테이블'!$F$1:$J$105, 3, FALSE), IF(N37 = "어려움", VLOOKUP(P37, '참조 테이블'!$F$1:$J$105, 4, FALSE), IF(N37 = "매우 어려움", VLOOKUP(P37, '참조 테이블'!$F$1:$J$105, 5, FALSE), IF(N37 = "종합기능", VLOOKUP(P37, '참조 테이블'!$F$1:$K$105, 6, FALSE), 0)))))</f>
        <v>0</v>
      </c>
      <c r="U37" s="277"/>
      <c r="V37" s="4"/>
      <c r="W37" s="351" t="s">
        <v>93</v>
      </c>
      <c r="X37" s="329"/>
      <c r="Y37" s="355" t="s">
        <v>94</v>
      </c>
      <c r="Z37" s="329"/>
      <c r="AA37" s="329"/>
      <c r="AB37" s="292"/>
      <c r="AC37" s="4"/>
      <c r="AD37" s="4"/>
      <c r="AE37" s="49"/>
      <c r="AF37" s="49"/>
      <c r="AG37" s="49"/>
      <c r="AH37" s="49"/>
      <c r="AI37" s="49"/>
      <c r="AJ37" s="49"/>
      <c r="AK37" s="4"/>
      <c r="AL37" s="4"/>
      <c r="AM37" s="4"/>
      <c r="AN37" s="4"/>
      <c r="AO37" s="4"/>
    </row>
    <row r="38" spans="1:41" ht="15" customHeight="1" thickBot="1">
      <c r="A38" s="366" t="s">
        <v>600</v>
      </c>
      <c r="B38" s="366"/>
      <c r="C38" s="366"/>
      <c r="D38" s="366"/>
      <c r="E38" s="366"/>
      <c r="F38" s="366"/>
      <c r="G38" s="366"/>
      <c r="H38" s="366"/>
      <c r="I38" s="272"/>
      <c r="J38" s="274">
        <v>1</v>
      </c>
      <c r="K38" s="365"/>
      <c r="L38" s="133"/>
      <c r="M38" s="131"/>
      <c r="N38" s="54"/>
      <c r="O38" s="138"/>
      <c r="P38" s="50"/>
      <c r="Q38" s="138"/>
      <c r="R38" s="51">
        <f t="shared" si="6"/>
        <v>0</v>
      </c>
      <c r="S38" s="133"/>
      <c r="T38" s="276">
        <f>IF(N38 = "쉬움", VLOOKUP(P38,'참조 테이블'!$F$1:$J$105,2,FALSE), IF(N38 = "보통", VLOOKUP(P38, '참조 테이블'!$F$1:$J$105, 3, FALSE), IF(N38 = "어려움", VLOOKUP(P38, '참조 테이블'!$F$1:$J$105, 4, FALSE), IF(N38 = "매우 어려움", VLOOKUP(P38, '참조 테이블'!$F$1:$J$105, 5, FALSE), IF(N38 = "종합기능", VLOOKUP(P38, '참조 테이블'!$F$1:$K$105, 6, FALSE), 0)))))</f>
        <v>0</v>
      </c>
      <c r="U38" s="277"/>
      <c r="V38" s="4"/>
      <c r="W38" s="363">
        <v>2000</v>
      </c>
      <c r="X38" s="364"/>
      <c r="Y38" s="356">
        <f>(W38-U82-U83-U84-U85)</f>
        <v>2000</v>
      </c>
      <c r="Z38" s="334"/>
      <c r="AA38" s="334"/>
      <c r="AB38" s="283"/>
      <c r="AC38" s="4"/>
      <c r="AD38" s="4"/>
      <c r="AE38" s="49"/>
      <c r="AF38" s="49"/>
      <c r="AG38" s="49"/>
      <c r="AH38" s="49"/>
      <c r="AI38" s="49"/>
      <c r="AJ38" s="49"/>
      <c r="AK38" s="4"/>
      <c r="AL38" s="4"/>
      <c r="AM38" s="4"/>
      <c r="AN38" s="4"/>
      <c r="AO38" s="4"/>
    </row>
    <row r="39" spans="1:41" ht="15" customHeight="1" thickBot="1">
      <c r="A39" s="317" t="s">
        <v>601</v>
      </c>
      <c r="B39" s="366"/>
      <c r="C39" s="366"/>
      <c r="D39" s="366"/>
      <c r="E39" s="366"/>
      <c r="F39" s="366"/>
      <c r="G39" s="366"/>
      <c r="H39" s="366"/>
      <c r="I39" s="272"/>
      <c r="J39" s="274">
        <v>1</v>
      </c>
      <c r="K39" s="365"/>
      <c r="L39" s="133"/>
      <c r="M39" s="131"/>
      <c r="N39" s="54"/>
      <c r="O39" s="138"/>
      <c r="P39" s="50"/>
      <c r="Q39" s="138"/>
      <c r="R39" s="51">
        <f t="shared" si="6"/>
        <v>0</v>
      </c>
      <c r="S39" s="133"/>
      <c r="T39" s="276">
        <f>IF(N39 = "쉬움", VLOOKUP(P39,'참조 테이블'!$F$1:$J$105,2,FALSE), IF(N39 = "보통", VLOOKUP(P39, '참조 테이블'!$F$1:$J$105, 3, FALSE), IF(N39 = "어려움", VLOOKUP(P39, '참조 테이블'!$F$1:$J$105, 4, FALSE), IF(N39 = "매우 어려움", VLOOKUP(P39, '참조 테이블'!$F$1:$J$105, 5, FALSE), IF(N39 = "종합기능", VLOOKUP(P39, '참조 테이블'!$F$1:$K$105, 6, FALSE), 0)))))</f>
        <v>0</v>
      </c>
      <c r="U39" s="277"/>
      <c r="V39" s="4"/>
      <c r="W39" s="4"/>
      <c r="X39" s="4"/>
      <c r="Y39" s="4"/>
      <c r="Z39" s="4"/>
      <c r="AA39" s="4"/>
      <c r="AB39" s="4"/>
      <c r="AC39" s="4"/>
      <c r="AD39" s="4"/>
      <c r="AE39" s="49"/>
      <c r="AF39" s="49"/>
      <c r="AG39" s="49"/>
      <c r="AH39" s="49"/>
      <c r="AI39" s="49"/>
      <c r="AJ39" s="49"/>
      <c r="AK39" s="4"/>
      <c r="AL39" s="4"/>
      <c r="AM39" s="4"/>
      <c r="AN39" s="4"/>
      <c r="AO39" s="4"/>
    </row>
    <row r="40" spans="1:41" ht="15" customHeight="1">
      <c r="A40" s="317" t="s">
        <v>602</v>
      </c>
      <c r="B40" s="366"/>
      <c r="C40" s="366"/>
      <c r="D40" s="366"/>
      <c r="E40" s="366"/>
      <c r="F40" s="366"/>
      <c r="G40" s="366"/>
      <c r="H40" s="366"/>
      <c r="I40" s="272"/>
      <c r="J40" s="274">
        <v>1</v>
      </c>
      <c r="K40" s="365"/>
      <c r="L40" s="133"/>
      <c r="M40" s="131"/>
      <c r="N40" s="54"/>
      <c r="O40" s="138"/>
      <c r="P40" s="50"/>
      <c r="Q40" s="138"/>
      <c r="R40" s="51">
        <f t="shared" si="6"/>
        <v>0</v>
      </c>
      <c r="S40" s="133"/>
      <c r="T40" s="276">
        <f>IF(N40 = "쉬움", VLOOKUP(P40,'참조 테이블'!$F$1:$J$105,2,FALSE), IF(N40 = "보통", VLOOKUP(P40, '참조 테이블'!$F$1:$J$105, 3, FALSE), IF(N40 = "어려움", VLOOKUP(P40, '참조 테이블'!$F$1:$J$105, 4, FALSE), IF(N40 = "매우 어려움", VLOOKUP(P40, '참조 테이블'!$F$1:$J$105, 5, FALSE), IF(N40 = "종합기능", VLOOKUP(P40, '참조 테이블'!$F$1:$K$105, 6, FALSE), 0)))))</f>
        <v>0</v>
      </c>
      <c r="U40" s="277"/>
      <c r="V40" s="4"/>
      <c r="W40" s="196" t="s">
        <v>96</v>
      </c>
      <c r="X40" s="239" t="s">
        <v>79</v>
      </c>
      <c r="Y40" s="239" t="s">
        <v>80</v>
      </c>
      <c r="Z40" s="188" t="s">
        <v>97</v>
      </c>
      <c r="AA40" s="239" t="s">
        <v>81</v>
      </c>
      <c r="AB40" s="239" t="s">
        <v>264</v>
      </c>
      <c r="AC40" s="239" t="s">
        <v>98</v>
      </c>
      <c r="AD40" s="381" t="s">
        <v>17</v>
      </c>
      <c r="AE40" s="464"/>
      <c r="AF40" s="12"/>
      <c r="AG40" s="12"/>
      <c r="AH40" s="12"/>
      <c r="AI40" s="12"/>
      <c r="AJ40" s="12"/>
      <c r="AK40" s="4"/>
      <c r="AL40" s="4"/>
      <c r="AM40" s="4"/>
      <c r="AN40" s="4"/>
      <c r="AO40" s="4"/>
    </row>
    <row r="41" spans="1:41" ht="15" customHeight="1">
      <c r="A41" s="317" t="s">
        <v>621</v>
      </c>
      <c r="B41" s="366"/>
      <c r="C41" s="366"/>
      <c r="D41" s="366"/>
      <c r="E41" s="366"/>
      <c r="F41" s="366"/>
      <c r="G41" s="366"/>
      <c r="H41" s="366"/>
      <c r="I41" s="272"/>
      <c r="J41" s="274">
        <v>1</v>
      </c>
      <c r="K41" s="365"/>
      <c r="L41" s="133"/>
      <c r="M41" s="131"/>
      <c r="N41" s="54"/>
      <c r="O41" s="127"/>
      <c r="P41" s="138"/>
      <c r="Q41" s="138"/>
      <c r="R41" s="51">
        <f t="shared" si="6"/>
        <v>0</v>
      </c>
      <c r="S41" s="133"/>
      <c r="T41" s="276">
        <f>IF(N41 = "쉬움", VLOOKUP(P41,'참조 테이블'!$F$1:$J$105,2,FALSE), IF(N41 = "보통", VLOOKUP(P41, '참조 테이블'!$F$1:$J$105, 3, FALSE), IF(N41 = "어려움", VLOOKUP(P41, '참조 테이블'!$F$1:$J$105, 4, FALSE), IF(N41 = "매우 어려움", VLOOKUP(P41, '참조 테이블'!$F$1:$J$105, 5, FALSE), IF(N41 = "종합기능", VLOOKUP(P41, '참조 테이블'!$F$1:$K$105, 6, FALSE), 0)))))</f>
        <v>0</v>
      </c>
      <c r="U41" s="277"/>
      <c r="V41" s="4"/>
      <c r="W41" s="237"/>
      <c r="X41" s="149"/>
      <c r="Y41" s="230"/>
      <c r="Z41" s="230"/>
      <c r="AA41" s="230"/>
      <c r="AB41" s="230"/>
      <c r="AC41" s="230" t="e">
        <f>VLOOKUP(Y41,$M$31:$R$58,6,FALSE)+Z41+AA41+AB41</f>
        <v>#N/A</v>
      </c>
      <c r="AD41" s="276">
        <f>IF(X41="보통",AA41,IF(X41="어려움",IF(AA41=0,0,AA41+1),))</f>
        <v>0</v>
      </c>
      <c r="AE41" s="465"/>
      <c r="AF41" s="12"/>
      <c r="AG41" s="12"/>
      <c r="AH41" s="12"/>
      <c r="AI41" s="12"/>
      <c r="AJ41" s="12"/>
      <c r="AK41" s="4"/>
      <c r="AL41" s="4"/>
      <c r="AM41" s="4"/>
      <c r="AN41" s="4"/>
      <c r="AO41" s="4"/>
    </row>
    <row r="42" spans="1:41" ht="15" customHeight="1">
      <c r="A42" s="317" t="s">
        <v>603</v>
      </c>
      <c r="B42" s="366"/>
      <c r="C42" s="366"/>
      <c r="D42" s="366"/>
      <c r="E42" s="366"/>
      <c r="F42" s="366"/>
      <c r="G42" s="366"/>
      <c r="H42" s="366"/>
      <c r="I42" s="272"/>
      <c r="J42" s="274">
        <v>30</v>
      </c>
      <c r="K42" s="365"/>
      <c r="L42" s="133"/>
      <c r="M42" s="131"/>
      <c r="N42" s="54"/>
      <c r="O42" s="138"/>
      <c r="P42" s="50"/>
      <c r="Q42" s="138"/>
      <c r="R42" s="51">
        <f t="shared" si="6"/>
        <v>0</v>
      </c>
      <c r="S42" s="133"/>
      <c r="T42" s="276">
        <f>IF(N42 = "쉬움", VLOOKUP(P42,'참조 테이블'!$F$1:$J$105,2,FALSE), IF(N42 = "보통", VLOOKUP(P42, '참조 테이블'!$F$1:$J$105, 3, FALSE), IF(N42 = "어려움", VLOOKUP(P42, '참조 테이블'!$F$1:$J$105, 4, FALSE), IF(N42 = "매우 어려움", VLOOKUP(P42, '참조 테이블'!$F$1:$J$105, 5, FALSE), IF(N42 = "종합기능", VLOOKUP(P42, '참조 테이블'!$F$1:$K$105, 6, FALSE), 0)))))</f>
        <v>0</v>
      </c>
      <c r="U42" s="277"/>
      <c r="V42" s="4"/>
      <c r="W42" s="237"/>
      <c r="X42" s="149"/>
      <c r="Y42" s="230"/>
      <c r="Z42" s="230"/>
      <c r="AA42" s="230"/>
      <c r="AB42" s="230"/>
      <c r="AC42" s="230" t="e">
        <f t="shared" ref="AC42:AC47" si="7">VLOOKUP(Y42,$M$31:$R$58,6,FALSE)+Z42+AA42+AB42</f>
        <v>#N/A</v>
      </c>
      <c r="AD42" s="406">
        <f t="shared" ref="AD42:AD47" si="8">IF(Y42="보통",AB42,IF(Y42="어려움",IF(AB42=0,0,AB42+1),))</f>
        <v>0</v>
      </c>
      <c r="AE42" s="407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spans="1:41" ht="15" customHeight="1">
      <c r="A43" s="367" t="s">
        <v>560</v>
      </c>
      <c r="B43" s="368"/>
      <c r="C43" s="368"/>
      <c r="D43" s="368"/>
      <c r="E43" s="368"/>
      <c r="F43" s="368"/>
      <c r="G43" s="368"/>
      <c r="H43" s="368"/>
      <c r="I43" s="232"/>
      <c r="J43" s="306">
        <f>SUM(AF50:AG58)</f>
        <v>0</v>
      </c>
      <c r="K43" s="441"/>
      <c r="L43" s="133"/>
      <c r="M43" s="131"/>
      <c r="N43" s="54"/>
      <c r="O43" s="138"/>
      <c r="P43" s="50"/>
      <c r="Q43" s="138"/>
      <c r="R43" s="51">
        <f t="shared" si="6"/>
        <v>0</v>
      </c>
      <c r="S43" s="133"/>
      <c r="T43" s="276">
        <f>IF(N43 = "쉬움", VLOOKUP(P43,'참조 테이블'!$F$1:$J$105,2,FALSE), IF(N43 = "보통", VLOOKUP(P43, '참조 테이블'!$F$1:$J$105, 3, FALSE), IF(N43 = "어려움", VLOOKUP(P43, '참조 테이블'!$F$1:$J$105, 4, FALSE), IF(N43 = "매우 어려움", VLOOKUP(P43, '참조 테이블'!$F$1:$J$105, 5, FALSE), IF(N43 = "종합기능", VLOOKUP(P43, '참조 테이블'!$F$1:$K$105, 6, FALSE), 0)))))</f>
        <v>0</v>
      </c>
      <c r="U43" s="277"/>
      <c r="V43" s="4"/>
      <c r="W43" s="237"/>
      <c r="X43" s="149"/>
      <c r="Y43" s="230"/>
      <c r="Z43" s="230"/>
      <c r="AA43" s="230"/>
      <c r="AB43" s="230"/>
      <c r="AC43" s="230" t="e">
        <f t="shared" si="7"/>
        <v>#N/A</v>
      </c>
      <c r="AD43" s="406">
        <f t="shared" si="8"/>
        <v>0</v>
      </c>
      <c r="AE43" s="407"/>
      <c r="AF43" s="4"/>
      <c r="AG43" s="4"/>
      <c r="AH43" s="4"/>
      <c r="AI43" s="4"/>
      <c r="AJ43" s="4"/>
      <c r="AK43" s="4"/>
      <c r="AL43" s="4"/>
      <c r="AM43" s="4"/>
      <c r="AN43" s="4"/>
      <c r="AO43" s="4"/>
    </row>
    <row r="44" spans="1:41" ht="15" customHeight="1">
      <c r="A44" s="404" t="s">
        <v>95</v>
      </c>
      <c r="B44" s="329"/>
      <c r="C44" s="329"/>
      <c r="D44" s="329"/>
      <c r="E44" s="329"/>
      <c r="F44" s="329"/>
      <c r="G44" s="329"/>
      <c r="H44" s="329"/>
      <c r="I44" s="233"/>
      <c r="J44" s="402" t="s">
        <v>17</v>
      </c>
      <c r="K44" s="403"/>
      <c r="L44" s="133"/>
      <c r="M44" s="131"/>
      <c r="N44" s="54"/>
      <c r="O44" s="138"/>
      <c r="P44" s="50"/>
      <c r="Q44" s="138"/>
      <c r="R44" s="51">
        <f t="shared" si="6"/>
        <v>0</v>
      </c>
      <c r="S44" s="133"/>
      <c r="T44" s="276">
        <f>IF(N44 = "쉬움", VLOOKUP(P44,'참조 테이블'!$F$1:$J$105,2,FALSE), IF(N44 = "보통", VLOOKUP(P44, '참조 테이블'!$F$1:$J$105, 3, FALSE), IF(N44 = "어려움", VLOOKUP(P44, '참조 테이블'!$F$1:$J$105, 4, FALSE), IF(N44 = "매우 어려움", VLOOKUP(P44, '참조 테이블'!$F$1:$J$105, 5, FALSE), IF(N44 = "종합기능", VLOOKUP(P44, '참조 테이블'!$F$1:$K$105, 6, FALSE), 0)))))</f>
        <v>0</v>
      </c>
      <c r="U44" s="277"/>
      <c r="V44" s="4"/>
      <c r="W44" s="197"/>
      <c r="X44" s="149"/>
      <c r="Y44" s="193"/>
      <c r="Z44" s="193"/>
      <c r="AA44" s="193"/>
      <c r="AB44" s="193"/>
      <c r="AC44" s="193" t="e">
        <f t="shared" si="7"/>
        <v>#N/A</v>
      </c>
      <c r="AD44" s="406">
        <f t="shared" si="8"/>
        <v>0</v>
      </c>
      <c r="AE44" s="407"/>
      <c r="AF44" s="4"/>
      <c r="AG44" s="4"/>
      <c r="AH44" s="4"/>
      <c r="AI44" s="4"/>
      <c r="AJ44" s="4"/>
      <c r="AK44" s="4"/>
      <c r="AL44" s="4"/>
      <c r="AM44" s="4"/>
      <c r="AN44" s="4"/>
      <c r="AO44" s="4"/>
    </row>
    <row r="45" spans="1:41" ht="15" customHeight="1">
      <c r="A45" s="405" t="s">
        <v>604</v>
      </c>
      <c r="B45" s="368"/>
      <c r="C45" s="368"/>
      <c r="D45" s="368"/>
      <c r="E45" s="368"/>
      <c r="F45" s="368"/>
      <c r="G45" s="368"/>
      <c r="H45" s="368"/>
      <c r="I45" s="272"/>
      <c r="J45" s="306">
        <v>1</v>
      </c>
      <c r="K45" s="289"/>
      <c r="L45" s="133"/>
      <c r="M45" s="131"/>
      <c r="N45" s="54"/>
      <c r="O45" s="138"/>
      <c r="P45" s="50"/>
      <c r="Q45" s="138"/>
      <c r="R45" s="51">
        <f t="shared" si="6"/>
        <v>0</v>
      </c>
      <c r="S45" s="133"/>
      <c r="T45" s="276">
        <f>IF(N45 = "쉬움", VLOOKUP(P45,'참조 테이블'!$F$1:$J$105,2,FALSE), IF(N45 = "보통", VLOOKUP(P45, '참조 테이블'!$F$1:$J$105, 3, FALSE), IF(N45 = "어려움", VLOOKUP(P45, '참조 테이블'!$F$1:$J$105, 4, FALSE), IF(N45 = "매우 어려움", VLOOKUP(P45, '참조 테이블'!$F$1:$J$105, 5, FALSE), IF(N45 = "종합기능", VLOOKUP(P45, '참조 테이블'!$F$1:$K$105, 6, FALSE), 0)))))</f>
        <v>0</v>
      </c>
      <c r="U45" s="277"/>
      <c r="V45" s="4"/>
      <c r="W45" s="197"/>
      <c r="X45" s="149"/>
      <c r="Y45" s="193"/>
      <c r="Z45" s="193"/>
      <c r="AA45" s="193"/>
      <c r="AB45" s="193"/>
      <c r="AC45" s="193" t="e">
        <f t="shared" si="7"/>
        <v>#N/A</v>
      </c>
      <c r="AD45" s="406">
        <f t="shared" si="8"/>
        <v>0</v>
      </c>
      <c r="AE45" s="407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spans="1:41" ht="15" customHeight="1">
      <c r="A46" s="319" t="s">
        <v>605</v>
      </c>
      <c r="B46" s="320"/>
      <c r="C46" s="320"/>
      <c r="D46" s="320"/>
      <c r="E46" s="320"/>
      <c r="F46" s="320"/>
      <c r="G46" s="320"/>
      <c r="H46" s="320"/>
      <c r="I46" s="272"/>
      <c r="J46" s="280">
        <v>1</v>
      </c>
      <c r="K46" s="281"/>
      <c r="L46" s="133"/>
      <c r="M46" s="131"/>
      <c r="N46" s="54"/>
      <c r="O46" s="138"/>
      <c r="P46" s="50"/>
      <c r="Q46" s="138"/>
      <c r="R46" s="51">
        <f t="shared" si="6"/>
        <v>0</v>
      </c>
      <c r="S46" s="133"/>
      <c r="T46" s="276">
        <f>IF(N46 = "쉬움", VLOOKUP(P46,'참조 테이블'!$F$1:$J$105,2,FALSE), IF(N46 = "보통", VLOOKUP(P46, '참조 테이블'!$F$1:$J$105, 3, FALSE), IF(N46 = "어려움", VLOOKUP(P46, '참조 테이블'!$F$1:$J$105, 4, FALSE), IF(N46 = "매우 어려움", VLOOKUP(P46, '참조 테이블'!$F$1:$J$105, 5, FALSE), IF(N46 = "종합기능", VLOOKUP(P46, '참조 테이블'!$F$1:$K$105, 6, FALSE), 0)))))</f>
        <v>0</v>
      </c>
      <c r="U46" s="277"/>
      <c r="V46" s="4"/>
      <c r="W46" s="197"/>
      <c r="X46" s="149"/>
      <c r="Y46" s="193"/>
      <c r="Z46" s="193"/>
      <c r="AA46" s="193"/>
      <c r="AB46" s="193"/>
      <c r="AC46" s="193" t="e">
        <f t="shared" si="7"/>
        <v>#N/A</v>
      </c>
      <c r="AD46" s="406">
        <f t="shared" si="8"/>
        <v>0</v>
      </c>
      <c r="AE46" s="407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spans="1:41" ht="15" customHeight="1" thickBot="1">
      <c r="A47" s="317" t="s">
        <v>607</v>
      </c>
      <c r="B47" s="318"/>
      <c r="C47" s="318"/>
      <c r="D47" s="318"/>
      <c r="E47" s="318"/>
      <c r="F47" s="318"/>
      <c r="G47" s="318"/>
      <c r="H47" s="318"/>
      <c r="I47" s="272"/>
      <c r="J47" s="280">
        <v>1</v>
      </c>
      <c r="K47" s="281"/>
      <c r="L47" s="133"/>
      <c r="M47" s="131"/>
      <c r="N47" s="54"/>
      <c r="O47" s="138"/>
      <c r="P47" s="50"/>
      <c r="Q47" s="138"/>
      <c r="R47" s="51">
        <f t="shared" si="6"/>
        <v>0</v>
      </c>
      <c r="S47" s="133"/>
      <c r="T47" s="276">
        <f>IF(N47 = "쉬움", VLOOKUP(P47,'참조 테이블'!$F$1:$J$105,2,FALSE), IF(N47 = "보통", VLOOKUP(P47, '참조 테이블'!$F$1:$J$105, 3, FALSE), IF(N47 = "어려움", VLOOKUP(P47, '참조 테이블'!$F$1:$J$105, 4, FALSE), IF(N47 = "매우 어려움", VLOOKUP(P47, '참조 테이블'!$F$1:$J$105, 5, FALSE), IF(N47 = "종합기능", VLOOKUP(P47, '참조 테이블'!$F$1:$K$105, 6, FALSE), 0)))))</f>
        <v>0</v>
      </c>
      <c r="U47" s="277"/>
      <c r="V47" s="4"/>
      <c r="W47" s="198"/>
      <c r="X47" s="155"/>
      <c r="Y47" s="190"/>
      <c r="Z47" s="190"/>
      <c r="AA47" s="190"/>
      <c r="AB47" s="190"/>
      <c r="AC47" s="194" t="e">
        <f t="shared" si="7"/>
        <v>#N/A</v>
      </c>
      <c r="AD47" s="408">
        <f t="shared" si="8"/>
        <v>0</v>
      </c>
      <c r="AE47" s="409"/>
      <c r="AF47" s="55"/>
      <c r="AG47" s="4"/>
      <c r="AH47" s="4"/>
      <c r="AI47" s="4"/>
      <c r="AJ47" s="4"/>
      <c r="AK47" s="4"/>
      <c r="AL47" s="4"/>
      <c r="AM47" s="4"/>
      <c r="AN47" s="4"/>
      <c r="AO47" s="4"/>
    </row>
    <row r="48" spans="1:41" ht="15" customHeight="1" thickBot="1">
      <c r="A48" s="317" t="s">
        <v>608</v>
      </c>
      <c r="B48" s="318"/>
      <c r="C48" s="318"/>
      <c r="D48" s="318"/>
      <c r="E48" s="318"/>
      <c r="F48" s="318"/>
      <c r="G48" s="318"/>
      <c r="H48" s="318"/>
      <c r="I48" s="272"/>
      <c r="J48" s="280">
        <v>1</v>
      </c>
      <c r="K48" s="281"/>
      <c r="L48" s="133"/>
      <c r="M48" s="131"/>
      <c r="N48" s="54"/>
      <c r="O48" s="138"/>
      <c r="P48" s="50"/>
      <c r="Q48" s="138"/>
      <c r="R48" s="51">
        <f t="shared" si="6"/>
        <v>0</v>
      </c>
      <c r="S48" s="133"/>
      <c r="T48" s="276">
        <f>IF(N48 = "쉬움", VLOOKUP(P48,'참조 테이블'!$F$1:$J$105,2,FALSE), IF(N48 = "보통", VLOOKUP(P48, '참조 테이블'!$F$1:$J$105, 3, FALSE), IF(N48 = "어려움", VLOOKUP(P48, '참조 테이블'!$F$1:$J$105, 4, FALSE), IF(N48 = "매우 어려움", VLOOKUP(P48, '참조 테이블'!$F$1:$J$105, 5, FALSE), IF(N48 = "종합기능", VLOOKUP(P48, '참조 테이블'!$F$1:$K$105, 6, FALSE), 0)))))</f>
        <v>0</v>
      </c>
      <c r="U48" s="277"/>
      <c r="V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spans="1:41" ht="15" customHeight="1">
      <c r="A49" s="317" t="s">
        <v>609</v>
      </c>
      <c r="B49" s="318"/>
      <c r="C49" s="318"/>
      <c r="D49" s="318"/>
      <c r="E49" s="318"/>
      <c r="F49" s="318"/>
      <c r="G49" s="318"/>
      <c r="H49" s="318"/>
      <c r="I49" s="272"/>
      <c r="J49" s="280">
        <v>1</v>
      </c>
      <c r="K49" s="281"/>
      <c r="L49" s="133"/>
      <c r="M49" s="131"/>
      <c r="N49" s="54"/>
      <c r="O49" s="138"/>
      <c r="P49" s="50"/>
      <c r="Q49" s="138"/>
      <c r="R49" s="51">
        <f t="shared" si="6"/>
        <v>0</v>
      </c>
      <c r="S49" s="133"/>
      <c r="T49" s="276">
        <f>IF(N49 = "쉬움", VLOOKUP(P49,'참조 테이블'!$F$1:$J$105,2,FALSE), IF(N49 = "보통", VLOOKUP(P49, '참조 테이블'!$F$1:$J$105, 3, FALSE), IF(N49 = "어려움", VLOOKUP(P49, '참조 테이블'!$F$1:$J$105, 4, FALSE), IF(N49 = "매우 어려움", VLOOKUP(P49, '참조 테이블'!$F$1:$J$105, 5, FALSE), IF(N49 = "종합기능", VLOOKUP(P49, '참조 테이블'!$F$1:$K$105, 6, FALSE), 0)))))</f>
        <v>0</v>
      </c>
      <c r="U49" s="277"/>
      <c r="V49" s="4"/>
      <c r="W49" s="384" t="str">
        <f>A43</f>
        <v>집합특성</v>
      </c>
      <c r="X49" s="385"/>
      <c r="Y49" s="385"/>
      <c r="Z49" s="385"/>
      <c r="AA49" s="385"/>
      <c r="AB49" s="385"/>
      <c r="AC49" s="385"/>
      <c r="AD49" s="385"/>
      <c r="AE49" s="234"/>
      <c r="AF49" s="381" t="s">
        <v>17</v>
      </c>
      <c r="AG49" s="382"/>
      <c r="AH49" s="4"/>
      <c r="AI49" s="4"/>
      <c r="AJ49" s="4"/>
      <c r="AK49" s="4"/>
      <c r="AL49" s="4"/>
      <c r="AM49" s="4"/>
      <c r="AN49" s="4"/>
      <c r="AO49" s="4"/>
    </row>
    <row r="50" spans="1:41" ht="15" customHeight="1">
      <c r="A50" s="317" t="s">
        <v>610</v>
      </c>
      <c r="B50" s="318"/>
      <c r="C50" s="318"/>
      <c r="D50" s="318"/>
      <c r="E50" s="318"/>
      <c r="F50" s="318"/>
      <c r="G50" s="318"/>
      <c r="H50" s="318"/>
      <c r="I50" s="272"/>
      <c r="J50" s="280">
        <v>1</v>
      </c>
      <c r="K50" s="281"/>
      <c r="L50" s="133"/>
      <c r="M50" s="131"/>
      <c r="N50" s="54"/>
      <c r="O50" s="138"/>
      <c r="P50" s="50"/>
      <c r="Q50" s="138"/>
      <c r="R50" s="51">
        <f t="shared" si="6"/>
        <v>0</v>
      </c>
      <c r="S50" s="133"/>
      <c r="T50" s="276">
        <f>IF(N50 = "쉬움", VLOOKUP(P50,'참조 테이블'!$F$1:$J$105,2,FALSE), IF(N50 = "보통", VLOOKUP(P50, '참조 테이블'!$F$1:$J$105, 3, FALSE), IF(N50 = "어려움", VLOOKUP(P50, '참조 테이블'!$F$1:$J$105, 4, FALSE), IF(N50 = "매우 어려움", VLOOKUP(P50, '참조 테이블'!$F$1:$J$105, 5, FALSE), IF(N50 = "종합기능", VLOOKUP(P50, '참조 테이블'!$F$1:$K$105, 6, FALSE), 0)))))</f>
        <v>0</v>
      </c>
      <c r="U50" s="277"/>
      <c r="V50" s="4"/>
      <c r="W50" s="466"/>
      <c r="X50" s="320"/>
      <c r="Y50" s="320"/>
      <c r="Z50" s="320"/>
      <c r="AA50" s="320"/>
      <c r="AB50" s="320"/>
      <c r="AC50" s="320"/>
      <c r="AD50" s="320"/>
      <c r="AE50" s="232"/>
      <c r="AF50" s="280"/>
      <c r="AG50" s="427"/>
      <c r="AH50" s="4"/>
      <c r="AI50" s="4"/>
      <c r="AJ50" s="4"/>
      <c r="AK50" s="4"/>
      <c r="AL50" s="4"/>
      <c r="AM50" s="4"/>
      <c r="AN50" s="4"/>
      <c r="AO50" s="4"/>
    </row>
    <row r="51" spans="1:41" ht="15" customHeight="1">
      <c r="A51" s="317" t="s">
        <v>628</v>
      </c>
      <c r="B51" s="318"/>
      <c r="C51" s="318"/>
      <c r="D51" s="318"/>
      <c r="E51" s="318"/>
      <c r="F51" s="318"/>
      <c r="G51" s="318"/>
      <c r="H51" s="318"/>
      <c r="I51" s="272"/>
      <c r="J51" s="280">
        <v>1</v>
      </c>
      <c r="K51" s="281"/>
      <c r="L51" s="133"/>
      <c r="M51" s="131"/>
      <c r="N51" s="54"/>
      <c r="O51" s="138"/>
      <c r="P51" s="50"/>
      <c r="Q51" s="138"/>
      <c r="R51" s="51">
        <f t="shared" si="6"/>
        <v>0</v>
      </c>
      <c r="S51" s="133"/>
      <c r="T51" s="276">
        <f>IF(N51 = "쉬움", VLOOKUP(P51,'참조 테이블'!$F$1:$J$105,2,FALSE), IF(N51 = "보통", VLOOKUP(P51, '참조 테이블'!$F$1:$J$105, 3, FALSE), IF(N51 = "어려움", VLOOKUP(P51, '참조 테이블'!$F$1:$J$105, 4, FALSE), IF(N51 = "매우 어려움", VLOOKUP(P51, '참조 테이블'!$F$1:$J$105, 5, FALSE), IF(N51 = "종합기능", VLOOKUP(P51, '참조 테이블'!$F$1:$K$105, 6, FALSE), 0)))))</f>
        <v>0</v>
      </c>
      <c r="U51" s="277"/>
      <c r="V51" s="4"/>
      <c r="W51" s="415"/>
      <c r="X51" s="318"/>
      <c r="Y51" s="318"/>
      <c r="Z51" s="318"/>
      <c r="AA51" s="318"/>
      <c r="AB51" s="318"/>
      <c r="AC51" s="318"/>
      <c r="AD51" s="318"/>
      <c r="AE51" s="232"/>
      <c r="AF51" s="280"/>
      <c r="AG51" s="427"/>
      <c r="AH51" s="4"/>
      <c r="AI51" s="4"/>
      <c r="AJ51" s="4"/>
      <c r="AK51" s="4"/>
      <c r="AL51" s="4"/>
      <c r="AM51" s="4"/>
      <c r="AN51" s="4"/>
      <c r="AO51" s="4"/>
    </row>
    <row r="52" spans="1:41" ht="15" customHeight="1">
      <c r="A52" s="415"/>
      <c r="B52" s="318"/>
      <c r="C52" s="318"/>
      <c r="D52" s="318"/>
      <c r="E52" s="318"/>
      <c r="F52" s="318"/>
      <c r="G52" s="318"/>
      <c r="H52" s="318"/>
      <c r="I52" s="232"/>
      <c r="J52" s="280"/>
      <c r="K52" s="427"/>
      <c r="L52" s="133"/>
      <c r="M52" s="131"/>
      <c r="N52" s="54"/>
      <c r="O52" s="138"/>
      <c r="P52" s="50"/>
      <c r="Q52" s="138"/>
      <c r="R52" s="51">
        <f t="shared" si="6"/>
        <v>0</v>
      </c>
      <c r="S52" s="133"/>
      <c r="T52" s="276">
        <f>IF(N52 = "쉬움", VLOOKUP(P52,'참조 테이블'!$F$1:$J$105,2,FALSE), IF(N52 = "보통", VLOOKUP(P52, '참조 테이블'!$F$1:$J$105, 3, FALSE), IF(N52 = "어려움", VLOOKUP(P52, '참조 테이블'!$F$1:$J$105, 4, FALSE), IF(N52 = "매우 어려움", VLOOKUP(P52, '참조 테이블'!$F$1:$J$105, 5, FALSE), IF(N52 = "종합기능", VLOOKUP(P52, '참조 테이블'!$F$1:$K$105, 6, FALSE), 0)))))</f>
        <v>0</v>
      </c>
      <c r="U52" s="277"/>
      <c r="V52" s="4"/>
      <c r="W52" s="415"/>
      <c r="X52" s="318"/>
      <c r="Y52" s="318"/>
      <c r="Z52" s="318"/>
      <c r="AA52" s="318"/>
      <c r="AB52" s="318"/>
      <c r="AC52" s="318"/>
      <c r="AD52" s="318"/>
      <c r="AE52" s="232"/>
      <c r="AF52" s="280"/>
      <c r="AG52" s="427"/>
      <c r="AH52" s="4"/>
      <c r="AI52" s="4"/>
      <c r="AJ52" s="4"/>
      <c r="AK52" s="4"/>
      <c r="AL52" s="4"/>
      <c r="AM52" s="4"/>
      <c r="AN52" s="4"/>
      <c r="AO52" s="4"/>
    </row>
    <row r="53" spans="1:41" ht="15" customHeight="1">
      <c r="A53" s="415"/>
      <c r="B53" s="318"/>
      <c r="C53" s="318"/>
      <c r="D53" s="318"/>
      <c r="E53" s="318"/>
      <c r="F53" s="318"/>
      <c r="G53" s="318"/>
      <c r="H53" s="318"/>
      <c r="I53" s="232"/>
      <c r="J53" s="280"/>
      <c r="K53" s="427"/>
      <c r="L53" s="133"/>
      <c r="M53" s="131"/>
      <c r="N53" s="54"/>
      <c r="O53" s="138"/>
      <c r="P53" s="50"/>
      <c r="Q53" s="138"/>
      <c r="R53" s="51">
        <f t="shared" si="6"/>
        <v>0</v>
      </c>
      <c r="S53" s="133"/>
      <c r="T53" s="276">
        <f>IF(N53 = "쉬움", VLOOKUP(P53,'참조 테이블'!$F$1:$J$105,2,FALSE), IF(N53 = "보통", VLOOKUP(P53, '참조 테이블'!$F$1:$J$105, 3, FALSE), IF(N53 = "어려움", VLOOKUP(P53, '참조 테이블'!$F$1:$J$105, 4, FALSE), IF(N53 = "매우 어려움", VLOOKUP(P53, '참조 테이블'!$F$1:$J$105, 5, FALSE), IF(N53 = "종합기능", VLOOKUP(P53, '참조 테이블'!$F$1:$K$105, 6, FALSE), 0)))))</f>
        <v>0</v>
      </c>
      <c r="U53" s="277"/>
      <c r="V53" s="4"/>
      <c r="W53" s="415"/>
      <c r="X53" s="318"/>
      <c r="Y53" s="318"/>
      <c r="Z53" s="318"/>
      <c r="AA53" s="318"/>
      <c r="AB53" s="318"/>
      <c r="AC53" s="318"/>
      <c r="AD53" s="318"/>
      <c r="AE53" s="232"/>
      <c r="AF53" s="280"/>
      <c r="AG53" s="427"/>
      <c r="AH53" s="4"/>
      <c r="AI53" s="4"/>
      <c r="AJ53" s="4"/>
      <c r="AK53" s="4"/>
      <c r="AL53" s="4"/>
      <c r="AM53" s="4"/>
      <c r="AN53" s="4"/>
      <c r="AO53" s="4"/>
    </row>
    <row r="54" spans="1:41" ht="15" customHeight="1">
      <c r="A54" s="415"/>
      <c r="B54" s="318"/>
      <c r="C54" s="318"/>
      <c r="D54" s="318"/>
      <c r="E54" s="318"/>
      <c r="F54" s="318"/>
      <c r="G54" s="318"/>
      <c r="H54" s="318"/>
      <c r="I54" s="232"/>
      <c r="J54" s="280"/>
      <c r="K54" s="427"/>
      <c r="L54" s="133"/>
      <c r="M54" s="131"/>
      <c r="N54" s="54"/>
      <c r="O54" s="138"/>
      <c r="P54" s="50"/>
      <c r="Q54" s="138"/>
      <c r="R54" s="51">
        <f t="shared" si="6"/>
        <v>0</v>
      </c>
      <c r="S54" s="133"/>
      <c r="T54" s="276">
        <f>IF(N54 = "쉬움", VLOOKUP(P54,'참조 테이블'!$F$1:$J$105,2,FALSE), IF(N54 = "보통", VLOOKUP(P54, '참조 테이블'!$F$1:$J$105, 3, FALSE), IF(N54 = "어려움", VLOOKUP(P54, '참조 테이블'!$F$1:$J$105, 4, FALSE), IF(N54 = "매우 어려움", VLOOKUP(P54, '참조 테이블'!$F$1:$J$105, 5, FALSE), IF(N54 = "종합기능", VLOOKUP(P54, '참조 테이블'!$F$1:$K$105, 6, FALSE), 0)))))</f>
        <v>0</v>
      </c>
      <c r="U54" s="277"/>
      <c r="V54" s="4"/>
      <c r="W54" s="415"/>
      <c r="X54" s="318"/>
      <c r="Y54" s="318"/>
      <c r="Z54" s="318"/>
      <c r="AA54" s="318"/>
      <c r="AB54" s="318"/>
      <c r="AC54" s="318"/>
      <c r="AD54" s="318"/>
      <c r="AE54" s="232"/>
      <c r="AF54" s="280"/>
      <c r="AG54" s="427"/>
      <c r="AH54" s="4"/>
      <c r="AI54" s="4"/>
      <c r="AJ54" s="4"/>
      <c r="AK54" s="4"/>
      <c r="AL54" s="4"/>
      <c r="AM54" s="4"/>
      <c r="AN54" s="4"/>
      <c r="AO54" s="4"/>
    </row>
    <row r="55" spans="1:41" ht="15" customHeight="1">
      <c r="A55" s="415"/>
      <c r="B55" s="318"/>
      <c r="C55" s="318"/>
      <c r="D55" s="318"/>
      <c r="E55" s="318"/>
      <c r="F55" s="318"/>
      <c r="G55" s="318"/>
      <c r="H55" s="318"/>
      <c r="I55" s="232"/>
      <c r="J55" s="280"/>
      <c r="K55" s="427"/>
      <c r="L55" s="133"/>
      <c r="M55" s="131"/>
      <c r="N55" s="54"/>
      <c r="O55" s="138"/>
      <c r="P55" s="50"/>
      <c r="Q55" s="138"/>
      <c r="R55" s="51">
        <f t="shared" si="6"/>
        <v>0</v>
      </c>
      <c r="S55" s="133"/>
      <c r="T55" s="276">
        <f>IF(N55 = "쉬움", VLOOKUP(P55,'참조 테이블'!$F$1:$J$105,2,FALSE), IF(N55 = "보통", VLOOKUP(P55, '참조 테이블'!$F$1:$J$105, 3, FALSE), IF(N55 = "어려움", VLOOKUP(P55, '참조 테이블'!$F$1:$J$105, 4, FALSE), IF(N55 = "매우 어려움", VLOOKUP(P55, '참조 테이블'!$F$1:$J$105, 5, FALSE), IF(N55 = "종합기능", VLOOKUP(P55, '참조 테이블'!$F$1:$K$105, 6, FALSE), 0)))))</f>
        <v>0</v>
      </c>
      <c r="U55" s="277"/>
      <c r="V55" s="4"/>
      <c r="W55" s="415"/>
      <c r="X55" s="318"/>
      <c r="Y55" s="318"/>
      <c r="Z55" s="318"/>
      <c r="AA55" s="318"/>
      <c r="AB55" s="318"/>
      <c r="AC55" s="318"/>
      <c r="AD55" s="318"/>
      <c r="AE55" s="232"/>
      <c r="AF55" s="280"/>
      <c r="AG55" s="427"/>
      <c r="AH55" s="4"/>
      <c r="AI55" s="4"/>
      <c r="AJ55" s="4"/>
      <c r="AK55" s="4"/>
      <c r="AL55" s="4"/>
      <c r="AM55" s="4"/>
      <c r="AN55" s="4"/>
      <c r="AO55" s="4"/>
    </row>
    <row r="56" spans="1:41" ht="15" customHeight="1">
      <c r="A56" s="415"/>
      <c r="B56" s="318"/>
      <c r="C56" s="318"/>
      <c r="D56" s="318"/>
      <c r="E56" s="318"/>
      <c r="F56" s="318"/>
      <c r="G56" s="318"/>
      <c r="H56" s="318"/>
      <c r="I56" s="232"/>
      <c r="J56" s="280"/>
      <c r="K56" s="427"/>
      <c r="L56" s="133"/>
      <c r="M56" s="131"/>
      <c r="N56" s="54"/>
      <c r="O56" s="138"/>
      <c r="P56" s="50"/>
      <c r="Q56" s="138"/>
      <c r="R56" s="51">
        <f t="shared" si="6"/>
        <v>0</v>
      </c>
      <c r="S56" s="133"/>
      <c r="T56" s="276">
        <f>IF(N56 = "쉬움", VLOOKUP(P56,'참조 테이블'!$F$1:$J$105,2,FALSE), IF(N56 = "보통", VLOOKUP(P56, '참조 테이블'!$F$1:$J$105, 3, FALSE), IF(N56 = "어려움", VLOOKUP(P56, '참조 테이블'!$F$1:$J$105, 4, FALSE), IF(N56 = "매우 어려움", VLOOKUP(P56, '참조 테이블'!$F$1:$J$105, 5, FALSE), IF(N56 = "종합기능", VLOOKUP(P56, '참조 테이블'!$F$1:$K$105, 6, FALSE), 0)))))</f>
        <v>0</v>
      </c>
      <c r="U56" s="277"/>
      <c r="V56" s="4"/>
      <c r="W56" s="415"/>
      <c r="X56" s="318"/>
      <c r="Y56" s="318"/>
      <c r="Z56" s="318"/>
      <c r="AA56" s="318"/>
      <c r="AB56" s="318"/>
      <c r="AC56" s="318"/>
      <c r="AD56" s="318"/>
      <c r="AE56" s="232"/>
      <c r="AF56" s="280"/>
      <c r="AG56" s="427"/>
      <c r="AH56" s="4"/>
      <c r="AI56" s="4"/>
      <c r="AJ56" s="4"/>
      <c r="AK56" s="4"/>
      <c r="AL56" s="4"/>
      <c r="AM56" s="4"/>
      <c r="AN56" s="4"/>
      <c r="AO56" s="4"/>
    </row>
    <row r="57" spans="1:41" ht="15" customHeight="1">
      <c r="A57" s="415"/>
      <c r="B57" s="318"/>
      <c r="C57" s="318"/>
      <c r="D57" s="318"/>
      <c r="E57" s="318"/>
      <c r="F57" s="318"/>
      <c r="G57" s="318"/>
      <c r="H57" s="318"/>
      <c r="I57" s="232"/>
      <c r="J57" s="280"/>
      <c r="K57" s="427"/>
      <c r="L57" s="133"/>
      <c r="M57" s="131"/>
      <c r="N57" s="54"/>
      <c r="O57" s="138"/>
      <c r="P57" s="50"/>
      <c r="Q57" s="138"/>
      <c r="R57" s="51">
        <f t="shared" si="6"/>
        <v>0</v>
      </c>
      <c r="S57" s="133"/>
      <c r="T57" s="276">
        <f>IF(N57 = "쉬움", VLOOKUP(P57,'참조 테이블'!$F$1:$J$105,2,FALSE), IF(N57 = "보통", VLOOKUP(P57, '참조 테이블'!$F$1:$J$105, 3, FALSE), IF(N57 = "어려움", VLOOKUP(P57, '참조 테이블'!$F$1:$J$105, 4, FALSE), IF(N57 = "매우 어려움", VLOOKUP(P57, '참조 테이블'!$F$1:$J$105, 5, FALSE), IF(N57 = "종합기능", VLOOKUP(P57, '참조 테이블'!$F$1:$K$105, 6, FALSE), 0)))))</f>
        <v>0</v>
      </c>
      <c r="U57" s="277"/>
      <c r="V57" s="4"/>
      <c r="W57" s="415"/>
      <c r="X57" s="318"/>
      <c r="Y57" s="318"/>
      <c r="Z57" s="318"/>
      <c r="AA57" s="318"/>
      <c r="AB57" s="318"/>
      <c r="AC57" s="318"/>
      <c r="AD57" s="318"/>
      <c r="AE57" s="232"/>
      <c r="AF57" s="280"/>
      <c r="AG57" s="427"/>
      <c r="AH57" s="4"/>
      <c r="AI57" s="4"/>
      <c r="AJ57" s="4"/>
      <c r="AK57" s="4"/>
      <c r="AL57" s="4"/>
      <c r="AM57" s="4"/>
      <c r="AN57" s="4"/>
      <c r="AO57" s="4"/>
    </row>
    <row r="58" spans="1:41" ht="15" customHeight="1" thickBot="1">
      <c r="A58" s="428"/>
      <c r="B58" s="429"/>
      <c r="C58" s="429"/>
      <c r="D58" s="429"/>
      <c r="E58" s="429"/>
      <c r="F58" s="429"/>
      <c r="G58" s="429"/>
      <c r="H58" s="429"/>
      <c r="I58" s="231"/>
      <c r="J58" s="433"/>
      <c r="K58" s="434"/>
      <c r="L58" s="133"/>
      <c r="M58" s="132"/>
      <c r="N58" s="56"/>
      <c r="O58" s="137"/>
      <c r="P58" s="135"/>
      <c r="Q58" s="137"/>
      <c r="R58" s="57">
        <f t="shared" si="6"/>
        <v>0</v>
      </c>
      <c r="S58" s="135"/>
      <c r="T58" s="413">
        <f>IF(N58 = "쉬움", VLOOKUP(P58,'참조 테이블'!$F$1:$J$105,2,FALSE), IF(N58 = "보통", VLOOKUP(P58, '참조 테이블'!$F$1:$J$105, 3, FALSE), IF(N58 = "어려움", VLOOKUP(P58, '참조 테이블'!$F$1:$J$105, 4, FALSE), IF(N58 = "매우 어려움", VLOOKUP(P58, '참조 테이블'!$F$1:$J$105, 5, FALSE), IF(N58 = "종합기능", VLOOKUP(P58, '참조 테이블'!$F$1:$K$105, 6, FALSE), 0)))))</f>
        <v>0</v>
      </c>
      <c r="U58" s="414"/>
      <c r="V58" s="4"/>
      <c r="W58" s="428"/>
      <c r="X58" s="429"/>
      <c r="Y58" s="429"/>
      <c r="Z58" s="429"/>
      <c r="AA58" s="429"/>
      <c r="AB58" s="429"/>
      <c r="AC58" s="429"/>
      <c r="AD58" s="429"/>
      <c r="AE58" s="231"/>
      <c r="AF58" s="467"/>
      <c r="AG58" s="468"/>
      <c r="AH58" s="4"/>
      <c r="AI58" s="4"/>
      <c r="AJ58" s="4"/>
      <c r="AK58" s="4"/>
      <c r="AL58" s="4"/>
      <c r="AM58" s="4"/>
      <c r="AN58" s="4"/>
      <c r="AO58" s="4"/>
    </row>
    <row r="59" spans="1:41" ht="6.75" customHeight="1" thickBo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143"/>
      <c r="X59" s="143"/>
      <c r="Y59" s="143"/>
      <c r="Z59" s="143"/>
      <c r="AA59" s="143"/>
      <c r="AB59" s="143"/>
      <c r="AC59" s="143"/>
      <c r="AD59" s="143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spans="1:41" ht="19.5" customHeight="1" thickBot="1">
      <c r="A60" s="426" t="s">
        <v>99</v>
      </c>
      <c r="B60" s="332"/>
      <c r="C60" s="416" t="s">
        <v>100</v>
      </c>
      <c r="D60" s="332"/>
      <c r="E60" s="332"/>
      <c r="F60" s="411">
        <f>SUM(A8:H8)+SUM(A12:H12)+H20+H21</f>
        <v>300</v>
      </c>
      <c r="G60" s="332"/>
      <c r="H60" s="416" t="s">
        <v>101</v>
      </c>
      <c r="I60" s="332"/>
      <c r="J60" s="332"/>
      <c r="K60" s="332"/>
      <c r="L60" s="332"/>
      <c r="M60" s="58">
        <f>SUM(J31:K42)+SUM(T7:U12)+SUM(T14:U18)+SUM(T21:U28)+A18+J43</f>
        <v>41</v>
      </c>
      <c r="N60" s="425" t="s">
        <v>102</v>
      </c>
      <c r="O60" s="332"/>
      <c r="P60" s="58">
        <f>SUM(J45:L58)</f>
        <v>7</v>
      </c>
      <c r="Q60" s="416" t="s">
        <v>103</v>
      </c>
      <c r="R60" s="332"/>
      <c r="S60" s="59"/>
      <c r="T60" s="411">
        <f>SUM(T31:T58)+SUM(AD41:AE47)</f>
        <v>48</v>
      </c>
      <c r="U60" s="412"/>
      <c r="V60" s="4"/>
      <c r="W60" s="143"/>
      <c r="X60" s="143"/>
      <c r="Y60" s="143"/>
      <c r="Z60" s="143"/>
      <c r="AA60" s="143"/>
      <c r="AB60" s="143"/>
      <c r="AC60" s="143"/>
      <c r="AD60" s="143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</row>
    <row r="61" spans="1:41" ht="6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143"/>
      <c r="X61" s="143"/>
      <c r="Y61" s="143"/>
      <c r="Z61" s="143"/>
      <c r="AA61" s="143"/>
      <c r="AB61" s="143"/>
      <c r="AC61" s="143"/>
      <c r="AD61" s="143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</row>
    <row r="62" spans="1:41" ht="9.75" customHeight="1" thickBot="1">
      <c r="A62" s="9" t="s">
        <v>104</v>
      </c>
      <c r="B62" s="4"/>
      <c r="C62" s="4"/>
      <c r="D62" s="4"/>
      <c r="E62" s="60" t="s">
        <v>105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61"/>
      <c r="U62" s="3"/>
      <c r="V62" s="4"/>
      <c r="W62" s="143"/>
      <c r="X62" s="143"/>
      <c r="Y62" s="143"/>
      <c r="Z62" s="143"/>
      <c r="AA62" s="143"/>
      <c r="AB62" s="143"/>
      <c r="AC62" s="143"/>
      <c r="AD62" s="143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spans="1:41" ht="15" customHeight="1" thickBot="1">
      <c r="A63" s="431" t="s">
        <v>241</v>
      </c>
      <c r="B63" s="432"/>
      <c r="C63" s="432"/>
      <c r="D63" s="432"/>
      <c r="E63" s="432"/>
      <c r="F63" s="432"/>
      <c r="G63" s="432"/>
      <c r="H63" s="163" t="s">
        <v>242</v>
      </c>
      <c r="I63" s="162"/>
      <c r="J63" s="188" t="s">
        <v>38</v>
      </c>
      <c r="K63" s="187" t="s">
        <v>263</v>
      </c>
      <c r="L63" s="187" t="s">
        <v>262</v>
      </c>
      <c r="M63" s="163" t="s">
        <v>21</v>
      </c>
      <c r="N63" s="163" t="s">
        <v>59</v>
      </c>
      <c r="O63" s="163" t="s">
        <v>9</v>
      </c>
      <c r="P63" s="163" t="s">
        <v>106</v>
      </c>
      <c r="Q63" s="163" t="s">
        <v>107</v>
      </c>
      <c r="R63" s="164" t="s">
        <v>108</v>
      </c>
      <c r="S63" s="12"/>
      <c r="T63" s="410" t="s">
        <v>109</v>
      </c>
      <c r="U63" s="329"/>
      <c r="V63" s="329"/>
      <c r="W63" s="12"/>
      <c r="X63" s="430" t="str">
        <f>O88</f>
        <v>가방 1</v>
      </c>
      <c r="Y63" s="309"/>
      <c r="Z63" s="309"/>
      <c r="AA63" s="229" t="s">
        <v>113</v>
      </c>
      <c r="AB63" s="235"/>
      <c r="AC63" s="229" t="s">
        <v>106</v>
      </c>
      <c r="AD63" s="229" t="s">
        <v>107</v>
      </c>
      <c r="AE63" s="62" t="s">
        <v>115</v>
      </c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spans="1:41" ht="15" customHeight="1">
      <c r="A64" s="436" t="s">
        <v>627</v>
      </c>
      <c r="B64" s="437"/>
      <c r="C64" s="437"/>
      <c r="D64" s="437"/>
      <c r="E64" s="437"/>
      <c r="F64" s="437"/>
      <c r="G64" s="437"/>
      <c r="H64" s="79" t="s">
        <v>623</v>
      </c>
      <c r="I64" s="143"/>
      <c r="J64" s="160" t="s">
        <v>624</v>
      </c>
      <c r="K64" s="160">
        <v>4</v>
      </c>
      <c r="L64" s="161" t="s">
        <v>625</v>
      </c>
      <c r="M64" s="50" t="s">
        <v>626</v>
      </c>
      <c r="N64" s="50">
        <v>0</v>
      </c>
      <c r="O64" s="50"/>
      <c r="P64" s="63"/>
      <c r="Q64" s="50"/>
      <c r="R64" s="165"/>
      <c r="S64" s="12"/>
      <c r="T64" s="422">
        <f>(R82+R83+R84+R85)</f>
        <v>0</v>
      </c>
      <c r="U64" s="309"/>
      <c r="V64" s="279"/>
      <c r="W64" s="12"/>
      <c r="X64" s="462" t="s">
        <v>561</v>
      </c>
      <c r="Y64" s="463"/>
      <c r="Z64" s="238"/>
      <c r="AA64" s="230"/>
      <c r="AB64" s="230"/>
      <c r="AC64" s="63"/>
      <c r="AD64" s="230"/>
      <c r="AE64" s="246">
        <v>1</v>
      </c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spans="1:41" ht="15" customHeight="1">
      <c r="A65" s="436" t="s">
        <v>637</v>
      </c>
      <c r="B65" s="437"/>
      <c r="C65" s="437"/>
      <c r="D65" s="437"/>
      <c r="E65" s="437"/>
      <c r="F65" s="437"/>
      <c r="G65" s="437"/>
      <c r="H65" s="79" t="s">
        <v>623</v>
      </c>
      <c r="I65" s="143"/>
      <c r="J65" s="160" t="s">
        <v>634</v>
      </c>
      <c r="K65" s="160">
        <v>0</v>
      </c>
      <c r="L65" s="161" t="s">
        <v>625</v>
      </c>
      <c r="M65" s="50" t="s">
        <v>635</v>
      </c>
      <c r="N65" s="50" t="s">
        <v>636</v>
      </c>
      <c r="O65" s="50"/>
      <c r="P65" s="63"/>
      <c r="Q65" s="50"/>
      <c r="R65" s="166"/>
      <c r="S65" s="12"/>
      <c r="T65" s="418"/>
      <c r="U65" s="419"/>
      <c r="V65" s="292"/>
      <c r="W65" s="12"/>
      <c r="X65" s="319"/>
      <c r="Y65" s="320"/>
      <c r="Z65" s="238"/>
      <c r="AA65" s="230"/>
      <c r="AB65" s="230"/>
      <c r="AC65" s="63"/>
      <c r="AD65" s="230"/>
      <c r="AE65" s="66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spans="1:41" ht="15" customHeight="1" thickBot="1">
      <c r="A66" s="436"/>
      <c r="B66" s="437"/>
      <c r="C66" s="437"/>
      <c r="D66" s="437"/>
      <c r="E66" s="437"/>
      <c r="F66" s="437"/>
      <c r="G66" s="437"/>
      <c r="H66" s="79"/>
      <c r="I66" s="143"/>
      <c r="J66" s="160"/>
      <c r="K66" s="160"/>
      <c r="L66" s="161"/>
      <c r="M66" s="146"/>
      <c r="N66" s="146"/>
      <c r="O66" s="146"/>
      <c r="P66" s="50"/>
      <c r="Q66" s="146"/>
      <c r="R66" s="166"/>
      <c r="S66" s="12"/>
      <c r="T66" s="316"/>
      <c r="U66" s="305"/>
      <c r="V66" s="298"/>
      <c r="W66" s="12"/>
      <c r="X66" s="319"/>
      <c r="Y66" s="320"/>
      <c r="Z66" s="238"/>
      <c r="AA66" s="230"/>
      <c r="AB66" s="230"/>
      <c r="AC66" s="63"/>
      <c r="AD66" s="230"/>
      <c r="AE66" s="66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spans="1:41" ht="15" customHeight="1" thickBot="1">
      <c r="A67" s="436"/>
      <c r="B67" s="437"/>
      <c r="C67" s="437"/>
      <c r="D67" s="437"/>
      <c r="E67" s="437"/>
      <c r="F67" s="437"/>
      <c r="G67" s="437"/>
      <c r="H67" s="79"/>
      <c r="I67" s="143"/>
      <c r="J67" s="160"/>
      <c r="K67" s="160"/>
      <c r="L67" s="161"/>
      <c r="M67" s="146"/>
      <c r="N67" s="146"/>
      <c r="O67" s="146"/>
      <c r="P67" s="50"/>
      <c r="Q67" s="146"/>
      <c r="R67" s="166"/>
      <c r="S67" s="12"/>
      <c r="T67" s="420" t="s">
        <v>37</v>
      </c>
      <c r="U67" s="332"/>
      <c r="V67" s="332"/>
      <c r="W67" s="12"/>
      <c r="X67" s="319"/>
      <c r="Y67" s="320"/>
      <c r="Z67" s="238"/>
      <c r="AA67" s="230"/>
      <c r="AB67" s="230"/>
      <c r="AC67" s="63"/>
      <c r="AD67" s="230"/>
      <c r="AE67" s="66"/>
      <c r="AF67" s="4"/>
      <c r="AG67" s="4"/>
      <c r="AH67" s="4"/>
      <c r="AI67" s="4"/>
      <c r="AJ67" s="4"/>
      <c r="AK67" s="4"/>
      <c r="AL67" s="4"/>
      <c r="AM67" s="4"/>
      <c r="AN67" s="4"/>
      <c r="AO67" s="4"/>
    </row>
    <row r="68" spans="1:41" ht="15" customHeight="1" thickBot="1">
      <c r="A68" s="438"/>
      <c r="B68" s="439"/>
      <c r="C68" s="439"/>
      <c r="D68" s="439"/>
      <c r="E68" s="439"/>
      <c r="F68" s="439"/>
      <c r="G68" s="439"/>
      <c r="H68" s="181"/>
      <c r="I68" s="167"/>
      <c r="J68" s="168"/>
      <c r="K68" s="168"/>
      <c r="L68" s="169"/>
      <c r="M68" s="170"/>
      <c r="N68" s="170"/>
      <c r="O68" s="170"/>
      <c r="P68" s="167"/>
      <c r="Q68" s="170"/>
      <c r="R68" s="171"/>
      <c r="S68" s="12"/>
      <c r="T68" s="421">
        <f>(C17)</f>
        <v>160</v>
      </c>
      <c r="U68" s="332"/>
      <c r="V68" s="412"/>
      <c r="W68" s="64"/>
      <c r="X68" s="319"/>
      <c r="Y68" s="320"/>
      <c r="Z68" s="238"/>
      <c r="AA68" s="230"/>
      <c r="AB68" s="230"/>
      <c r="AC68" s="63"/>
      <c r="AD68" s="230"/>
      <c r="AE68" s="66"/>
      <c r="AF68" s="4"/>
      <c r="AG68" s="4"/>
      <c r="AH68" s="4"/>
      <c r="AI68" s="4"/>
      <c r="AJ68" s="4"/>
      <c r="AK68" s="4"/>
      <c r="AL68" s="4"/>
      <c r="AM68" s="4"/>
      <c r="AN68" s="4"/>
      <c r="AO68" s="4"/>
    </row>
    <row r="69" spans="1:41" ht="15" customHeight="1" thickBot="1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2"/>
      <c r="O69" s="65" t="s">
        <v>110</v>
      </c>
      <c r="P69" s="133"/>
      <c r="Q69" s="65"/>
      <c r="R69" s="12"/>
      <c r="S69" s="133"/>
      <c r="T69" s="424" t="s">
        <v>92</v>
      </c>
      <c r="U69" s="332"/>
      <c r="V69" s="332"/>
      <c r="W69" s="143"/>
      <c r="X69" s="319"/>
      <c r="Y69" s="320"/>
      <c r="Z69" s="238"/>
      <c r="AA69" s="230"/>
      <c r="AB69" s="230"/>
      <c r="AC69" s="63"/>
      <c r="AD69" s="230"/>
      <c r="AE69" s="66"/>
      <c r="AF69" s="4"/>
      <c r="AG69" s="4"/>
      <c r="AH69" s="4"/>
      <c r="AI69" s="4"/>
      <c r="AJ69" s="4"/>
      <c r="AK69" s="4"/>
      <c r="AL69" s="4"/>
      <c r="AM69" s="4"/>
      <c r="AN69" s="4"/>
      <c r="AO69" s="4"/>
    </row>
    <row r="70" spans="1:41" ht="15" customHeight="1">
      <c r="A70" s="423" t="s">
        <v>85</v>
      </c>
      <c r="B70" s="309"/>
      <c r="C70" s="309"/>
      <c r="D70" s="130" t="s">
        <v>111</v>
      </c>
      <c r="E70" s="130" t="s">
        <v>106</v>
      </c>
      <c r="F70" s="130" t="s">
        <v>107</v>
      </c>
      <c r="G70" s="130" t="s">
        <v>112</v>
      </c>
      <c r="H70" s="130" t="s">
        <v>23</v>
      </c>
      <c r="I70" s="130"/>
      <c r="J70" s="130" t="s">
        <v>113</v>
      </c>
      <c r="K70" s="62" t="s">
        <v>108</v>
      </c>
      <c r="L70" s="133"/>
      <c r="M70" s="133"/>
      <c r="N70" s="423" t="s">
        <v>114</v>
      </c>
      <c r="O70" s="309"/>
      <c r="P70" s="130" t="s">
        <v>115</v>
      </c>
      <c r="Q70" s="130" t="s">
        <v>107</v>
      </c>
      <c r="R70" s="62" t="s">
        <v>106</v>
      </c>
      <c r="S70" s="133"/>
      <c r="T70" s="417"/>
      <c r="U70" s="309"/>
      <c r="V70" s="279"/>
      <c r="W70" s="143"/>
      <c r="X70" s="319"/>
      <c r="Y70" s="320"/>
      <c r="Z70" s="238"/>
      <c r="AA70" s="230"/>
      <c r="AB70" s="230"/>
      <c r="AC70" s="63"/>
      <c r="AD70" s="230"/>
      <c r="AE70" s="66"/>
      <c r="AF70" s="4"/>
      <c r="AG70" s="4"/>
      <c r="AH70" s="4"/>
      <c r="AI70" s="4"/>
      <c r="AJ70" s="4"/>
      <c r="AK70" s="4"/>
      <c r="AL70" s="4"/>
      <c r="AM70" s="4"/>
      <c r="AN70" s="4"/>
      <c r="AO70" s="4"/>
    </row>
    <row r="71" spans="1:41" ht="15" customHeight="1">
      <c r="A71" s="319"/>
      <c r="B71" s="320"/>
      <c r="C71" s="320"/>
      <c r="D71" s="50"/>
      <c r="E71" s="63"/>
      <c r="F71" s="50"/>
      <c r="G71" s="50"/>
      <c r="H71" s="50"/>
      <c r="I71" s="50"/>
      <c r="J71" s="50"/>
      <c r="K71" s="66"/>
      <c r="L71" s="133"/>
      <c r="M71" s="133"/>
      <c r="N71" s="319"/>
      <c r="O71" s="320"/>
      <c r="P71" s="50"/>
      <c r="Q71" s="50"/>
      <c r="R71" s="67">
        <f>(Q71*P71)*40</f>
        <v>0</v>
      </c>
      <c r="S71" s="133"/>
      <c r="T71" s="418"/>
      <c r="U71" s="419"/>
      <c r="V71" s="292"/>
      <c r="W71" s="143"/>
      <c r="X71" s="319"/>
      <c r="Y71" s="320"/>
      <c r="Z71" s="238"/>
      <c r="AA71" s="230"/>
      <c r="AB71" s="230"/>
      <c r="AC71" s="63"/>
      <c r="AD71" s="230"/>
      <c r="AE71" s="66"/>
      <c r="AF71" s="4"/>
      <c r="AG71" s="4"/>
      <c r="AH71" s="4"/>
      <c r="AI71" s="4"/>
      <c r="AJ71" s="4"/>
      <c r="AK71" s="4"/>
      <c r="AL71" s="4"/>
      <c r="AM71" s="4"/>
      <c r="AN71" s="4"/>
      <c r="AO71" s="4"/>
    </row>
    <row r="72" spans="1:41" ht="15" customHeight="1" thickBot="1">
      <c r="A72" s="330"/>
      <c r="B72" s="305"/>
      <c r="C72" s="305"/>
      <c r="D72" s="135"/>
      <c r="E72" s="68"/>
      <c r="F72" s="135"/>
      <c r="G72" s="135"/>
      <c r="H72" s="135"/>
      <c r="I72" s="135"/>
      <c r="J72" s="135"/>
      <c r="K72" s="69"/>
      <c r="L72" s="133"/>
      <c r="M72" s="133"/>
      <c r="N72" s="333"/>
      <c r="O72" s="334"/>
      <c r="P72" s="135"/>
      <c r="Q72" s="135"/>
      <c r="R72" s="70">
        <f>(Q72*P72)*40</f>
        <v>0</v>
      </c>
      <c r="S72" s="133"/>
      <c r="T72" s="316"/>
      <c r="U72" s="305"/>
      <c r="V72" s="298"/>
      <c r="W72" s="4"/>
      <c r="X72" s="319"/>
      <c r="Y72" s="320"/>
      <c r="Z72" s="238"/>
      <c r="AA72" s="230"/>
      <c r="AB72" s="230"/>
      <c r="AC72" s="63"/>
      <c r="AD72" s="230"/>
      <c r="AE72" s="66"/>
      <c r="AF72" s="4"/>
      <c r="AG72" s="4"/>
      <c r="AH72" s="4"/>
      <c r="AI72" s="4"/>
      <c r="AJ72" s="4"/>
      <c r="AK72" s="4"/>
      <c r="AL72" s="4"/>
      <c r="AM72" s="4"/>
      <c r="AN72" s="4"/>
      <c r="AO72" s="4"/>
    </row>
    <row r="73" spans="1:41" ht="9.75" customHeight="1" thickBot="1">
      <c r="A73" s="65" t="s">
        <v>116</v>
      </c>
      <c r="B73" s="12"/>
      <c r="C73" s="12"/>
      <c r="D73" s="12"/>
      <c r="E73" s="53" t="s">
        <v>117</v>
      </c>
      <c r="F73" s="12"/>
      <c r="G73" s="12"/>
      <c r="H73" s="12"/>
      <c r="I73" s="65" t="s">
        <v>118</v>
      </c>
      <c r="J73" s="12"/>
      <c r="K73" s="12"/>
      <c r="L73" s="12"/>
      <c r="M73" s="12"/>
      <c r="N73" s="65" t="s">
        <v>119</v>
      </c>
      <c r="O73" s="12"/>
      <c r="P73" s="12"/>
      <c r="Q73" s="12"/>
      <c r="R73" s="12"/>
      <c r="S73" s="12"/>
      <c r="T73" s="12"/>
      <c r="U73" s="12"/>
      <c r="V73" s="12"/>
      <c r="W73" s="12"/>
      <c r="X73" s="330"/>
      <c r="Y73" s="305"/>
      <c r="Z73" s="84"/>
      <c r="AA73" s="236"/>
      <c r="AB73" s="236"/>
      <c r="AC73" s="68"/>
      <c r="AD73" s="236"/>
      <c r="AE73" s="69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spans="1:41" ht="15" customHeight="1" thickBot="1">
      <c r="A74" s="431" t="s">
        <v>120</v>
      </c>
      <c r="B74" s="432"/>
      <c r="C74" s="432"/>
      <c r="D74" s="432"/>
      <c r="E74" s="163" t="s">
        <v>242</v>
      </c>
      <c r="F74" s="163" t="s">
        <v>115</v>
      </c>
      <c r="G74" s="188" t="s">
        <v>376</v>
      </c>
      <c r="H74" s="188" t="s">
        <v>377</v>
      </c>
      <c r="I74" s="162"/>
      <c r="J74" s="188" t="s">
        <v>38</v>
      </c>
      <c r="K74" s="186" t="s">
        <v>263</v>
      </c>
      <c r="L74" s="186" t="s">
        <v>262</v>
      </c>
      <c r="M74" s="163" t="s">
        <v>121</v>
      </c>
      <c r="N74" s="163" t="s">
        <v>122</v>
      </c>
      <c r="O74" s="163" t="s">
        <v>123</v>
      </c>
      <c r="P74" s="163" t="s">
        <v>9</v>
      </c>
      <c r="Q74" s="163" t="s">
        <v>124</v>
      </c>
      <c r="R74" s="163" t="s">
        <v>125</v>
      </c>
      <c r="S74" s="163"/>
      <c r="T74" s="172" t="s">
        <v>107</v>
      </c>
      <c r="U74" s="172" t="s">
        <v>106</v>
      </c>
      <c r="V74" s="164" t="s">
        <v>108</v>
      </c>
      <c r="W74" s="12"/>
      <c r="X74" s="12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spans="1:41" ht="15" customHeight="1">
      <c r="A75" s="436" t="s">
        <v>629</v>
      </c>
      <c r="B75" s="437"/>
      <c r="C75" s="437"/>
      <c r="D75" s="437"/>
      <c r="E75" s="149" t="s">
        <v>630</v>
      </c>
      <c r="F75" s="50">
        <v>1</v>
      </c>
      <c r="G75" s="177" t="s">
        <v>631</v>
      </c>
      <c r="H75" s="177" t="s">
        <v>632</v>
      </c>
      <c r="I75" s="143"/>
      <c r="J75" s="160" t="s">
        <v>624</v>
      </c>
      <c r="K75" s="160">
        <v>10</v>
      </c>
      <c r="L75" s="161" t="s">
        <v>625</v>
      </c>
      <c r="M75" s="50">
        <v>3</v>
      </c>
      <c r="N75" s="50">
        <v>1</v>
      </c>
      <c r="O75" s="50" t="s">
        <v>633</v>
      </c>
      <c r="P75" s="50"/>
      <c r="Q75" s="50">
        <v>1</v>
      </c>
      <c r="R75" s="50"/>
      <c r="S75" s="143"/>
      <c r="T75" s="71"/>
      <c r="U75" s="72"/>
      <c r="V75" s="173"/>
      <c r="W75" s="12"/>
      <c r="X75" s="430" t="str">
        <f>O89</f>
        <v>가방 2</v>
      </c>
      <c r="Y75" s="309"/>
      <c r="Z75" s="309"/>
      <c r="AA75" s="229" t="s">
        <v>113</v>
      </c>
      <c r="AB75" s="235"/>
      <c r="AC75" s="229" t="s">
        <v>106</v>
      </c>
      <c r="AD75" s="229" t="s">
        <v>107</v>
      </c>
      <c r="AE75" s="62" t="s">
        <v>115</v>
      </c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spans="1:41" ht="15" customHeight="1">
      <c r="A76" s="436"/>
      <c r="B76" s="437"/>
      <c r="C76" s="437"/>
      <c r="D76" s="437"/>
      <c r="E76" s="149"/>
      <c r="F76" s="146"/>
      <c r="G76" s="177"/>
      <c r="H76" s="177"/>
      <c r="I76" s="143"/>
      <c r="J76" s="160"/>
      <c r="K76" s="160"/>
      <c r="L76" s="161"/>
      <c r="M76" s="146"/>
      <c r="N76" s="146"/>
      <c r="O76" s="146"/>
      <c r="P76" s="50"/>
      <c r="Q76" s="50"/>
      <c r="R76" s="146"/>
      <c r="S76" s="143"/>
      <c r="T76" s="73"/>
      <c r="U76" s="74"/>
      <c r="V76" s="174"/>
      <c r="W76" s="12"/>
      <c r="X76" s="462" t="s">
        <v>561</v>
      </c>
      <c r="Y76" s="463"/>
      <c r="Z76" s="238"/>
      <c r="AA76" s="230"/>
      <c r="AB76" s="230"/>
      <c r="AC76" s="63"/>
      <c r="AD76" s="230"/>
      <c r="AE76" s="246">
        <v>1</v>
      </c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spans="1:41" ht="15" customHeight="1">
      <c r="A77" s="436"/>
      <c r="B77" s="437"/>
      <c r="C77" s="437"/>
      <c r="D77" s="437"/>
      <c r="E77" s="149"/>
      <c r="F77" s="146"/>
      <c r="G77" s="177"/>
      <c r="H77" s="177"/>
      <c r="I77" s="143"/>
      <c r="J77" s="160"/>
      <c r="K77" s="160"/>
      <c r="L77" s="161"/>
      <c r="M77" s="143"/>
      <c r="N77" s="143"/>
      <c r="O77" s="143"/>
      <c r="P77" s="143"/>
      <c r="Q77" s="143"/>
      <c r="R77" s="143"/>
      <c r="S77" s="143"/>
      <c r="T77" s="143"/>
      <c r="U77" s="143"/>
      <c r="V77" s="174"/>
      <c r="W77" s="12"/>
      <c r="X77" s="319"/>
      <c r="Y77" s="320"/>
      <c r="Z77" s="238"/>
      <c r="AA77" s="230"/>
      <c r="AB77" s="230"/>
      <c r="AC77" s="63"/>
      <c r="AD77" s="230"/>
      <c r="AE77" s="66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spans="1:41" ht="15" customHeight="1">
      <c r="A78" s="436"/>
      <c r="B78" s="437"/>
      <c r="C78" s="437"/>
      <c r="D78" s="437"/>
      <c r="E78" s="149"/>
      <c r="F78" s="146"/>
      <c r="G78" s="177"/>
      <c r="H78" s="177"/>
      <c r="I78" s="143"/>
      <c r="J78" s="160"/>
      <c r="K78" s="160"/>
      <c r="L78" s="161"/>
      <c r="M78" s="146"/>
      <c r="N78" s="146"/>
      <c r="O78" s="146"/>
      <c r="P78" s="146"/>
      <c r="Q78" s="146"/>
      <c r="R78" s="146"/>
      <c r="S78" s="143"/>
      <c r="T78" s="76"/>
      <c r="U78" s="77"/>
      <c r="V78" s="174"/>
      <c r="W78" s="12"/>
      <c r="X78" s="319"/>
      <c r="Y78" s="320"/>
      <c r="Z78" s="238"/>
      <c r="AA78" s="230"/>
      <c r="AB78" s="230"/>
      <c r="AC78" s="63"/>
      <c r="AD78" s="230"/>
      <c r="AE78" s="66"/>
      <c r="AF78" s="4"/>
      <c r="AG78" s="4"/>
      <c r="AH78" s="4"/>
      <c r="AI78" s="4"/>
      <c r="AJ78" s="4"/>
      <c r="AK78" s="4"/>
      <c r="AL78" s="4"/>
      <c r="AM78" s="4"/>
      <c r="AN78" s="4"/>
      <c r="AO78" s="4"/>
    </row>
    <row r="79" spans="1:41" ht="15" customHeight="1" thickBot="1">
      <c r="A79" s="438"/>
      <c r="B79" s="439"/>
      <c r="C79" s="439"/>
      <c r="D79" s="439"/>
      <c r="E79" s="157"/>
      <c r="F79" s="155"/>
      <c r="G79" s="178"/>
      <c r="H79" s="178"/>
      <c r="I79" s="167"/>
      <c r="J79" s="168"/>
      <c r="K79" s="168"/>
      <c r="L79" s="169"/>
      <c r="M79" s="170"/>
      <c r="N79" s="170"/>
      <c r="O79" s="170"/>
      <c r="P79" s="167"/>
      <c r="Q79" s="170"/>
      <c r="R79" s="170"/>
      <c r="S79" s="167"/>
      <c r="T79" s="175"/>
      <c r="U79" s="175"/>
      <c r="V79" s="176"/>
      <c r="W79" s="12"/>
      <c r="X79" s="319"/>
      <c r="Y79" s="320"/>
      <c r="Z79" s="238"/>
      <c r="AA79" s="230"/>
      <c r="AB79" s="230"/>
      <c r="AC79" s="63"/>
      <c r="AD79" s="230"/>
      <c r="AE79" s="66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spans="1:41" ht="9.75" customHeight="1" thickBot="1">
      <c r="A80" s="65" t="s">
        <v>118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33"/>
      <c r="Q80" s="133"/>
      <c r="R80" s="133"/>
      <c r="S80" s="133"/>
      <c r="T80" s="133"/>
      <c r="U80" s="133"/>
      <c r="V80" s="133"/>
      <c r="W80" s="12"/>
      <c r="X80" s="319"/>
      <c r="Y80" s="320"/>
      <c r="Z80" s="238"/>
      <c r="AA80" s="230"/>
      <c r="AB80" s="230"/>
      <c r="AC80" s="63"/>
      <c r="AD80" s="230"/>
      <c r="AE80" s="66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spans="1:41" ht="15" customHeight="1">
      <c r="A81" s="423" t="s">
        <v>126</v>
      </c>
      <c r="B81" s="309"/>
      <c r="C81" s="309"/>
      <c r="D81" s="309"/>
      <c r="E81" s="309"/>
      <c r="F81" s="48" t="s">
        <v>115</v>
      </c>
      <c r="G81" s="48" t="s">
        <v>106</v>
      </c>
      <c r="H81" s="130" t="s">
        <v>127</v>
      </c>
      <c r="I81" s="130"/>
      <c r="J81" s="435" t="s">
        <v>38</v>
      </c>
      <c r="K81" s="309"/>
      <c r="L81" s="130"/>
      <c r="M81" s="130" t="s">
        <v>107</v>
      </c>
      <c r="N81" s="130" t="s">
        <v>113</v>
      </c>
      <c r="O81" s="62" t="s">
        <v>108</v>
      </c>
      <c r="P81" s="133"/>
      <c r="Q81" s="430" t="s">
        <v>128</v>
      </c>
      <c r="R81" s="309"/>
      <c r="S81" s="279"/>
      <c r="T81" s="299" t="s">
        <v>129</v>
      </c>
      <c r="U81" s="300"/>
      <c r="V81" s="287"/>
      <c r="W81" s="12"/>
      <c r="X81" s="319"/>
      <c r="Y81" s="320"/>
      <c r="Z81" s="238"/>
      <c r="AA81" s="230"/>
      <c r="AB81" s="230"/>
      <c r="AC81" s="63"/>
      <c r="AD81" s="230"/>
      <c r="AE81" s="66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spans="1:41" ht="15" customHeight="1">
      <c r="A82" s="443"/>
      <c r="B82" s="320"/>
      <c r="C82" s="320"/>
      <c r="D82" s="320"/>
      <c r="E82" s="320"/>
      <c r="F82" s="79"/>
      <c r="G82" s="80"/>
      <c r="H82" s="79"/>
      <c r="I82" s="133"/>
      <c r="J82" s="280"/>
      <c r="K82" s="320"/>
      <c r="L82" s="133"/>
      <c r="M82" s="50"/>
      <c r="N82" s="50"/>
      <c r="O82" s="66"/>
      <c r="P82" s="133"/>
      <c r="Q82" s="81" t="s">
        <v>130</v>
      </c>
      <c r="R82" s="449">
        <f>(Q64+Q65+Q66+Q67+Q68+T75*F75+T76*F76+T77*F77+T78*F78+T79*F79+F71+F72)</f>
        <v>0</v>
      </c>
      <c r="S82" s="292"/>
      <c r="T82" s="17" t="s">
        <v>130</v>
      </c>
      <c r="U82" s="455">
        <f>(P64+P65+P66+P67+P68+U75*F75+U76*F76+U77*F77+U78*F78+U79*F79)</f>
        <v>0</v>
      </c>
      <c r="V82" s="289"/>
      <c r="W82" s="12"/>
      <c r="X82" s="319"/>
      <c r="Y82" s="320"/>
      <c r="Z82" s="238"/>
      <c r="AA82" s="230"/>
      <c r="AB82" s="230"/>
      <c r="AC82" s="63"/>
      <c r="AD82" s="230"/>
      <c r="AE82" s="66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spans="1:41" ht="15" customHeight="1">
      <c r="A83" s="442"/>
      <c r="B83" s="318"/>
      <c r="C83" s="318"/>
      <c r="D83" s="318"/>
      <c r="E83" s="318"/>
      <c r="F83" s="82"/>
      <c r="G83" s="83"/>
      <c r="H83" s="82"/>
      <c r="I83" s="133"/>
      <c r="J83" s="280"/>
      <c r="K83" s="320"/>
      <c r="L83" s="133"/>
      <c r="M83" s="138"/>
      <c r="N83" s="138"/>
      <c r="O83" s="75"/>
      <c r="P83" s="12"/>
      <c r="Q83" s="81" t="s">
        <v>114</v>
      </c>
      <c r="R83" s="451">
        <f>(P71*Q71+P72*Q72+M82*F82+M83*F83+M84*F84+M85*F85)</f>
        <v>0</v>
      </c>
      <c r="S83" s="292"/>
      <c r="T83" s="20" t="s">
        <v>114</v>
      </c>
      <c r="U83" s="445">
        <f>(R71+R72)</f>
        <v>0</v>
      </c>
      <c r="V83" s="292"/>
      <c r="W83" s="12"/>
      <c r="X83" s="319"/>
      <c r="Y83" s="320"/>
      <c r="Z83" s="238"/>
      <c r="AA83" s="230"/>
      <c r="AB83" s="230"/>
      <c r="AC83" s="63"/>
      <c r="AD83" s="230"/>
      <c r="AE83" s="66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spans="1:41" ht="15" customHeight="1">
      <c r="A84" s="442"/>
      <c r="B84" s="318"/>
      <c r="C84" s="318"/>
      <c r="D84" s="318"/>
      <c r="E84" s="318"/>
      <c r="F84" s="82"/>
      <c r="G84" s="83"/>
      <c r="H84" s="82"/>
      <c r="I84" s="133"/>
      <c r="J84" s="280"/>
      <c r="K84" s="320"/>
      <c r="L84" s="133"/>
      <c r="M84" s="138"/>
      <c r="N84" s="138"/>
      <c r="O84" s="75"/>
      <c r="P84" s="49"/>
      <c r="Q84" s="81" t="s">
        <v>131</v>
      </c>
      <c r="R84" s="449">
        <f>(K88+K89+K90+K91+K92+K93+K94+K95+K96+K97)</f>
        <v>0</v>
      </c>
      <c r="S84" s="292"/>
      <c r="T84" s="20" t="s">
        <v>131</v>
      </c>
      <c r="U84" s="450">
        <f>(J88+J89+J90+J91+J92+J93+J94+J95+J96+J97+E71+E72)</f>
        <v>0</v>
      </c>
      <c r="V84" s="292"/>
      <c r="W84" s="12"/>
      <c r="X84" s="319"/>
      <c r="Y84" s="320"/>
      <c r="Z84" s="238"/>
      <c r="AA84" s="230"/>
      <c r="AB84" s="230"/>
      <c r="AC84" s="63"/>
      <c r="AD84" s="230"/>
      <c r="AE84" s="66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spans="1:41" ht="15" customHeight="1" thickBot="1">
      <c r="A85" s="444"/>
      <c r="B85" s="334"/>
      <c r="C85" s="334"/>
      <c r="D85" s="334"/>
      <c r="E85" s="334"/>
      <c r="F85" s="84"/>
      <c r="G85" s="85"/>
      <c r="H85" s="84"/>
      <c r="I85" s="135"/>
      <c r="J85" s="282"/>
      <c r="K85" s="334"/>
      <c r="L85" s="135"/>
      <c r="M85" s="137"/>
      <c r="N85" s="137"/>
      <c r="O85" s="78"/>
      <c r="P85" s="49"/>
      <c r="Q85" s="86" t="s">
        <v>132</v>
      </c>
      <c r="R85" s="448">
        <f>(U88*V88+U89*V89+U90*V90+U91*V91+U92*V92+U93*V93+U94*V94+U95*V95+U96*V96+U97*V97)</f>
        <v>0</v>
      </c>
      <c r="S85" s="298"/>
      <c r="T85" s="21" t="s">
        <v>132</v>
      </c>
      <c r="U85" s="456">
        <f>(T88*V88+T89*V89+T90*V90+T91*V91+T92*V92+T93*V93+T94*V94+T95*V95+T96*V96+T97*V97)</f>
        <v>0</v>
      </c>
      <c r="V85" s="298"/>
      <c r="W85" s="12"/>
      <c r="X85" s="330"/>
      <c r="Y85" s="305"/>
      <c r="Z85" s="84"/>
      <c r="AA85" s="236"/>
      <c r="AB85" s="236"/>
      <c r="AC85" s="68"/>
      <c r="AD85" s="236"/>
      <c r="AE85" s="69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spans="1:41" ht="9.75" customHeight="1" thickBot="1">
      <c r="A86" s="65" t="s">
        <v>133</v>
      </c>
      <c r="B86" s="12"/>
      <c r="C86" s="12"/>
      <c r="D86" s="12"/>
      <c r="E86" s="12"/>
      <c r="F86" s="12"/>
      <c r="G86" s="12"/>
      <c r="H86" s="65" t="s">
        <v>134</v>
      </c>
      <c r="I86" s="12"/>
      <c r="J86" s="12"/>
      <c r="K86" s="12"/>
      <c r="L86" s="12"/>
      <c r="M86" s="12"/>
      <c r="N86" s="133"/>
      <c r="O86" s="65" t="s">
        <v>135</v>
      </c>
      <c r="P86" s="12"/>
      <c r="Q86" s="12"/>
      <c r="R86" s="12"/>
      <c r="S86" s="12"/>
      <c r="T86" s="12"/>
      <c r="U86" s="12"/>
      <c r="V86" s="12"/>
      <c r="W86" s="12"/>
      <c r="X86" s="12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</row>
    <row r="87" spans="1:41" ht="15" customHeight="1">
      <c r="A87" s="423" t="s">
        <v>136</v>
      </c>
      <c r="B87" s="309"/>
      <c r="C87" s="309"/>
      <c r="D87" s="309"/>
      <c r="E87" s="309"/>
      <c r="F87" s="435" t="s">
        <v>112</v>
      </c>
      <c r="G87" s="435"/>
      <c r="H87" s="435" t="s">
        <v>113</v>
      </c>
      <c r="I87" s="435"/>
      <c r="J87" s="130" t="s">
        <v>106</v>
      </c>
      <c r="K87" s="130" t="s">
        <v>107</v>
      </c>
      <c r="L87" s="130"/>
      <c r="M87" s="62" t="s">
        <v>108</v>
      </c>
      <c r="N87" s="133"/>
      <c r="O87" s="430" t="s">
        <v>137</v>
      </c>
      <c r="P87" s="309"/>
      <c r="Q87" s="309"/>
      <c r="R87" s="130" t="s">
        <v>113</v>
      </c>
      <c r="S87" s="134"/>
      <c r="T87" s="130" t="s">
        <v>106</v>
      </c>
      <c r="U87" s="130" t="s">
        <v>107</v>
      </c>
      <c r="V87" s="62" t="s">
        <v>115</v>
      </c>
      <c r="W87" s="12"/>
      <c r="X87" s="430" t="str">
        <f>O90</f>
        <v>가방 3</v>
      </c>
      <c r="Y87" s="309"/>
      <c r="Z87" s="309"/>
      <c r="AA87" s="229" t="s">
        <v>113</v>
      </c>
      <c r="AB87" s="235"/>
      <c r="AC87" s="229" t="s">
        <v>106</v>
      </c>
      <c r="AD87" s="229" t="s">
        <v>107</v>
      </c>
      <c r="AE87" s="62" t="s">
        <v>115</v>
      </c>
      <c r="AF87" s="4"/>
      <c r="AG87" s="4"/>
      <c r="AH87" s="4"/>
      <c r="AI87" s="4"/>
      <c r="AJ87" s="4"/>
      <c r="AK87" s="4"/>
      <c r="AL87" s="4"/>
      <c r="AM87" s="4"/>
      <c r="AN87" s="4"/>
      <c r="AO87" s="4"/>
    </row>
    <row r="88" spans="1:41" ht="15" customHeight="1">
      <c r="A88" s="87" t="s">
        <v>68</v>
      </c>
      <c r="B88" s="349"/>
      <c r="C88" s="349"/>
      <c r="D88" s="349"/>
      <c r="E88" s="349"/>
      <c r="F88" s="280">
        <v>12</v>
      </c>
      <c r="G88" s="280"/>
      <c r="H88" s="437"/>
      <c r="I88" s="437"/>
      <c r="J88" s="193"/>
      <c r="K88" s="193"/>
      <c r="L88" s="193"/>
      <c r="M88" s="66"/>
      <c r="N88" s="133"/>
      <c r="O88" s="446" t="s">
        <v>557</v>
      </c>
      <c r="P88" s="447"/>
      <c r="Q88" s="243"/>
      <c r="R88" s="224"/>
      <c r="S88" s="242"/>
      <c r="T88" s="244">
        <f>AE64*AC64+AE65*AC65+AE66*AC66+AE67*AC67+AE68*AC68+AE69*AC69+AE70*AC70+AE71*AC71+AE72*AC72+AE73*AC73</f>
        <v>0</v>
      </c>
      <c r="U88" s="245">
        <f>AE64*AD64+AE65*AD65+AE66*AD66+AE67*AD67+AE68*AD68+AE69*AD69+AE70*AD70+AE71*AD71+AE72*AD72+AE73*AD73</f>
        <v>0</v>
      </c>
      <c r="V88" s="246">
        <v>1</v>
      </c>
      <c r="W88" s="12"/>
      <c r="X88" s="462" t="s">
        <v>561</v>
      </c>
      <c r="Y88" s="463"/>
      <c r="Z88" s="238"/>
      <c r="AA88" s="230"/>
      <c r="AB88" s="230"/>
      <c r="AC88" s="63"/>
      <c r="AD88" s="230"/>
      <c r="AE88" s="246">
        <v>1</v>
      </c>
      <c r="AF88" s="4"/>
      <c r="AG88" s="4"/>
      <c r="AH88" s="4"/>
      <c r="AI88" s="4"/>
      <c r="AJ88" s="4"/>
      <c r="AK88" s="4"/>
      <c r="AL88" s="4"/>
      <c r="AM88" s="4"/>
      <c r="AN88" s="4"/>
      <c r="AO88" s="4"/>
    </row>
    <row r="89" spans="1:41" ht="15" customHeight="1">
      <c r="A89" s="88" t="s">
        <v>69</v>
      </c>
      <c r="B89" s="366"/>
      <c r="C89" s="366"/>
      <c r="D89" s="366"/>
      <c r="E89" s="366"/>
      <c r="F89" s="274">
        <v>12</v>
      </c>
      <c r="G89" s="274"/>
      <c r="H89" s="324"/>
      <c r="I89" s="324"/>
      <c r="J89" s="189"/>
      <c r="K89" s="189"/>
      <c r="L89" s="189"/>
      <c r="M89" s="75"/>
      <c r="N89" s="133"/>
      <c r="O89" s="446" t="s">
        <v>559</v>
      </c>
      <c r="P89" s="447"/>
      <c r="Q89" s="243"/>
      <c r="R89" s="224"/>
      <c r="S89" s="242"/>
      <c r="T89" s="244">
        <f>AE76*AC76+AE77*AC77+AE78*AC78+AE79*AC79+AE80*AC80+AE81*AC81+AE82*AC82+AE83*AC83+AE84*AC84+AE85*AC85</f>
        <v>0</v>
      </c>
      <c r="U89" s="245">
        <f>AE76*AD76+AE77*AD77+AE78*AD78+AE79*AD79+AE80*AD80+AE81*AD81+AE82*AD82+AE83*AD83+AE84*AD84+AE85*AD85</f>
        <v>0</v>
      </c>
      <c r="V89" s="246">
        <v>1</v>
      </c>
      <c r="W89" s="12"/>
      <c r="X89" s="319"/>
      <c r="Y89" s="320"/>
      <c r="Z89" s="238"/>
      <c r="AA89" s="230"/>
      <c r="AB89" s="230"/>
      <c r="AC89" s="63"/>
      <c r="AD89" s="230"/>
      <c r="AE89" s="66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spans="1:41" ht="15" customHeight="1">
      <c r="A90" s="88" t="s">
        <v>70</v>
      </c>
      <c r="B90" s="366"/>
      <c r="C90" s="318"/>
      <c r="D90" s="318"/>
      <c r="E90" s="318"/>
      <c r="F90" s="274">
        <v>12</v>
      </c>
      <c r="G90" s="274"/>
      <c r="H90" s="324"/>
      <c r="I90" s="324"/>
      <c r="J90" s="140"/>
      <c r="K90" s="140"/>
      <c r="L90" s="138"/>
      <c r="M90" s="75"/>
      <c r="N90" s="133"/>
      <c r="O90" s="446" t="s">
        <v>558</v>
      </c>
      <c r="P90" s="447"/>
      <c r="Q90" s="243"/>
      <c r="R90" s="224"/>
      <c r="S90" s="242"/>
      <c r="T90" s="244">
        <f>AE88*AC88+AE89*AC89+AE90*AC90+AE91*AC91+AE92*AC92+AE93*AC93+AE94*AC94+AE95*AC95+AE96*AC96+AE97*AC97</f>
        <v>0</v>
      </c>
      <c r="U90" s="245">
        <f>AE88*AD88+AE89*AD89+AE90*AD90+AE91*AD91+AE92*AD92+AE93*AD93+AE94*AD94+AE95*AD95+AE96*AD96+AE97*AD97</f>
        <v>0</v>
      </c>
      <c r="V90" s="246">
        <v>1</v>
      </c>
      <c r="W90" s="12"/>
      <c r="X90" s="319"/>
      <c r="Y90" s="320"/>
      <c r="Z90" s="238"/>
      <c r="AA90" s="230"/>
      <c r="AB90" s="230"/>
      <c r="AC90" s="63"/>
      <c r="AD90" s="230"/>
      <c r="AE90" s="66"/>
      <c r="AF90" s="4"/>
      <c r="AG90" s="4"/>
      <c r="AH90" s="4"/>
      <c r="AI90" s="4"/>
      <c r="AJ90" s="4"/>
      <c r="AK90" s="4"/>
      <c r="AL90" s="4"/>
      <c r="AM90" s="4"/>
      <c r="AN90" s="4"/>
      <c r="AO90" s="4"/>
    </row>
    <row r="91" spans="1:41" ht="15" customHeight="1">
      <c r="A91" s="88" t="s">
        <v>74</v>
      </c>
      <c r="B91" s="366"/>
      <c r="C91" s="366"/>
      <c r="D91" s="366"/>
      <c r="E91" s="366"/>
      <c r="F91" s="274">
        <v>12</v>
      </c>
      <c r="G91" s="274"/>
      <c r="H91" s="324"/>
      <c r="I91" s="324"/>
      <c r="J91" s="89"/>
      <c r="K91" s="189"/>
      <c r="L91" s="189"/>
      <c r="M91" s="75"/>
      <c r="N91" s="133"/>
      <c r="O91" s="319"/>
      <c r="P91" s="320"/>
      <c r="Q91" s="79"/>
      <c r="R91" s="50"/>
      <c r="S91" s="50"/>
      <c r="T91" s="63"/>
      <c r="U91" s="240"/>
      <c r="V91" s="66"/>
      <c r="W91" s="4"/>
      <c r="X91" s="319"/>
      <c r="Y91" s="320"/>
      <c r="Z91" s="238"/>
      <c r="AA91" s="230"/>
      <c r="AB91" s="230"/>
      <c r="AC91" s="63"/>
      <c r="AD91" s="230"/>
      <c r="AE91" s="66"/>
      <c r="AF91" s="4"/>
      <c r="AG91" s="4"/>
      <c r="AH91" s="4"/>
      <c r="AI91" s="4"/>
      <c r="AJ91" s="4"/>
      <c r="AK91" s="4"/>
      <c r="AL91" s="4"/>
      <c r="AM91" s="4"/>
      <c r="AN91" s="4"/>
      <c r="AO91" s="4"/>
    </row>
    <row r="92" spans="1:41" ht="15" customHeight="1">
      <c r="A92" s="88" t="s">
        <v>75</v>
      </c>
      <c r="B92" s="349"/>
      <c r="C92" s="349"/>
      <c r="D92" s="349"/>
      <c r="E92" s="349"/>
      <c r="F92" s="274">
        <v>12</v>
      </c>
      <c r="G92" s="274"/>
      <c r="H92" s="324"/>
      <c r="I92" s="324"/>
      <c r="J92" s="193"/>
      <c r="K92" s="193"/>
      <c r="L92" s="193"/>
      <c r="M92" s="66"/>
      <c r="N92" s="133"/>
      <c r="O92" s="319"/>
      <c r="P92" s="320"/>
      <c r="Q92" s="79"/>
      <c r="R92" s="50"/>
      <c r="S92" s="50"/>
      <c r="T92" s="63"/>
      <c r="U92" s="240"/>
      <c r="V92" s="66"/>
      <c r="W92" s="4"/>
      <c r="X92" s="319"/>
      <c r="Y92" s="320"/>
      <c r="Z92" s="238"/>
      <c r="AA92" s="230"/>
      <c r="AB92" s="230"/>
      <c r="AC92" s="63"/>
      <c r="AD92" s="230"/>
      <c r="AE92" s="66"/>
      <c r="AF92" s="4"/>
      <c r="AG92" s="4"/>
      <c r="AH92" s="4"/>
      <c r="AI92" s="4"/>
      <c r="AJ92" s="4"/>
      <c r="AK92" s="4"/>
      <c r="AL92" s="4"/>
      <c r="AM92" s="4"/>
      <c r="AN92" s="4"/>
      <c r="AO92" s="4"/>
    </row>
    <row r="93" spans="1:41" ht="15" customHeight="1">
      <c r="A93" s="88" t="s">
        <v>76</v>
      </c>
      <c r="B93" s="366"/>
      <c r="C93" s="366"/>
      <c r="D93" s="366"/>
      <c r="E93" s="366"/>
      <c r="F93" s="274">
        <v>12</v>
      </c>
      <c r="G93" s="274"/>
      <c r="H93" s="324"/>
      <c r="I93" s="324"/>
      <c r="J93" s="193"/>
      <c r="K93" s="193"/>
      <c r="L93" s="193"/>
      <c r="M93" s="66"/>
      <c r="N93" s="133"/>
      <c r="O93" s="319"/>
      <c r="P93" s="320"/>
      <c r="Q93" s="79"/>
      <c r="R93" s="50"/>
      <c r="S93" s="50"/>
      <c r="T93" s="63"/>
      <c r="U93" s="240"/>
      <c r="V93" s="66"/>
      <c r="W93" s="4"/>
      <c r="X93" s="319"/>
      <c r="Y93" s="320"/>
      <c r="Z93" s="238"/>
      <c r="AA93" s="230"/>
      <c r="AB93" s="230"/>
      <c r="AC93" s="63"/>
      <c r="AD93" s="230"/>
      <c r="AE93" s="66"/>
      <c r="AF93" s="4"/>
      <c r="AG93" s="4"/>
      <c r="AH93" s="4"/>
      <c r="AI93" s="4"/>
      <c r="AJ93" s="4"/>
      <c r="AK93" s="4"/>
      <c r="AL93" s="4"/>
      <c r="AM93" s="4"/>
      <c r="AN93" s="4"/>
      <c r="AO93" s="4"/>
    </row>
    <row r="94" spans="1:41" ht="15" customHeight="1">
      <c r="A94" s="88" t="s">
        <v>87</v>
      </c>
      <c r="B94" s="349"/>
      <c r="C94" s="349"/>
      <c r="D94" s="349"/>
      <c r="E94" s="349"/>
      <c r="F94" s="274">
        <v>12</v>
      </c>
      <c r="G94" s="274"/>
      <c r="H94" s="324"/>
      <c r="I94" s="324"/>
      <c r="J94" s="193"/>
      <c r="K94" s="193"/>
      <c r="L94" s="193"/>
      <c r="M94" s="66"/>
      <c r="N94" s="12"/>
      <c r="O94" s="319"/>
      <c r="P94" s="320"/>
      <c r="Q94" s="79"/>
      <c r="R94" s="50"/>
      <c r="S94" s="50"/>
      <c r="T94" s="63"/>
      <c r="U94" s="240"/>
      <c r="V94" s="66"/>
      <c r="W94" s="4"/>
      <c r="X94" s="319"/>
      <c r="Y94" s="320"/>
      <c r="Z94" s="238"/>
      <c r="AA94" s="230"/>
      <c r="AB94" s="230"/>
      <c r="AC94" s="63"/>
      <c r="AD94" s="230"/>
      <c r="AE94" s="66"/>
      <c r="AF94" s="4"/>
      <c r="AG94" s="4"/>
      <c r="AH94" s="4"/>
      <c r="AI94" s="4"/>
      <c r="AJ94" s="4"/>
      <c r="AK94" s="4"/>
      <c r="AL94" s="4"/>
      <c r="AM94" s="4"/>
      <c r="AN94" s="4"/>
      <c r="AO94" s="4"/>
    </row>
    <row r="95" spans="1:41" ht="15" customHeight="1">
      <c r="A95" s="88" t="s">
        <v>89</v>
      </c>
      <c r="B95" s="349"/>
      <c r="C95" s="320"/>
      <c r="D95" s="320"/>
      <c r="E95" s="320"/>
      <c r="F95" s="274">
        <v>12</v>
      </c>
      <c r="G95" s="274"/>
      <c r="H95" s="324"/>
      <c r="I95" s="324"/>
      <c r="J95" s="50"/>
      <c r="K95" s="50"/>
      <c r="L95" s="50"/>
      <c r="M95" s="50"/>
      <c r="N95" s="136"/>
      <c r="O95" s="319"/>
      <c r="P95" s="320"/>
      <c r="Q95" s="79"/>
      <c r="R95" s="50"/>
      <c r="S95" s="50"/>
      <c r="T95" s="63"/>
      <c r="U95" s="240"/>
      <c r="V95" s="66"/>
      <c r="W95" s="4"/>
      <c r="X95" s="319"/>
      <c r="Y95" s="320"/>
      <c r="Z95" s="238"/>
      <c r="AA95" s="230"/>
      <c r="AB95" s="230"/>
      <c r="AC95" s="63"/>
      <c r="AD95" s="230"/>
      <c r="AE95" s="66"/>
      <c r="AF95" s="4"/>
      <c r="AG95" s="4"/>
      <c r="AH95" s="4"/>
      <c r="AI95" s="4"/>
      <c r="AJ95" s="4"/>
      <c r="AK95" s="4"/>
      <c r="AL95" s="4"/>
      <c r="AM95" s="4"/>
      <c r="AN95" s="4"/>
      <c r="AO95" s="4"/>
    </row>
    <row r="96" spans="1:41" ht="15" customHeight="1">
      <c r="A96" s="88" t="s">
        <v>88</v>
      </c>
      <c r="B96" s="349"/>
      <c r="C96" s="320"/>
      <c r="D96" s="320"/>
      <c r="E96" s="320"/>
      <c r="F96" s="274">
        <v>12</v>
      </c>
      <c r="G96" s="274"/>
      <c r="H96" s="324"/>
      <c r="I96" s="324"/>
      <c r="J96" s="50"/>
      <c r="K96" s="50"/>
      <c r="L96" s="50"/>
      <c r="M96" s="50"/>
      <c r="N96" s="35"/>
      <c r="O96" s="319"/>
      <c r="P96" s="320"/>
      <c r="Q96" s="79"/>
      <c r="R96" s="50"/>
      <c r="S96" s="50"/>
      <c r="T96" s="63"/>
      <c r="U96" s="240"/>
      <c r="V96" s="66"/>
      <c r="W96" s="4"/>
      <c r="X96" s="319"/>
      <c r="Y96" s="320"/>
      <c r="Z96" s="238"/>
      <c r="AA96" s="230"/>
      <c r="AB96" s="230"/>
      <c r="AC96" s="63"/>
      <c r="AD96" s="230"/>
      <c r="AE96" s="66"/>
      <c r="AF96" s="4"/>
      <c r="AG96" s="4"/>
      <c r="AH96" s="4"/>
      <c r="AI96" s="4"/>
      <c r="AJ96" s="4"/>
      <c r="AK96" s="4"/>
      <c r="AL96" s="4"/>
      <c r="AM96" s="4"/>
      <c r="AN96" s="4"/>
      <c r="AO96" s="4"/>
    </row>
    <row r="97" spans="1:41" ht="15" customHeight="1" thickBot="1">
      <c r="A97" s="90" t="s">
        <v>90</v>
      </c>
      <c r="B97" s="440"/>
      <c r="C97" s="305"/>
      <c r="D97" s="305"/>
      <c r="E97" s="305"/>
      <c r="F97" s="282">
        <v>12</v>
      </c>
      <c r="G97" s="282"/>
      <c r="H97" s="360"/>
      <c r="I97" s="360"/>
      <c r="J97" s="139"/>
      <c r="K97" s="139"/>
      <c r="L97" s="135"/>
      <c r="M97" s="135"/>
      <c r="N97" s="35"/>
      <c r="O97" s="330"/>
      <c r="P97" s="305"/>
      <c r="Q97" s="84"/>
      <c r="R97" s="135"/>
      <c r="S97" s="135"/>
      <c r="T97" s="68"/>
      <c r="U97" s="241"/>
      <c r="V97" s="69"/>
      <c r="W97" s="4"/>
      <c r="X97" s="330"/>
      <c r="Y97" s="305"/>
      <c r="Z97" s="84"/>
      <c r="AA97" s="236"/>
      <c r="AB97" s="236"/>
      <c r="AC97" s="68"/>
      <c r="AD97" s="236"/>
      <c r="AE97" s="69"/>
      <c r="AF97" s="4"/>
      <c r="AG97" s="4"/>
      <c r="AH97" s="4"/>
      <c r="AI97" s="4"/>
      <c r="AJ97" s="4"/>
      <c r="AK97" s="4"/>
      <c r="AL97" s="4"/>
      <c r="AM97" s="4"/>
      <c r="AN97" s="4"/>
      <c r="AO97" s="4"/>
    </row>
    <row r="98" spans="1:41" ht="9.75" customHeight="1">
      <c r="A98" s="4"/>
      <c r="B98" s="9" t="s">
        <v>138</v>
      </c>
      <c r="C98" s="4"/>
      <c r="D98" s="4"/>
      <c r="E98" s="4"/>
      <c r="F98" s="4"/>
      <c r="G98" s="4"/>
      <c r="H98" s="4"/>
      <c r="I98" s="9" t="s">
        <v>139</v>
      </c>
      <c r="J98" s="4"/>
      <c r="K98" s="4"/>
      <c r="L98" s="4"/>
      <c r="M98" s="4"/>
      <c r="N98" s="4"/>
      <c r="O98" s="9" t="s">
        <v>140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</row>
    <row r="99" spans="1:41" ht="20.25" customHeight="1"/>
    <row r="120" ht="9.75" customHeight="1"/>
    <row r="121" ht="20.25" customHeight="1"/>
    <row r="122" ht="14.25" customHeight="1"/>
    <row r="128" ht="19.5" customHeight="1"/>
    <row r="129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9.5" customHeight="1"/>
    <row r="222" ht="19.5" customHeight="1"/>
    <row r="223" ht="19.5" customHeight="1"/>
    <row r="224" ht="19.5" customHeight="1"/>
    <row r="225" ht="19.5" customHeight="1"/>
    <row r="226" ht="19.5" customHeight="1"/>
    <row r="227" ht="19.5" customHeight="1"/>
    <row r="228" ht="19.5" customHeight="1"/>
    <row r="229" ht="19.5" customHeight="1"/>
    <row r="230" ht="19.5" customHeight="1"/>
    <row r="231" ht="19.5" customHeight="1"/>
    <row r="232" ht="19.5" customHeight="1"/>
    <row r="233" ht="19.5" customHeight="1"/>
    <row r="234" ht="19.5" customHeight="1"/>
    <row r="235" ht="19.5" customHeight="1"/>
    <row r="236" ht="19.5" customHeight="1"/>
    <row r="237" ht="19.5" customHeight="1"/>
    <row r="238" ht="19.5" customHeight="1"/>
    <row r="239" ht="19.5" customHeight="1"/>
    <row r="240" ht="19.5" customHeight="1"/>
    <row r="241" ht="19.5" customHeight="1"/>
    <row r="242" ht="19.5" customHeight="1"/>
    <row r="243" ht="19.5" customHeight="1"/>
    <row r="244" ht="19.5" customHeight="1"/>
    <row r="245" ht="19.5" customHeight="1"/>
    <row r="246" ht="19.5" customHeight="1"/>
    <row r="247" ht="19.5" customHeight="1"/>
    <row r="248" ht="19.5" customHeight="1"/>
    <row r="249" ht="19.5" customHeight="1"/>
    <row r="250" ht="19.5" customHeight="1"/>
    <row r="251" ht="19.5" customHeight="1"/>
    <row r="252" ht="19.5" customHeight="1"/>
    <row r="253" ht="19.5" customHeight="1"/>
    <row r="254" ht="19.5" customHeight="1"/>
    <row r="255" ht="19.5" customHeight="1"/>
    <row r="256" ht="19.5" customHeight="1"/>
    <row r="257" ht="19.5" customHeight="1"/>
    <row r="258" ht="19.5" customHeight="1"/>
    <row r="259" ht="19.5" customHeight="1"/>
    <row r="260" ht="19.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  <row r="282" ht="19.5" customHeight="1"/>
    <row r="283" ht="19.5" customHeight="1"/>
    <row r="284" ht="19.5" customHeight="1"/>
    <row r="285" ht="19.5" customHeight="1"/>
    <row r="286" ht="19.5" customHeight="1"/>
    <row r="287" ht="19.5" customHeight="1"/>
    <row r="288" ht="19.5" customHeight="1"/>
    <row r="289" ht="19.5" customHeight="1"/>
    <row r="290" ht="19.5" customHeight="1"/>
    <row r="291" ht="19.5" customHeight="1"/>
    <row r="292" ht="19.5" customHeight="1"/>
    <row r="293" ht="19.5" customHeight="1"/>
    <row r="294" ht="19.5" customHeight="1"/>
    <row r="295" ht="19.5" customHeight="1"/>
    <row r="296" ht="19.5" customHeight="1"/>
    <row r="297" ht="19.5" customHeight="1"/>
    <row r="298" ht="19.5" customHeight="1"/>
    <row r="299" ht="19.5" customHeight="1"/>
    <row r="300" ht="19.5" customHeight="1"/>
    <row r="301" ht="19.5" customHeight="1"/>
    <row r="302" ht="19.5" customHeight="1"/>
    <row r="303" ht="19.5" customHeight="1"/>
    <row r="304" ht="19.5" customHeight="1"/>
    <row r="305" ht="19.5" customHeight="1"/>
    <row r="306" ht="19.5" customHeight="1"/>
    <row r="307" ht="19.5" customHeight="1"/>
    <row r="308" ht="19.5" customHeight="1"/>
    <row r="309" ht="19.5" customHeight="1"/>
    <row r="310" ht="19.5" customHeight="1"/>
    <row r="311" ht="19.5" customHeight="1"/>
    <row r="312" ht="19.5" customHeight="1"/>
    <row r="313" ht="19.5" customHeight="1"/>
    <row r="314" ht="19.5" customHeight="1"/>
    <row r="315" ht="19.5" customHeight="1"/>
    <row r="316" ht="19.5" customHeight="1"/>
    <row r="317" ht="19.5" customHeight="1"/>
    <row r="318" ht="19.5" customHeight="1"/>
    <row r="319" ht="19.5" customHeight="1"/>
    <row r="320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  <row r="338" ht="19.5" customHeight="1"/>
    <row r="339" ht="19.5" customHeight="1"/>
    <row r="340" ht="19.5" customHeight="1"/>
    <row r="341" ht="19.5" customHeight="1"/>
    <row r="342" ht="19.5" customHeight="1"/>
    <row r="343" ht="19.5" customHeight="1"/>
    <row r="344" ht="19.5" customHeight="1"/>
    <row r="345" ht="19.5" customHeight="1"/>
    <row r="346" ht="19.5" customHeight="1"/>
    <row r="347" ht="19.5" customHeight="1"/>
    <row r="348" ht="19.5" customHeight="1"/>
    <row r="349" ht="19.5" customHeight="1"/>
    <row r="350" ht="19.5" customHeight="1"/>
    <row r="351" ht="19.5" customHeight="1"/>
    <row r="352" ht="19.5" customHeight="1"/>
    <row r="353" ht="19.5" customHeight="1"/>
    <row r="354" ht="19.5" customHeight="1"/>
    <row r="355" ht="19.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  <row r="414" ht="19.5" customHeight="1"/>
    <row r="415" ht="19.5" customHeight="1"/>
    <row r="416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  <row r="441" ht="19.5" customHeight="1"/>
    <row r="442" ht="19.5" customHeight="1"/>
    <row r="443" ht="19.5" customHeight="1"/>
    <row r="444" ht="19.5" customHeight="1"/>
    <row r="445" ht="19.5" customHeight="1"/>
    <row r="446" ht="19.5" customHeight="1"/>
    <row r="447" ht="19.5" customHeight="1"/>
    <row r="448" ht="19.5" customHeight="1"/>
    <row r="449" ht="19.5" customHeight="1"/>
    <row r="450" ht="19.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  <row r="481" ht="19.5" customHeight="1"/>
    <row r="482" ht="19.5" customHeight="1"/>
    <row r="483" ht="19.5" customHeight="1"/>
    <row r="484" ht="19.5" customHeight="1"/>
    <row r="485" ht="19.5" customHeight="1"/>
    <row r="486" ht="19.5" customHeight="1"/>
    <row r="487" ht="19.5" customHeight="1"/>
    <row r="488" ht="19.5" customHeight="1"/>
    <row r="489" ht="19.5" customHeight="1"/>
    <row r="490" ht="19.5" customHeight="1"/>
    <row r="491" ht="19.5" customHeight="1"/>
    <row r="492" ht="19.5" customHeight="1"/>
    <row r="493" ht="19.5" customHeight="1"/>
    <row r="494" ht="19.5" customHeight="1"/>
    <row r="495" ht="19.5" customHeight="1"/>
    <row r="496" ht="19.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  <row r="518" ht="19.5" customHeight="1"/>
    <row r="519" ht="19.5" customHeight="1"/>
    <row r="520" ht="19.5" customHeight="1"/>
    <row r="521" ht="19.5" customHeight="1"/>
    <row r="522" ht="19.5" customHeight="1"/>
    <row r="523" ht="19.5" customHeight="1"/>
    <row r="524" ht="19.5" customHeight="1"/>
    <row r="525" ht="19.5" customHeight="1"/>
    <row r="526" ht="19.5" customHeight="1"/>
    <row r="527" ht="19.5" customHeight="1"/>
    <row r="528" ht="19.5" customHeight="1"/>
    <row r="529" ht="19.5" customHeight="1"/>
    <row r="530" ht="19.5" customHeight="1"/>
    <row r="531" ht="19.5" customHeight="1"/>
    <row r="532" ht="19.5" customHeight="1"/>
    <row r="533" ht="19.5" customHeight="1"/>
    <row r="534" ht="19.5" customHeight="1"/>
    <row r="535" ht="19.5" customHeight="1"/>
    <row r="536" ht="19.5" customHeight="1"/>
    <row r="537" ht="19.5" customHeight="1"/>
    <row r="538" ht="19.5" customHeight="1"/>
    <row r="539" ht="19.5" customHeight="1"/>
    <row r="540" ht="19.5" customHeight="1"/>
    <row r="541" ht="19.5" customHeight="1"/>
    <row r="542" ht="19.5" customHeight="1"/>
    <row r="543" ht="19.5" customHeight="1"/>
    <row r="544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  <row r="556" ht="19.5" customHeight="1"/>
    <row r="557" ht="19.5" customHeight="1"/>
    <row r="558" ht="19.5" customHeight="1"/>
    <row r="559" ht="19.5" customHeight="1"/>
    <row r="560" ht="19.5" customHeight="1"/>
    <row r="561" ht="19.5" customHeight="1"/>
    <row r="562" ht="19.5" customHeight="1"/>
    <row r="563" ht="19.5" customHeight="1"/>
    <row r="564" ht="19.5" customHeight="1"/>
    <row r="565" ht="19.5" customHeight="1"/>
    <row r="566" ht="19.5" customHeight="1"/>
    <row r="567" ht="19.5" customHeight="1"/>
    <row r="568" ht="19.5" customHeight="1"/>
    <row r="569" ht="19.5" customHeight="1"/>
    <row r="570" ht="19.5" customHeight="1"/>
    <row r="571" ht="19.5" customHeight="1"/>
    <row r="572" ht="19.5" customHeight="1"/>
    <row r="573" ht="19.5" customHeight="1"/>
    <row r="574" ht="19.5" customHeight="1"/>
    <row r="575" ht="19.5" customHeight="1"/>
    <row r="576" ht="19.5" customHeight="1"/>
    <row r="577" ht="19.5" customHeight="1"/>
    <row r="578" ht="19.5" customHeight="1"/>
    <row r="579" ht="19.5" customHeight="1"/>
    <row r="580" ht="19.5" customHeight="1"/>
    <row r="581" ht="19.5" customHeight="1"/>
    <row r="582" ht="19.5" customHeight="1"/>
    <row r="583" ht="19.5" customHeight="1"/>
    <row r="584" ht="19.5" customHeight="1"/>
    <row r="585" ht="19.5" customHeight="1"/>
    <row r="586" ht="19.5" customHeight="1"/>
    <row r="587" ht="19.5" customHeight="1"/>
    <row r="588" ht="19.5" customHeight="1"/>
    <row r="589" ht="19.5" customHeight="1"/>
    <row r="590" ht="19.5" customHeight="1"/>
    <row r="591" ht="19.5" customHeight="1"/>
    <row r="592" ht="19.5" customHeight="1"/>
    <row r="593" ht="19.5" customHeight="1"/>
    <row r="594" ht="19.5" customHeight="1"/>
    <row r="595" ht="19.5" customHeight="1"/>
    <row r="596" ht="19.5" customHeight="1"/>
    <row r="597" ht="19.5" customHeight="1"/>
    <row r="598" ht="19.5" customHeight="1"/>
    <row r="599" ht="19.5" customHeight="1"/>
    <row r="600" ht="19.5" customHeight="1"/>
    <row r="601" ht="19.5" customHeight="1"/>
    <row r="602" ht="19.5" customHeight="1"/>
    <row r="603" ht="19.5" customHeight="1"/>
    <row r="604" ht="19.5" customHeight="1"/>
    <row r="605" ht="19.5" customHeight="1"/>
    <row r="606" ht="19.5" customHeight="1"/>
    <row r="607" ht="19.5" customHeight="1"/>
    <row r="608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  <row r="621" ht="19.5" customHeight="1"/>
    <row r="622" ht="19.5" customHeight="1"/>
    <row r="623" ht="19.5" customHeight="1"/>
    <row r="624" ht="19.5" customHeight="1"/>
    <row r="625" ht="19.5" customHeight="1"/>
    <row r="626" ht="19.5" customHeight="1"/>
    <row r="627" ht="19.5" customHeight="1"/>
    <row r="628" ht="19.5" customHeight="1"/>
    <row r="629" ht="19.5" customHeight="1"/>
    <row r="630" ht="19.5" customHeight="1"/>
    <row r="631" ht="19.5" customHeight="1"/>
    <row r="632" ht="19.5" customHeight="1"/>
    <row r="633" ht="19.5" customHeight="1"/>
    <row r="634" ht="19.5" customHeight="1"/>
    <row r="635" ht="19.5" customHeight="1"/>
    <row r="636" ht="19.5" customHeight="1"/>
    <row r="637" ht="19.5" customHeight="1"/>
    <row r="638" ht="19.5" customHeight="1"/>
    <row r="639" ht="19.5" customHeight="1"/>
    <row r="640" ht="19.5" customHeight="1"/>
    <row r="641" ht="19.5" customHeight="1"/>
    <row r="642" ht="19.5" customHeight="1"/>
    <row r="643" ht="19.5" customHeight="1"/>
    <row r="644" ht="19.5" customHeight="1"/>
    <row r="645" ht="19.5" customHeight="1"/>
    <row r="646" ht="19.5" customHeight="1"/>
    <row r="647" ht="19.5" customHeight="1"/>
    <row r="648" ht="19.5" customHeight="1"/>
    <row r="649" ht="19.5" customHeight="1"/>
    <row r="650" ht="19.5" customHeight="1"/>
    <row r="651" ht="19.5" customHeight="1"/>
    <row r="652" ht="19.5" customHeight="1"/>
    <row r="653" ht="19.5" customHeight="1"/>
    <row r="654" ht="19.5" customHeight="1"/>
    <row r="655" ht="19.5" customHeight="1"/>
    <row r="656" ht="19.5" customHeight="1"/>
    <row r="657" ht="19.5" customHeight="1"/>
    <row r="658" ht="19.5" customHeight="1"/>
    <row r="659" ht="19.5" customHeight="1"/>
    <row r="660" ht="19.5" customHeight="1"/>
    <row r="661" ht="19.5" customHeight="1"/>
    <row r="662" ht="19.5" customHeight="1"/>
    <row r="663" ht="19.5" customHeight="1"/>
    <row r="664" ht="19.5" customHeight="1"/>
    <row r="665" ht="19.5" customHeight="1"/>
    <row r="666" ht="19.5" customHeight="1"/>
    <row r="667" ht="19.5" customHeight="1"/>
    <row r="668" ht="19.5" customHeight="1"/>
    <row r="669" ht="19.5" customHeight="1"/>
    <row r="670" ht="19.5" customHeight="1"/>
    <row r="671" ht="19.5" customHeight="1"/>
    <row r="672" ht="19.5" customHeight="1"/>
    <row r="673" ht="19.5" customHeight="1"/>
    <row r="674" ht="19.5" customHeight="1"/>
    <row r="675" ht="19.5" customHeight="1"/>
    <row r="676" ht="19.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  <row r="704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  <row r="719" ht="19.5" customHeight="1"/>
    <row r="720" ht="19.5" customHeight="1"/>
    <row r="721" ht="19.5" customHeight="1"/>
    <row r="722" ht="19.5" customHeight="1"/>
    <row r="723" ht="19.5" customHeight="1"/>
    <row r="724" ht="19.5" customHeight="1"/>
    <row r="725" ht="19.5" customHeight="1"/>
    <row r="726" ht="19.5" customHeight="1"/>
    <row r="727" ht="19.5" customHeight="1"/>
    <row r="728" ht="19.5" customHeight="1"/>
    <row r="729" ht="19.5" customHeight="1"/>
    <row r="730" ht="19.5" customHeight="1"/>
    <row r="731" ht="19.5" customHeight="1"/>
    <row r="732" ht="19.5" customHeight="1"/>
    <row r="733" ht="19.5" customHeight="1"/>
    <row r="734" ht="19.5" customHeight="1"/>
    <row r="735" ht="19.5" customHeight="1"/>
    <row r="736" ht="19.5" customHeight="1"/>
    <row r="737" ht="19.5" customHeight="1"/>
    <row r="738" ht="19.5" customHeight="1"/>
    <row r="739" ht="19.5" customHeight="1"/>
    <row r="740" ht="19.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  <row r="760" ht="19.5" customHeight="1"/>
    <row r="761" ht="19.5" customHeight="1"/>
    <row r="762" ht="19.5" customHeight="1"/>
    <row r="763" ht="19.5" customHeight="1"/>
    <row r="764" ht="19.5" customHeight="1"/>
    <row r="765" ht="19.5" customHeight="1"/>
    <row r="766" ht="19.5" customHeight="1"/>
    <row r="767" ht="19.5" customHeight="1"/>
    <row r="768" ht="19.5" customHeight="1"/>
    <row r="769" ht="19.5" customHeight="1"/>
    <row r="770" ht="19.5" customHeight="1"/>
    <row r="771" ht="19.5" customHeight="1"/>
    <row r="772" ht="19.5" customHeight="1"/>
    <row r="773" ht="19.5" customHeight="1"/>
    <row r="774" ht="19.5" customHeight="1"/>
    <row r="775" ht="19.5" customHeight="1"/>
    <row r="776" ht="19.5" customHeight="1"/>
    <row r="777" ht="19.5" customHeight="1"/>
    <row r="778" ht="19.5" customHeight="1"/>
    <row r="779" ht="19.5" customHeight="1"/>
    <row r="780" ht="19.5" customHeight="1"/>
    <row r="781" ht="19.5" customHeight="1"/>
    <row r="782" ht="19.5" customHeight="1"/>
    <row r="783" ht="19.5" customHeight="1"/>
    <row r="784" ht="19.5" customHeight="1"/>
    <row r="785" ht="19.5" customHeight="1"/>
    <row r="786" ht="19.5" customHeight="1"/>
    <row r="787" ht="19.5" customHeight="1"/>
    <row r="788" ht="19.5" customHeight="1"/>
    <row r="789" ht="19.5" customHeight="1"/>
    <row r="790" ht="19.5" customHeight="1"/>
    <row r="791" ht="19.5" customHeight="1"/>
    <row r="792" ht="19.5" customHeight="1"/>
    <row r="793" ht="19.5" customHeight="1"/>
    <row r="794" ht="19.5" customHeight="1"/>
    <row r="795" ht="19.5" customHeight="1"/>
    <row r="796" ht="19.5" customHeight="1"/>
    <row r="797" ht="19.5" customHeight="1"/>
    <row r="798" ht="19.5" customHeight="1"/>
    <row r="799" ht="19.5" customHeight="1"/>
    <row r="800" ht="19.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  <row r="829" ht="19.5" customHeight="1"/>
    <row r="830" ht="19.5" customHeight="1"/>
    <row r="831" ht="19.5" customHeight="1"/>
    <row r="832" ht="19.5" customHeight="1"/>
    <row r="833" ht="19.5" customHeight="1"/>
    <row r="834" ht="19.5" customHeight="1"/>
    <row r="835" ht="19.5" customHeight="1"/>
    <row r="836" ht="19.5" customHeight="1"/>
    <row r="837" ht="19.5" customHeight="1"/>
    <row r="838" ht="19.5" customHeight="1"/>
    <row r="839" ht="19.5" customHeight="1"/>
    <row r="840" ht="19.5" customHeight="1"/>
    <row r="841" ht="19.5" customHeight="1"/>
    <row r="842" ht="19.5" customHeight="1"/>
    <row r="843" ht="19.5" customHeight="1"/>
    <row r="844" ht="19.5" customHeight="1"/>
    <row r="845" ht="19.5" customHeight="1"/>
    <row r="846" ht="19.5" customHeight="1"/>
    <row r="847" ht="19.5" customHeight="1"/>
    <row r="848" ht="19.5" customHeight="1"/>
    <row r="849" ht="19.5" customHeight="1"/>
    <row r="850" ht="19.5" customHeight="1"/>
    <row r="851" ht="19.5" customHeight="1"/>
    <row r="852" ht="19.5" customHeight="1"/>
    <row r="853" ht="19.5" customHeight="1"/>
    <row r="854" ht="19.5" customHeight="1"/>
    <row r="855" ht="19.5" customHeight="1"/>
    <row r="856" ht="19.5" customHeight="1"/>
    <row r="857" ht="19.5" customHeight="1"/>
    <row r="858" ht="19.5" customHeight="1"/>
    <row r="859" ht="19.5" customHeight="1"/>
    <row r="860" ht="19.5" customHeight="1"/>
    <row r="861" ht="19.5" customHeight="1"/>
    <row r="862" ht="19.5" customHeight="1"/>
    <row r="863" ht="19.5" customHeight="1"/>
    <row r="864" ht="19.5" customHeight="1"/>
    <row r="865" ht="19.5" customHeight="1"/>
    <row r="866" ht="19.5" customHeight="1"/>
    <row r="867" ht="19.5" customHeight="1"/>
    <row r="868" ht="19.5" customHeight="1"/>
    <row r="869" ht="19.5" customHeight="1"/>
    <row r="870" ht="19.5" customHeight="1"/>
    <row r="871" ht="19.5" customHeight="1"/>
    <row r="872" ht="19.5" customHeight="1"/>
    <row r="873" ht="19.5" customHeight="1"/>
    <row r="874" ht="19.5" customHeight="1"/>
    <row r="875" ht="19.5" customHeight="1"/>
    <row r="876" ht="19.5" customHeight="1"/>
    <row r="877" ht="19.5" customHeight="1"/>
    <row r="878" ht="19.5" customHeight="1"/>
    <row r="879" ht="19.5" customHeight="1"/>
    <row r="880" ht="19.5" customHeight="1"/>
    <row r="881" ht="19.5" customHeight="1"/>
    <row r="882" ht="19.5" customHeight="1"/>
    <row r="883" ht="19.5" customHeight="1"/>
    <row r="884" ht="19.5" customHeight="1"/>
    <row r="885" ht="19.5" customHeight="1"/>
    <row r="886" ht="19.5" customHeight="1"/>
    <row r="887" ht="19.5" customHeight="1"/>
    <row r="888" ht="19.5" customHeight="1"/>
    <row r="889" ht="19.5" customHeight="1"/>
    <row r="890" ht="19.5" customHeight="1"/>
    <row r="891" ht="19.5" customHeight="1"/>
    <row r="892" ht="19.5" customHeight="1"/>
    <row r="893" ht="19.5" customHeight="1"/>
    <row r="894" ht="19.5" customHeight="1"/>
    <row r="895" ht="19.5" customHeight="1"/>
    <row r="896" ht="19.5" customHeight="1"/>
    <row r="897" ht="19.5" customHeight="1"/>
    <row r="898" ht="19.5" customHeight="1"/>
    <row r="899" ht="19.5" customHeight="1"/>
    <row r="900" ht="19.5" customHeight="1"/>
    <row r="901" ht="19.5" customHeight="1"/>
    <row r="902" ht="19.5" customHeight="1"/>
    <row r="903" ht="19.5" customHeight="1"/>
    <row r="904" ht="19.5" customHeight="1"/>
    <row r="905" ht="19.5" customHeight="1"/>
    <row r="906" ht="19.5" customHeight="1"/>
    <row r="907" ht="19.5" customHeight="1"/>
    <row r="908" ht="19.5" customHeight="1"/>
    <row r="909" ht="19.5" customHeight="1"/>
    <row r="910" ht="19.5" customHeight="1"/>
    <row r="911" ht="19.5" customHeight="1"/>
    <row r="912" ht="19.5" customHeight="1"/>
    <row r="913" ht="19.5" customHeight="1"/>
    <row r="914" ht="19.5" customHeight="1"/>
    <row r="915" ht="19.5" customHeight="1"/>
    <row r="916" ht="19.5" customHeight="1"/>
    <row r="917" ht="19.5" customHeight="1"/>
    <row r="918" ht="19.5" customHeight="1"/>
    <row r="919" ht="19.5" customHeight="1"/>
    <row r="920" ht="19.5" customHeight="1"/>
    <row r="921" ht="19.5" customHeight="1"/>
    <row r="922" ht="19.5" customHeight="1"/>
    <row r="923" ht="19.5" customHeight="1"/>
    <row r="924" ht="19.5" customHeight="1"/>
    <row r="925" ht="19.5" customHeight="1"/>
    <row r="926" ht="19.5" customHeight="1"/>
    <row r="927" ht="19.5" customHeight="1"/>
    <row r="928" ht="19.5" customHeight="1"/>
    <row r="929" ht="19.5" customHeight="1"/>
    <row r="930" ht="19.5" customHeight="1"/>
    <row r="931" ht="19.5" customHeight="1"/>
    <row r="932" ht="19.5" customHeight="1"/>
    <row r="933" ht="19.5" customHeight="1"/>
    <row r="934" ht="19.5" customHeight="1"/>
    <row r="935" ht="19.5" customHeight="1"/>
    <row r="936" ht="19.5" customHeight="1"/>
    <row r="937" ht="19.5" customHeight="1"/>
    <row r="938" ht="19.5" customHeight="1"/>
    <row r="939" ht="19.5" customHeight="1"/>
    <row r="940" ht="19.5" customHeight="1"/>
    <row r="941" ht="19.5" customHeight="1"/>
    <row r="942" ht="19.5" customHeight="1"/>
    <row r="943" ht="19.5" customHeight="1"/>
    <row r="944" ht="19.5" customHeight="1"/>
    <row r="945" ht="19.5" customHeight="1"/>
    <row r="946" ht="19.5" customHeight="1"/>
    <row r="947" ht="19.5" customHeight="1"/>
    <row r="948" ht="19.5" customHeight="1"/>
    <row r="949" ht="19.5" customHeight="1"/>
    <row r="950" ht="19.5" customHeight="1"/>
    <row r="951" ht="19.5" customHeight="1"/>
    <row r="952" ht="19.5" customHeight="1"/>
    <row r="953" ht="19.5" customHeight="1"/>
    <row r="954" ht="19.5" customHeight="1"/>
    <row r="955" ht="19.5" customHeight="1"/>
    <row r="956" ht="19.5" customHeight="1"/>
    <row r="957" ht="19.5" customHeight="1"/>
    <row r="958" ht="19.5" customHeight="1"/>
    <row r="959" ht="19.5" customHeight="1"/>
    <row r="960" ht="19.5" customHeight="1"/>
    <row r="961" ht="19.5" customHeight="1"/>
    <row r="962" ht="19.5" customHeight="1"/>
    <row r="963" ht="19.5" customHeight="1"/>
    <row r="964" ht="19.5" customHeight="1"/>
    <row r="965" ht="19.5" customHeight="1"/>
    <row r="966" ht="19.5" customHeight="1"/>
    <row r="967" ht="19.5" customHeight="1"/>
    <row r="968" ht="19.5" customHeight="1"/>
    <row r="969" ht="19.5" customHeight="1"/>
    <row r="970" ht="19.5" customHeight="1"/>
    <row r="971" ht="19.5" customHeight="1"/>
    <row r="972" ht="19.5" customHeight="1"/>
    <row r="973" ht="19.5" customHeight="1"/>
    <row r="974" ht="19.5" customHeight="1"/>
    <row r="975" ht="19.5" customHeight="1"/>
    <row r="976" ht="19.5" customHeight="1"/>
    <row r="977" ht="19.5" customHeight="1"/>
    <row r="978" ht="19.5" customHeight="1"/>
    <row r="979" ht="19.5" customHeight="1"/>
    <row r="980" ht="19.5" customHeight="1"/>
    <row r="981" ht="19.5" customHeight="1"/>
    <row r="982" ht="19.5" customHeight="1"/>
    <row r="983" ht="19.5" customHeight="1"/>
    <row r="984" ht="19.5" customHeight="1"/>
    <row r="985" ht="19.5" customHeight="1"/>
    <row r="986" ht="19.5" customHeight="1"/>
    <row r="987" ht="19.5" customHeight="1"/>
    <row r="988" ht="19.5" customHeight="1"/>
    <row r="989" ht="19.5" customHeight="1"/>
    <row r="990" ht="19.5" customHeight="1"/>
    <row r="991" ht="19.5" customHeight="1"/>
    <row r="99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</sheetData>
  <mergeCells count="432">
    <mergeCell ref="AF54:AG54"/>
    <mergeCell ref="W55:AD55"/>
    <mergeCell ref="AF55:AG55"/>
    <mergeCell ref="W56:AD56"/>
    <mergeCell ref="AF56:AG56"/>
    <mergeCell ref="W57:AD57"/>
    <mergeCell ref="AF57:AG57"/>
    <mergeCell ref="W58:AD58"/>
    <mergeCell ref="AF58:AG58"/>
    <mergeCell ref="AF49:AG49"/>
    <mergeCell ref="W50:AD50"/>
    <mergeCell ref="AF50:AG50"/>
    <mergeCell ref="W51:AD51"/>
    <mergeCell ref="AF51:AG51"/>
    <mergeCell ref="W52:AD52"/>
    <mergeCell ref="AF52:AG52"/>
    <mergeCell ref="W53:AD53"/>
    <mergeCell ref="AF53:AG53"/>
    <mergeCell ref="X92:Y92"/>
    <mergeCell ref="X93:Y93"/>
    <mergeCell ref="X94:Y94"/>
    <mergeCell ref="X95:Y95"/>
    <mergeCell ref="X96:Y96"/>
    <mergeCell ref="X97:Y97"/>
    <mergeCell ref="AD40:AE40"/>
    <mergeCell ref="AD41:AE41"/>
    <mergeCell ref="AD42:AE42"/>
    <mergeCell ref="AD43:AE43"/>
    <mergeCell ref="W49:AD49"/>
    <mergeCell ref="W54:AD54"/>
    <mergeCell ref="X82:Y82"/>
    <mergeCell ref="X83:Y83"/>
    <mergeCell ref="X84:Y84"/>
    <mergeCell ref="X85:Y85"/>
    <mergeCell ref="X87:Z87"/>
    <mergeCell ref="X88:Y88"/>
    <mergeCell ref="X89:Y89"/>
    <mergeCell ref="X90:Y90"/>
    <mergeCell ref="X91:Y91"/>
    <mergeCell ref="X72:Y72"/>
    <mergeCell ref="X73:Y73"/>
    <mergeCell ref="X75:Z75"/>
    <mergeCell ref="F96:G96"/>
    <mergeCell ref="F97:G97"/>
    <mergeCell ref="H87:I87"/>
    <mergeCell ref="H88:I88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F87:G87"/>
    <mergeCell ref="F89:G89"/>
    <mergeCell ref="F90:G90"/>
    <mergeCell ref="F91:G91"/>
    <mergeCell ref="W1:AF1"/>
    <mergeCell ref="AB11:AC11"/>
    <mergeCell ref="AB12:AC12"/>
    <mergeCell ref="Z7:AA7"/>
    <mergeCell ref="W6:AE6"/>
    <mergeCell ref="F92:G92"/>
    <mergeCell ref="F93:G93"/>
    <mergeCell ref="F94:G94"/>
    <mergeCell ref="F95:G95"/>
    <mergeCell ref="X76:Y76"/>
    <mergeCell ref="X77:Y77"/>
    <mergeCell ref="X78:Y78"/>
    <mergeCell ref="X79:Y79"/>
    <mergeCell ref="X80:Y80"/>
    <mergeCell ref="X81:Y81"/>
    <mergeCell ref="X63:Z63"/>
    <mergeCell ref="X64:Y64"/>
    <mergeCell ref="X65:Y65"/>
    <mergeCell ref="X66:Y66"/>
    <mergeCell ref="X67:Y67"/>
    <mergeCell ref="X68:Y68"/>
    <mergeCell ref="X69:Y69"/>
    <mergeCell ref="X70:Y70"/>
    <mergeCell ref="X71:Y71"/>
    <mergeCell ref="W12:X12"/>
    <mergeCell ref="W2:X2"/>
    <mergeCell ref="Z2:AA2"/>
    <mergeCell ref="AB2:AC2"/>
    <mergeCell ref="W3:X3"/>
    <mergeCell ref="AB3:AC3"/>
    <mergeCell ref="T81:V81"/>
    <mergeCell ref="U82:V82"/>
    <mergeCell ref="U85:V85"/>
    <mergeCell ref="T43:U43"/>
    <mergeCell ref="X18:Y18"/>
    <mergeCell ref="Z18:AA18"/>
    <mergeCell ref="Y21:Z23"/>
    <mergeCell ref="W22:W23"/>
    <mergeCell ref="X22:X23"/>
    <mergeCell ref="Y32:Z32"/>
    <mergeCell ref="Y30:Z31"/>
    <mergeCell ref="T42:U42"/>
    <mergeCell ref="T41:U41"/>
    <mergeCell ref="W25:AD25"/>
    <mergeCell ref="W20:Z20"/>
    <mergeCell ref="W24:X24"/>
    <mergeCell ref="T21:U21"/>
    <mergeCell ref="AC21:AD23"/>
    <mergeCell ref="O97:P97"/>
    <mergeCell ref="O95:P95"/>
    <mergeCell ref="O91:P91"/>
    <mergeCell ref="J82:K82"/>
    <mergeCell ref="J84:K84"/>
    <mergeCell ref="J85:K85"/>
    <mergeCell ref="O93:P93"/>
    <mergeCell ref="O92:P92"/>
    <mergeCell ref="U83:V83"/>
    <mergeCell ref="J83:K83"/>
    <mergeCell ref="O90:P90"/>
    <mergeCell ref="O94:P94"/>
    <mergeCell ref="O96:P96"/>
    <mergeCell ref="R85:S85"/>
    <mergeCell ref="R82:S82"/>
    <mergeCell ref="U84:V84"/>
    <mergeCell ref="O89:P89"/>
    <mergeCell ref="O88:P88"/>
    <mergeCell ref="O87:Q87"/>
    <mergeCell ref="R83:S83"/>
    <mergeCell ref="R84:S84"/>
    <mergeCell ref="B96:E96"/>
    <mergeCell ref="B97:E97"/>
    <mergeCell ref="J43:K43"/>
    <mergeCell ref="J42:K42"/>
    <mergeCell ref="A83:E83"/>
    <mergeCell ref="B90:E90"/>
    <mergeCell ref="B89:E89"/>
    <mergeCell ref="A81:E81"/>
    <mergeCell ref="A82:E82"/>
    <mergeCell ref="B95:E95"/>
    <mergeCell ref="B93:E93"/>
    <mergeCell ref="J50:K50"/>
    <mergeCell ref="A52:H52"/>
    <mergeCell ref="J48:K48"/>
    <mergeCell ref="A48:H48"/>
    <mergeCell ref="A72:C72"/>
    <mergeCell ref="A71:C71"/>
    <mergeCell ref="A70:C70"/>
    <mergeCell ref="A84:E84"/>
    <mergeCell ref="A85:E85"/>
    <mergeCell ref="A87:E87"/>
    <mergeCell ref="B88:E88"/>
    <mergeCell ref="B91:E91"/>
    <mergeCell ref="F88:G88"/>
    <mergeCell ref="J52:K52"/>
    <mergeCell ref="A55:H55"/>
    <mergeCell ref="A53:H53"/>
    <mergeCell ref="A54:H54"/>
    <mergeCell ref="A63:G63"/>
    <mergeCell ref="J58:K58"/>
    <mergeCell ref="J57:K57"/>
    <mergeCell ref="J81:K81"/>
    <mergeCell ref="A78:D78"/>
    <mergeCell ref="A79:D79"/>
    <mergeCell ref="A64:G64"/>
    <mergeCell ref="A65:G65"/>
    <mergeCell ref="A66:G66"/>
    <mergeCell ref="A67:G67"/>
    <mergeCell ref="A68:G68"/>
    <mergeCell ref="A75:D75"/>
    <mergeCell ref="A76:D76"/>
    <mergeCell ref="A77:D77"/>
    <mergeCell ref="A74:D74"/>
    <mergeCell ref="J55:K55"/>
    <mergeCell ref="J54:K54"/>
    <mergeCell ref="J53:K53"/>
    <mergeCell ref="B92:E92"/>
    <mergeCell ref="A56:H56"/>
    <mergeCell ref="B94:E94"/>
    <mergeCell ref="H60:L60"/>
    <mergeCell ref="T70:V72"/>
    <mergeCell ref="T67:V67"/>
    <mergeCell ref="T68:V68"/>
    <mergeCell ref="T64:V66"/>
    <mergeCell ref="N70:O70"/>
    <mergeCell ref="N72:O72"/>
    <mergeCell ref="N71:O71"/>
    <mergeCell ref="T69:V69"/>
    <mergeCell ref="F60:G60"/>
    <mergeCell ref="A57:H57"/>
    <mergeCell ref="N60:O60"/>
    <mergeCell ref="C60:E60"/>
    <mergeCell ref="A60:B60"/>
    <mergeCell ref="Q60:R60"/>
    <mergeCell ref="J56:K56"/>
    <mergeCell ref="A58:H58"/>
    <mergeCell ref="Q81:S81"/>
    <mergeCell ref="AD44:AE44"/>
    <mergeCell ref="AD45:AE45"/>
    <mergeCell ref="AD47:AE47"/>
    <mergeCell ref="AD46:AE46"/>
    <mergeCell ref="T51:U51"/>
    <mergeCell ref="T50:U50"/>
    <mergeCell ref="T63:V63"/>
    <mergeCell ref="T60:U60"/>
    <mergeCell ref="T57:U57"/>
    <mergeCell ref="T58:U58"/>
    <mergeCell ref="T56:U56"/>
    <mergeCell ref="T55:U55"/>
    <mergeCell ref="T54:U54"/>
    <mergeCell ref="T53:U53"/>
    <mergeCell ref="T52:U52"/>
    <mergeCell ref="A51:H51"/>
    <mergeCell ref="T49:U49"/>
    <mergeCell ref="T48:U48"/>
    <mergeCell ref="J49:K49"/>
    <mergeCell ref="J44:K44"/>
    <mergeCell ref="A44:H44"/>
    <mergeCell ref="J45:K45"/>
    <mergeCell ref="J46:K46"/>
    <mergeCell ref="A45:H45"/>
    <mergeCell ref="A46:H46"/>
    <mergeCell ref="J47:K47"/>
    <mergeCell ref="A47:H47"/>
    <mergeCell ref="A49:H49"/>
    <mergeCell ref="A50:H50"/>
    <mergeCell ref="J51:K51"/>
    <mergeCell ref="T47:U47"/>
    <mergeCell ref="T44:U44"/>
    <mergeCell ref="T45:U45"/>
    <mergeCell ref="T46:U46"/>
    <mergeCell ref="AB22:AB23"/>
    <mergeCell ref="AA20:AE20"/>
    <mergeCell ref="AE22:AE23"/>
    <mergeCell ref="AA22:AA23"/>
    <mergeCell ref="C1:H1"/>
    <mergeCell ref="I1:K1"/>
    <mergeCell ref="A1:B1"/>
    <mergeCell ref="T2:U2"/>
    <mergeCell ref="T1:U1"/>
    <mergeCell ref="M1:P1"/>
    <mergeCell ref="B3:U3"/>
    <mergeCell ref="Q1:R1"/>
    <mergeCell ref="J2:K2"/>
    <mergeCell ref="P2:R2"/>
    <mergeCell ref="N2:O2"/>
    <mergeCell ref="C9:D9"/>
    <mergeCell ref="A14:B14"/>
    <mergeCell ref="A12:B12"/>
    <mergeCell ref="G12:H12"/>
    <mergeCell ref="A16:B16"/>
    <mergeCell ref="C16:D16"/>
    <mergeCell ref="C15:D15"/>
    <mergeCell ref="W11:X11"/>
    <mergeCell ref="E12:F12"/>
    <mergeCell ref="C12:D12"/>
    <mergeCell ref="J16:R16"/>
    <mergeCell ref="J21:K22"/>
    <mergeCell ref="J26:K26"/>
    <mergeCell ref="E26:F26"/>
    <mergeCell ref="A28:C28"/>
    <mergeCell ref="A26:C26"/>
    <mergeCell ref="A27:C27"/>
    <mergeCell ref="J30:K30"/>
    <mergeCell ref="G27:H27"/>
    <mergeCell ref="G26:H26"/>
    <mergeCell ref="E27:F27"/>
    <mergeCell ref="A30:H30"/>
    <mergeCell ref="E25:F25"/>
    <mergeCell ref="A23:D23"/>
    <mergeCell ref="A20:B20"/>
    <mergeCell ref="A21:B21"/>
    <mergeCell ref="A24:C24"/>
    <mergeCell ref="N24:R24"/>
    <mergeCell ref="N25:R25"/>
    <mergeCell ref="G25:H25"/>
    <mergeCell ref="E16:H16"/>
    <mergeCell ref="A18:B18"/>
    <mergeCell ref="E23:F23"/>
    <mergeCell ref="J39:K39"/>
    <mergeCell ref="A34:H34"/>
    <mergeCell ref="J35:K35"/>
    <mergeCell ref="J36:K36"/>
    <mergeCell ref="J37:K37"/>
    <mergeCell ref="J38:K38"/>
    <mergeCell ref="J31:K31"/>
    <mergeCell ref="J40:K40"/>
    <mergeCell ref="G28:H28"/>
    <mergeCell ref="E28:F28"/>
    <mergeCell ref="J41:K41"/>
    <mergeCell ref="A40:H40"/>
    <mergeCell ref="A42:H42"/>
    <mergeCell ref="A43:H43"/>
    <mergeCell ref="A31:H31"/>
    <mergeCell ref="A36:H36"/>
    <mergeCell ref="A39:H39"/>
    <mergeCell ref="A41:H41"/>
    <mergeCell ref="J17:R17"/>
    <mergeCell ref="A33:H33"/>
    <mergeCell ref="N23:R23"/>
    <mergeCell ref="A17:B17"/>
    <mergeCell ref="J34:K34"/>
    <mergeCell ref="C17:D18"/>
    <mergeCell ref="E18:F18"/>
    <mergeCell ref="A25:C25"/>
    <mergeCell ref="A37:H37"/>
    <mergeCell ref="A35:H35"/>
    <mergeCell ref="A38:H38"/>
    <mergeCell ref="A32:H32"/>
    <mergeCell ref="J27:K28"/>
    <mergeCell ref="J32:K32"/>
    <mergeCell ref="J33:K33"/>
    <mergeCell ref="M28:R28"/>
    <mergeCell ref="AC33:AD34"/>
    <mergeCell ref="AC32:AD32"/>
    <mergeCell ref="AA33:AB34"/>
    <mergeCell ref="AA32:AB32"/>
    <mergeCell ref="W37:X37"/>
    <mergeCell ref="Y37:AB37"/>
    <mergeCell ref="Y38:AB38"/>
    <mergeCell ref="W36:AB36"/>
    <mergeCell ref="Y26:Z26"/>
    <mergeCell ref="W26:X26"/>
    <mergeCell ref="AA26:AB26"/>
    <mergeCell ref="AA29:AB29"/>
    <mergeCell ref="Y29:Z29"/>
    <mergeCell ref="W29:X29"/>
    <mergeCell ref="Y27:Z28"/>
    <mergeCell ref="W27:X28"/>
    <mergeCell ref="AA27:AB28"/>
    <mergeCell ref="W30:X31"/>
    <mergeCell ref="W33:X34"/>
    <mergeCell ref="AA30:AB31"/>
    <mergeCell ref="Y33:Z34"/>
    <mergeCell ref="W38:X38"/>
    <mergeCell ref="W32:X32"/>
    <mergeCell ref="E24:F24"/>
    <mergeCell ref="E17:F17"/>
    <mergeCell ref="G18:H18"/>
    <mergeCell ref="G23:H23"/>
    <mergeCell ref="G24:H24"/>
    <mergeCell ref="G17:H17"/>
    <mergeCell ref="N21:R21"/>
    <mergeCell ref="J24:K25"/>
    <mergeCell ref="A15:B15"/>
    <mergeCell ref="E9:F9"/>
    <mergeCell ref="C10:D11"/>
    <mergeCell ref="I6:I28"/>
    <mergeCell ref="E6:F7"/>
    <mergeCell ref="J12:R12"/>
    <mergeCell ref="J13:U13"/>
    <mergeCell ref="M19:U19"/>
    <mergeCell ref="J18:R18"/>
    <mergeCell ref="T18:U18"/>
    <mergeCell ref="M20:U20"/>
    <mergeCell ref="L19:L28"/>
    <mergeCell ref="J23:K23"/>
    <mergeCell ref="J20:K20"/>
    <mergeCell ref="T16:U16"/>
    <mergeCell ref="C14:D14"/>
    <mergeCell ref="T12:U12"/>
    <mergeCell ref="T26:U26"/>
    <mergeCell ref="K14:R14"/>
    <mergeCell ref="J15:R15"/>
    <mergeCell ref="T6:U6"/>
    <mergeCell ref="T7:U7"/>
    <mergeCell ref="M27:R27"/>
    <mergeCell ref="M26:R26"/>
    <mergeCell ref="T9:U9"/>
    <mergeCell ref="T8:U8"/>
    <mergeCell ref="AB8:AC8"/>
    <mergeCell ref="AB9:AC9"/>
    <mergeCell ref="W8:X8"/>
    <mergeCell ref="W7:X7"/>
    <mergeCell ref="AB7:AC7"/>
    <mergeCell ref="W9:X9"/>
    <mergeCell ref="AB10:AC10"/>
    <mergeCell ref="T10:U10"/>
    <mergeCell ref="W10:X10"/>
    <mergeCell ref="A8:B8"/>
    <mergeCell ref="C8:D8"/>
    <mergeCell ref="B2:D2"/>
    <mergeCell ref="F2:G2"/>
    <mergeCell ref="A9:B9"/>
    <mergeCell ref="A10:B11"/>
    <mergeCell ref="J11:R11"/>
    <mergeCell ref="C6:D7"/>
    <mergeCell ref="G6:H7"/>
    <mergeCell ref="J7:R7"/>
    <mergeCell ref="J6:R6"/>
    <mergeCell ref="A5:B5"/>
    <mergeCell ref="E5:F5"/>
    <mergeCell ref="C5:D5"/>
    <mergeCell ref="A6:B7"/>
    <mergeCell ref="G5:H5"/>
    <mergeCell ref="G10:H11"/>
    <mergeCell ref="J9:R9"/>
    <mergeCell ref="G9:H9"/>
    <mergeCell ref="G8:H8"/>
    <mergeCell ref="E8:F8"/>
    <mergeCell ref="J8:R8"/>
    <mergeCell ref="J10:R10"/>
    <mergeCell ref="E10:F11"/>
    <mergeCell ref="X16:Y16"/>
    <mergeCell ref="T14:U14"/>
    <mergeCell ref="T15:U15"/>
    <mergeCell ref="Z15:AA15"/>
    <mergeCell ref="Z16:AA16"/>
    <mergeCell ref="AB16:AB17"/>
    <mergeCell ref="AD15:AE17"/>
    <mergeCell ref="W14:AA14"/>
    <mergeCell ref="AB14:AE14"/>
    <mergeCell ref="Z17:AA17"/>
    <mergeCell ref="X15:Y15"/>
    <mergeCell ref="AC16:AC17"/>
    <mergeCell ref="T17:U17"/>
    <mergeCell ref="X17:Y17"/>
    <mergeCell ref="T11:U11"/>
    <mergeCell ref="T35:U35"/>
    <mergeCell ref="T34:U34"/>
    <mergeCell ref="T40:U40"/>
    <mergeCell ref="T36:U36"/>
    <mergeCell ref="T37:U37"/>
    <mergeCell ref="T38:U38"/>
    <mergeCell ref="T39:U39"/>
    <mergeCell ref="T30:U30"/>
    <mergeCell ref="T31:U31"/>
    <mergeCell ref="T32:U32"/>
    <mergeCell ref="T33:U33"/>
    <mergeCell ref="T24:U24"/>
    <mergeCell ref="T23:U23"/>
    <mergeCell ref="T25:U25"/>
    <mergeCell ref="T28:U28"/>
    <mergeCell ref="T27:U27"/>
  </mergeCells>
  <phoneticPr fontId="40" type="noConversion"/>
  <pageMargins left="0.25" right="0.25" top="0.75" bottom="0.75" header="0.3" footer="0.3"/>
  <pageSetup paperSize="9" scale="32" orientation="landscape" horizontalDpi="4294967293" verticalDpi="4294967293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8"/>
  <sheetViews>
    <sheetView workbookViewId="0">
      <selection activeCell="B15" sqref="B15:L15"/>
    </sheetView>
  </sheetViews>
  <sheetFormatPr defaultRowHeight="16.5"/>
  <cols>
    <col min="8" max="8" width="13.125" bestFit="1" customWidth="1"/>
  </cols>
  <sheetData>
    <row r="2" spans="2:23">
      <c r="B2" s="473" t="s">
        <v>588</v>
      </c>
      <c r="C2" s="473"/>
      <c r="D2" s="473"/>
      <c r="E2" s="473"/>
      <c r="F2" s="473"/>
      <c r="G2" s="473"/>
    </row>
    <row r="3" spans="2:23">
      <c r="B3" s="471" t="s">
        <v>586</v>
      </c>
      <c r="C3" s="474" t="s">
        <v>585</v>
      </c>
      <c r="D3" s="474"/>
      <c r="E3" s="474"/>
      <c r="F3" s="474"/>
      <c r="G3" s="474"/>
    </row>
    <row r="4" spans="2:23">
      <c r="B4" s="472"/>
      <c r="C4" s="248" t="s">
        <v>565</v>
      </c>
      <c r="D4" s="248" t="s">
        <v>566</v>
      </c>
      <c r="E4" s="248" t="s">
        <v>567</v>
      </c>
      <c r="F4" s="248" t="s">
        <v>568</v>
      </c>
      <c r="G4" s="248" t="s">
        <v>569</v>
      </c>
    </row>
    <row r="5" spans="2:23">
      <c r="B5" s="248" t="s">
        <v>562</v>
      </c>
      <c r="C5" s="249">
        <v>2</v>
      </c>
      <c r="D5" s="249"/>
      <c r="E5" s="249"/>
      <c r="F5" s="249"/>
      <c r="G5" s="249"/>
    </row>
    <row r="6" spans="2:23">
      <c r="B6" s="255" t="s">
        <v>564</v>
      </c>
      <c r="C6" s="256">
        <v>2</v>
      </c>
      <c r="D6" s="267">
        <v>1</v>
      </c>
      <c r="E6" s="256"/>
      <c r="F6" s="256"/>
      <c r="G6" s="256"/>
      <c r="W6" s="247"/>
    </row>
    <row r="7" spans="2:23">
      <c r="B7" s="248" t="s">
        <v>570</v>
      </c>
      <c r="C7" s="249">
        <v>2</v>
      </c>
      <c r="D7" s="265">
        <v>2</v>
      </c>
      <c r="E7" s="249"/>
      <c r="F7" s="249"/>
      <c r="G7" s="249"/>
      <c r="W7" s="247"/>
    </row>
    <row r="8" spans="2:23">
      <c r="B8" s="255" t="s">
        <v>571</v>
      </c>
      <c r="C8" s="256">
        <v>2</v>
      </c>
      <c r="D8" s="267">
        <v>3</v>
      </c>
      <c r="E8" s="267">
        <v>1</v>
      </c>
      <c r="F8" s="256"/>
      <c r="G8" s="256"/>
      <c r="W8" s="247"/>
    </row>
    <row r="9" spans="2:23">
      <c r="B9" s="248" t="s">
        <v>572</v>
      </c>
      <c r="C9" s="249">
        <v>2</v>
      </c>
      <c r="D9" s="265">
        <v>4</v>
      </c>
      <c r="E9" s="249">
        <v>1</v>
      </c>
      <c r="F9" s="249"/>
      <c r="G9" s="249"/>
      <c r="W9" s="247"/>
    </row>
    <row r="10" spans="2:23">
      <c r="B10" s="255" t="s">
        <v>573</v>
      </c>
      <c r="C10" s="256">
        <v>2</v>
      </c>
      <c r="D10" s="256">
        <v>4</v>
      </c>
      <c r="E10" s="256">
        <v>1</v>
      </c>
      <c r="F10" s="267">
        <v>1</v>
      </c>
      <c r="G10" s="256"/>
      <c r="W10" s="247"/>
    </row>
    <row r="11" spans="2:23">
      <c r="B11" s="248" t="s">
        <v>574</v>
      </c>
      <c r="C11" s="249">
        <v>2</v>
      </c>
      <c r="D11" s="249">
        <v>4</v>
      </c>
      <c r="E11" s="265">
        <v>2</v>
      </c>
      <c r="F11" s="249">
        <v>1</v>
      </c>
      <c r="G11" s="249"/>
      <c r="W11" s="247"/>
    </row>
    <row r="12" spans="2:23">
      <c r="B12" s="255" t="s">
        <v>575</v>
      </c>
      <c r="C12" s="256">
        <v>2</v>
      </c>
      <c r="D12" s="256">
        <v>4</v>
      </c>
      <c r="E12" s="256">
        <v>2</v>
      </c>
      <c r="F12" s="256">
        <v>1</v>
      </c>
      <c r="G12" s="267">
        <v>1</v>
      </c>
      <c r="W12" s="247"/>
    </row>
    <row r="13" spans="2:23">
      <c r="B13" s="248" t="s">
        <v>576</v>
      </c>
      <c r="C13" s="249">
        <v>2</v>
      </c>
      <c r="D13" s="249">
        <v>4</v>
      </c>
      <c r="E13" s="265">
        <v>3</v>
      </c>
      <c r="F13" s="249">
        <v>1</v>
      </c>
      <c r="G13" s="249">
        <v>1</v>
      </c>
      <c r="W13" s="247"/>
    </row>
    <row r="14" spans="2:23" ht="17.25" thickBot="1"/>
    <row r="15" spans="2:23">
      <c r="B15" s="475" t="s">
        <v>589</v>
      </c>
      <c r="C15" s="476"/>
      <c r="D15" s="476"/>
      <c r="E15" s="476"/>
      <c r="F15" s="476"/>
      <c r="G15" s="476"/>
      <c r="H15" s="476"/>
      <c r="I15" s="476"/>
      <c r="J15" s="476"/>
      <c r="K15" s="476"/>
      <c r="L15" s="477"/>
      <c r="M15" s="257"/>
      <c r="N15" s="257"/>
      <c r="O15" s="257"/>
      <c r="P15" s="257"/>
    </row>
    <row r="16" spans="2:23">
      <c r="B16" s="478" t="s">
        <v>587</v>
      </c>
      <c r="C16" s="474" t="s">
        <v>585</v>
      </c>
      <c r="D16" s="474"/>
      <c r="E16" s="474"/>
      <c r="F16" s="474"/>
      <c r="G16" s="474"/>
      <c r="H16" s="474"/>
      <c r="I16" s="474"/>
      <c r="J16" s="474"/>
      <c r="K16" s="474"/>
      <c r="L16" s="479"/>
      <c r="M16" s="258"/>
      <c r="N16" s="258"/>
      <c r="O16" s="258"/>
      <c r="P16" s="258"/>
    </row>
    <row r="17" spans="2:26">
      <c r="B17" s="478"/>
      <c r="C17" s="259" t="s">
        <v>565</v>
      </c>
      <c r="D17" s="259" t="s">
        <v>566</v>
      </c>
      <c r="E17" s="259" t="s">
        <v>577</v>
      </c>
      <c r="F17" s="259" t="s">
        <v>578</v>
      </c>
      <c r="G17" s="259" t="s">
        <v>579</v>
      </c>
      <c r="H17" s="259" t="s">
        <v>580</v>
      </c>
      <c r="I17" s="259" t="s">
        <v>581</v>
      </c>
      <c r="J17" s="259" t="s">
        <v>582</v>
      </c>
      <c r="K17" s="259" t="s">
        <v>583</v>
      </c>
      <c r="L17" s="261" t="s">
        <v>584</v>
      </c>
      <c r="W17" s="94"/>
      <c r="Y17" s="94"/>
      <c r="Z17" s="94"/>
    </row>
    <row r="18" spans="2:26">
      <c r="B18" s="250" t="s">
        <v>562</v>
      </c>
      <c r="C18" s="249">
        <v>2</v>
      </c>
      <c r="D18" s="249">
        <v>2</v>
      </c>
      <c r="E18" s="249"/>
      <c r="F18" s="249"/>
      <c r="G18" s="249"/>
      <c r="H18" s="249"/>
      <c r="I18" s="249"/>
      <c r="J18" s="249"/>
      <c r="K18" s="249"/>
      <c r="L18" s="251"/>
      <c r="N18" s="247"/>
      <c r="O18" s="247"/>
      <c r="P18" s="247"/>
      <c r="Q18" s="247"/>
      <c r="R18" s="247"/>
      <c r="S18" s="247"/>
      <c r="T18" s="247"/>
      <c r="U18" s="247"/>
      <c r="V18" s="247"/>
    </row>
    <row r="19" spans="2:26">
      <c r="B19" s="262" t="s">
        <v>563</v>
      </c>
      <c r="C19" s="260">
        <v>2</v>
      </c>
      <c r="D19" s="264">
        <v>3</v>
      </c>
      <c r="E19" s="264">
        <v>1</v>
      </c>
      <c r="F19" s="260"/>
      <c r="G19" s="260"/>
      <c r="H19" s="260"/>
      <c r="I19" s="260"/>
      <c r="J19" s="260"/>
      <c r="K19" s="260"/>
      <c r="L19" s="263"/>
      <c r="M19" s="247"/>
      <c r="N19" s="247"/>
      <c r="O19" s="247"/>
      <c r="P19" s="247"/>
      <c r="Q19" s="247"/>
      <c r="R19" s="247"/>
      <c r="S19" s="247"/>
      <c r="T19" s="247"/>
      <c r="U19" s="247"/>
      <c r="V19" s="247"/>
      <c r="W19" s="247"/>
      <c r="Z19" s="247"/>
    </row>
    <row r="20" spans="2:26">
      <c r="B20" s="250" t="s">
        <v>570</v>
      </c>
      <c r="C20" s="249">
        <v>2</v>
      </c>
      <c r="D20" s="265">
        <v>4</v>
      </c>
      <c r="E20" s="249">
        <v>1</v>
      </c>
      <c r="F20" s="265">
        <v>1</v>
      </c>
      <c r="G20" s="249"/>
      <c r="H20" s="249"/>
      <c r="I20" s="249"/>
      <c r="J20" s="249"/>
      <c r="K20" s="249"/>
      <c r="L20" s="251"/>
      <c r="M20" s="247"/>
      <c r="N20" s="247"/>
      <c r="O20" s="247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</row>
    <row r="21" spans="2:26">
      <c r="B21" s="262" t="s">
        <v>571</v>
      </c>
      <c r="C21" s="260">
        <v>2</v>
      </c>
      <c r="D21" s="260">
        <v>4</v>
      </c>
      <c r="E21" s="264">
        <v>2</v>
      </c>
      <c r="F21" s="260">
        <v>1</v>
      </c>
      <c r="G21" s="264">
        <v>1</v>
      </c>
      <c r="H21" s="260"/>
      <c r="I21" s="260"/>
      <c r="J21" s="260"/>
      <c r="K21" s="260"/>
      <c r="L21" s="263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</row>
    <row r="22" spans="2:26">
      <c r="B22" s="250" t="s">
        <v>572</v>
      </c>
      <c r="C22" s="249">
        <v>2</v>
      </c>
      <c r="D22" s="249">
        <v>4</v>
      </c>
      <c r="E22" s="265">
        <v>3</v>
      </c>
      <c r="F22" s="249">
        <v>1</v>
      </c>
      <c r="G22" s="249">
        <v>1</v>
      </c>
      <c r="H22" s="265">
        <v>1</v>
      </c>
      <c r="I22" s="249"/>
      <c r="J22" s="249"/>
      <c r="K22" s="249"/>
      <c r="L22" s="251"/>
      <c r="M22" s="247"/>
      <c r="N22" s="247"/>
      <c r="O22" s="247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</row>
    <row r="23" spans="2:26">
      <c r="B23" s="262" t="s">
        <v>573</v>
      </c>
      <c r="C23" s="260">
        <v>2</v>
      </c>
      <c r="D23" s="260">
        <v>4</v>
      </c>
      <c r="E23" s="264">
        <v>4</v>
      </c>
      <c r="F23" s="260">
        <v>1</v>
      </c>
      <c r="G23" s="260">
        <v>1</v>
      </c>
      <c r="H23" s="260">
        <v>1</v>
      </c>
      <c r="I23" s="264">
        <v>1</v>
      </c>
      <c r="J23" s="260"/>
      <c r="K23" s="260"/>
      <c r="L23" s="263"/>
      <c r="M23" s="247"/>
      <c r="N23" s="247"/>
      <c r="O23" s="247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</row>
    <row r="24" spans="2:26">
      <c r="B24" s="250" t="s">
        <v>574</v>
      </c>
      <c r="C24" s="249">
        <v>2</v>
      </c>
      <c r="D24" s="249">
        <v>4</v>
      </c>
      <c r="E24" s="249">
        <v>4</v>
      </c>
      <c r="F24" s="249">
        <v>1</v>
      </c>
      <c r="G24" s="249">
        <v>1</v>
      </c>
      <c r="H24" s="249">
        <v>1</v>
      </c>
      <c r="I24" s="249">
        <v>1</v>
      </c>
      <c r="J24" s="265">
        <v>1</v>
      </c>
      <c r="K24" s="249"/>
      <c r="L24" s="251"/>
      <c r="M24" s="247"/>
      <c r="N24" s="247"/>
      <c r="O24" s="247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</row>
    <row r="25" spans="2:26">
      <c r="B25" s="262" t="s">
        <v>575</v>
      </c>
      <c r="C25" s="260">
        <v>2</v>
      </c>
      <c r="D25" s="260">
        <v>4</v>
      </c>
      <c r="E25" s="260">
        <v>4</v>
      </c>
      <c r="F25" s="260">
        <v>1</v>
      </c>
      <c r="G25" s="260">
        <v>1</v>
      </c>
      <c r="H25" s="260">
        <v>1</v>
      </c>
      <c r="I25" s="260">
        <v>1</v>
      </c>
      <c r="J25" s="260">
        <v>1</v>
      </c>
      <c r="K25" s="264">
        <v>1</v>
      </c>
      <c r="L25" s="263"/>
      <c r="M25" s="247"/>
      <c r="N25" s="247"/>
      <c r="O25" s="24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</row>
    <row r="26" spans="2:26" ht="17.25" thickBot="1">
      <c r="B26" s="252" t="s">
        <v>576</v>
      </c>
      <c r="C26" s="253">
        <v>2</v>
      </c>
      <c r="D26" s="253">
        <v>4</v>
      </c>
      <c r="E26" s="253">
        <v>4</v>
      </c>
      <c r="F26" s="253">
        <v>1</v>
      </c>
      <c r="G26" s="253">
        <v>1</v>
      </c>
      <c r="H26" s="253">
        <v>1</v>
      </c>
      <c r="I26" s="253">
        <v>1</v>
      </c>
      <c r="J26" s="253">
        <v>1</v>
      </c>
      <c r="K26" s="253">
        <v>1</v>
      </c>
      <c r="L26" s="266">
        <v>1</v>
      </c>
      <c r="M26" s="247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</row>
    <row r="27" spans="2:26" ht="17.25" thickBot="1">
      <c r="F27" s="247"/>
      <c r="G27" s="247"/>
      <c r="H27" s="247"/>
      <c r="I27" s="247"/>
      <c r="J27" s="247"/>
      <c r="K27" s="247"/>
      <c r="L27" s="247"/>
    </row>
    <row r="28" spans="2:26">
      <c r="B28" s="469" t="s">
        <v>591</v>
      </c>
      <c r="C28" s="470"/>
      <c r="E28" s="469" t="s">
        <v>592</v>
      </c>
      <c r="F28" s="470"/>
      <c r="J28" s="94"/>
    </row>
    <row r="29" spans="2:26" ht="16.5" customHeight="1">
      <c r="B29" s="268" t="s">
        <v>587</v>
      </c>
      <c r="C29" s="261" t="s">
        <v>590</v>
      </c>
      <c r="E29" s="268" t="s">
        <v>587</v>
      </c>
      <c r="F29" s="261" t="s">
        <v>590</v>
      </c>
    </row>
    <row r="30" spans="2:26">
      <c r="B30" s="250" t="s">
        <v>562</v>
      </c>
      <c r="C30" s="251">
        <v>5</v>
      </c>
      <c r="E30" s="250" t="s">
        <v>562</v>
      </c>
      <c r="F30" s="251">
        <v>3</v>
      </c>
    </row>
    <row r="31" spans="2:26">
      <c r="B31" s="262" t="s">
        <v>563</v>
      </c>
      <c r="C31" s="263">
        <v>8</v>
      </c>
      <c r="E31" s="262" t="s">
        <v>563</v>
      </c>
      <c r="F31" s="263">
        <v>5</v>
      </c>
    </row>
    <row r="32" spans="2:26">
      <c r="B32" s="250" t="s">
        <v>570</v>
      </c>
      <c r="C32" s="251">
        <v>12</v>
      </c>
      <c r="E32" s="250" t="s">
        <v>570</v>
      </c>
      <c r="F32" s="251">
        <v>6</v>
      </c>
    </row>
    <row r="33" spans="2:6">
      <c r="B33" s="262" t="s">
        <v>571</v>
      </c>
      <c r="C33" s="263">
        <v>17</v>
      </c>
      <c r="E33" s="262" t="s">
        <v>571</v>
      </c>
      <c r="F33" s="263">
        <v>8</v>
      </c>
    </row>
    <row r="34" spans="2:6">
      <c r="B34" s="250" t="s">
        <v>572</v>
      </c>
      <c r="C34" s="251">
        <v>23</v>
      </c>
      <c r="E34" s="250" t="s">
        <v>572</v>
      </c>
      <c r="F34" s="251">
        <v>9</v>
      </c>
    </row>
    <row r="35" spans="2:6">
      <c r="B35" s="262" t="s">
        <v>573</v>
      </c>
      <c r="C35" s="263">
        <v>30</v>
      </c>
      <c r="E35" s="262" t="s">
        <v>573</v>
      </c>
      <c r="F35" s="263">
        <v>12</v>
      </c>
    </row>
    <row r="36" spans="2:6">
      <c r="B36" s="250" t="s">
        <v>574</v>
      </c>
      <c r="C36" s="251">
        <v>38</v>
      </c>
      <c r="E36" s="250" t="s">
        <v>574</v>
      </c>
      <c r="F36" s="251">
        <v>13</v>
      </c>
    </row>
    <row r="37" spans="2:6">
      <c r="B37" s="262" t="s">
        <v>575</v>
      </c>
      <c r="C37" s="263">
        <v>47</v>
      </c>
      <c r="E37" s="262" t="s">
        <v>575</v>
      </c>
      <c r="F37" s="263">
        <v>17</v>
      </c>
    </row>
    <row r="38" spans="2:6" ht="17.25" thickBot="1">
      <c r="B38" s="252" t="s">
        <v>576</v>
      </c>
      <c r="C38" s="254">
        <v>57</v>
      </c>
      <c r="E38" s="252" t="s">
        <v>576</v>
      </c>
      <c r="F38" s="254">
        <v>18</v>
      </c>
    </row>
  </sheetData>
  <mergeCells count="8">
    <mergeCell ref="B28:C28"/>
    <mergeCell ref="E28:F28"/>
    <mergeCell ref="B3:B4"/>
    <mergeCell ref="B2:G2"/>
    <mergeCell ref="C3:G3"/>
    <mergeCell ref="B15:L15"/>
    <mergeCell ref="B16:B17"/>
    <mergeCell ref="C16:L16"/>
  </mergeCells>
  <phoneticPr fontId="40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"/>
  <sheetViews>
    <sheetView topLeftCell="A68" zoomScaleNormal="100" workbookViewId="0">
      <selection activeCell="T77" sqref="T77"/>
    </sheetView>
  </sheetViews>
  <sheetFormatPr defaultRowHeight="16.5"/>
  <cols>
    <col min="2" max="2" width="13.875" customWidth="1"/>
    <col min="3" max="3" width="0.125" customWidth="1"/>
    <col min="4" max="7" width="9" hidden="1" customWidth="1"/>
    <col min="8" max="8" width="9.75" customWidth="1"/>
    <col min="9" max="9" width="1.375" hidden="1" customWidth="1"/>
    <col min="11" max="11" width="7" customWidth="1"/>
  </cols>
  <sheetData>
    <row r="1" spans="1:19">
      <c r="A1" s="431" t="s">
        <v>241</v>
      </c>
      <c r="B1" s="432"/>
      <c r="C1" s="432"/>
      <c r="D1" s="432"/>
      <c r="E1" s="432"/>
      <c r="F1" s="432"/>
      <c r="G1" s="432"/>
      <c r="H1" s="191" t="s">
        <v>242</v>
      </c>
      <c r="I1" s="162"/>
      <c r="J1" s="188" t="s">
        <v>38</v>
      </c>
      <c r="K1" s="191" t="s">
        <v>263</v>
      </c>
      <c r="L1" s="191" t="s">
        <v>262</v>
      </c>
      <c r="M1" s="191" t="s">
        <v>21</v>
      </c>
      <c r="N1" s="191" t="s">
        <v>59</v>
      </c>
      <c r="O1" s="191" t="s">
        <v>9</v>
      </c>
      <c r="P1" s="191" t="s">
        <v>106</v>
      </c>
      <c r="Q1" s="191" t="s">
        <v>107</v>
      </c>
      <c r="R1" s="164" t="s">
        <v>108</v>
      </c>
    </row>
    <row r="2" spans="1:19">
      <c r="A2" s="484" t="s">
        <v>191</v>
      </c>
      <c r="B2" s="482"/>
      <c r="C2" s="482"/>
      <c r="D2" s="482"/>
      <c r="E2" s="482"/>
      <c r="F2" s="482"/>
      <c r="G2" s="482"/>
      <c r="H2" s="482"/>
      <c r="I2" s="482"/>
      <c r="J2" s="482"/>
      <c r="K2" s="482"/>
      <c r="L2" s="482"/>
      <c r="M2" s="482"/>
      <c r="N2" s="482"/>
      <c r="O2" s="482"/>
      <c r="P2" s="482"/>
      <c r="Q2" s="482"/>
      <c r="R2" s="483"/>
    </row>
    <row r="3" spans="1:19">
      <c r="A3" s="442" t="s">
        <v>197</v>
      </c>
      <c r="B3" s="480"/>
      <c r="C3" s="480"/>
      <c r="D3" s="480"/>
      <c r="E3" s="480"/>
      <c r="F3" s="480"/>
      <c r="G3" s="480"/>
      <c r="H3" s="79" t="s">
        <v>243</v>
      </c>
      <c r="I3" s="143"/>
      <c r="J3" s="160" t="s">
        <v>192</v>
      </c>
      <c r="K3" s="185"/>
      <c r="L3" s="193"/>
      <c r="M3" s="50" t="s">
        <v>193</v>
      </c>
      <c r="N3" s="50" t="s">
        <v>194</v>
      </c>
      <c r="O3" s="50" t="s">
        <v>195</v>
      </c>
      <c r="P3" s="63">
        <v>2</v>
      </c>
      <c r="Q3" s="50">
        <v>0</v>
      </c>
      <c r="R3" s="165" t="s">
        <v>196</v>
      </c>
    </row>
    <row r="4" spans="1:19">
      <c r="A4" s="442" t="s">
        <v>198</v>
      </c>
      <c r="B4" s="480"/>
      <c r="C4" s="480"/>
      <c r="D4" s="480"/>
      <c r="E4" s="480"/>
      <c r="F4" s="480"/>
      <c r="G4" s="480"/>
      <c r="H4" s="79" t="s">
        <v>244</v>
      </c>
      <c r="I4" s="143"/>
      <c r="J4" s="160"/>
      <c r="K4" s="185"/>
      <c r="L4" s="193"/>
      <c r="M4" s="50"/>
      <c r="N4" s="50"/>
      <c r="O4" s="50"/>
      <c r="P4" s="63"/>
      <c r="Q4" s="50"/>
      <c r="R4" s="165"/>
    </row>
    <row r="5" spans="1:19">
      <c r="A5" s="442" t="s">
        <v>199</v>
      </c>
      <c r="B5" s="480"/>
      <c r="C5" s="480"/>
      <c r="D5" s="480"/>
      <c r="E5" s="480"/>
      <c r="F5" s="480"/>
      <c r="G5" s="480"/>
      <c r="H5" s="79" t="s">
        <v>244</v>
      </c>
      <c r="I5" s="143"/>
      <c r="J5" s="160"/>
      <c r="K5" s="185" t="s">
        <v>235</v>
      </c>
      <c r="L5" s="193" t="s">
        <v>236</v>
      </c>
      <c r="M5" s="50" t="s">
        <v>200</v>
      </c>
      <c r="N5" s="50">
        <v>0</v>
      </c>
      <c r="O5" s="50">
        <v>3</v>
      </c>
      <c r="P5" s="63">
        <v>10000</v>
      </c>
      <c r="Q5" s="50">
        <v>1</v>
      </c>
      <c r="R5" s="165" t="s">
        <v>201</v>
      </c>
    </row>
    <row r="6" spans="1:19">
      <c r="A6" s="481" t="s">
        <v>202</v>
      </c>
      <c r="B6" s="482"/>
      <c r="C6" s="482"/>
      <c r="D6" s="482"/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2"/>
      <c r="Q6" s="482"/>
      <c r="R6" s="483"/>
    </row>
    <row r="7" spans="1:19">
      <c r="A7" s="442" t="s">
        <v>203</v>
      </c>
      <c r="B7" s="480"/>
      <c r="C7" s="480"/>
      <c r="D7" s="480"/>
      <c r="E7" s="480"/>
      <c r="F7" s="480"/>
      <c r="G7" s="480"/>
      <c r="H7" s="79" t="s">
        <v>245</v>
      </c>
      <c r="I7" s="143"/>
      <c r="J7" s="160" t="s">
        <v>265</v>
      </c>
      <c r="K7" s="185">
        <v>0.5</v>
      </c>
      <c r="L7" s="193" t="s">
        <v>237</v>
      </c>
      <c r="M7" s="50" t="s">
        <v>193</v>
      </c>
      <c r="N7" s="50">
        <v>-1</v>
      </c>
      <c r="O7" s="50">
        <v>5</v>
      </c>
      <c r="P7" s="63">
        <v>4</v>
      </c>
      <c r="Q7" s="50">
        <v>0.25</v>
      </c>
      <c r="R7" s="165" t="s">
        <v>207</v>
      </c>
    </row>
    <row r="8" spans="1:19">
      <c r="A8" s="442" t="s">
        <v>204</v>
      </c>
      <c r="B8" s="480"/>
      <c r="C8" s="480"/>
      <c r="D8" s="480"/>
      <c r="E8" s="480"/>
      <c r="F8" s="480"/>
      <c r="G8" s="480"/>
      <c r="H8" s="79" t="s">
        <v>245</v>
      </c>
      <c r="I8" s="143"/>
      <c r="J8" s="160" t="s">
        <v>251</v>
      </c>
      <c r="K8" s="185">
        <v>-2</v>
      </c>
      <c r="L8" s="193" t="s">
        <v>238</v>
      </c>
      <c r="M8" s="50" t="s">
        <v>208</v>
      </c>
      <c r="N8" s="50">
        <v>-1</v>
      </c>
      <c r="O8" s="50">
        <v>6</v>
      </c>
      <c r="P8" s="63">
        <v>40</v>
      </c>
      <c r="Q8" s="50">
        <v>0.5</v>
      </c>
      <c r="R8" s="165"/>
      <c r="S8" s="148"/>
    </row>
    <row r="9" spans="1:19">
      <c r="A9" s="442"/>
      <c r="B9" s="480"/>
      <c r="C9" s="480"/>
      <c r="D9" s="480"/>
      <c r="E9" s="480"/>
      <c r="F9" s="480"/>
      <c r="G9" s="480"/>
      <c r="H9" s="79" t="s">
        <v>245</v>
      </c>
      <c r="I9" s="143"/>
      <c r="J9" s="160" t="s">
        <v>249</v>
      </c>
      <c r="K9" s="185">
        <v>0</v>
      </c>
      <c r="L9" s="193" t="s">
        <v>266</v>
      </c>
      <c r="M9" s="50" t="s">
        <v>193</v>
      </c>
      <c r="N9" s="50">
        <v>-1</v>
      </c>
      <c r="O9" s="50">
        <v>6</v>
      </c>
      <c r="P9" s="63" t="s">
        <v>195</v>
      </c>
      <c r="Q9" s="50" t="s">
        <v>195</v>
      </c>
      <c r="R9" s="165" t="s">
        <v>207</v>
      </c>
      <c r="S9" s="148"/>
    </row>
    <row r="10" spans="1:19">
      <c r="A10" s="442" t="s">
        <v>205</v>
      </c>
      <c r="B10" s="480"/>
      <c r="C10" s="480"/>
      <c r="D10" s="480"/>
      <c r="E10" s="480"/>
      <c r="F10" s="480"/>
      <c r="G10" s="480"/>
      <c r="H10" s="79" t="s">
        <v>245</v>
      </c>
      <c r="I10" s="143"/>
      <c r="J10" s="160" t="s">
        <v>250</v>
      </c>
      <c r="K10" s="185">
        <v>-3</v>
      </c>
      <c r="L10" s="193" t="s">
        <v>238</v>
      </c>
      <c r="M10" s="50" t="s">
        <v>208</v>
      </c>
      <c r="N10" s="50">
        <v>-1</v>
      </c>
      <c r="O10" s="50">
        <v>5</v>
      </c>
      <c r="P10" s="63">
        <v>30</v>
      </c>
      <c r="Q10" s="50">
        <v>0.25</v>
      </c>
      <c r="R10" s="165"/>
      <c r="S10" s="148"/>
    </row>
    <row r="11" spans="1:19">
      <c r="A11" s="442"/>
      <c r="B11" s="480"/>
      <c r="C11" s="480"/>
      <c r="D11" s="480"/>
      <c r="E11" s="480"/>
      <c r="F11" s="480"/>
      <c r="G11" s="480"/>
      <c r="H11" s="79" t="s">
        <v>245</v>
      </c>
      <c r="I11" s="143"/>
      <c r="J11" s="160" t="s">
        <v>265</v>
      </c>
      <c r="K11" s="185">
        <v>-1</v>
      </c>
      <c r="L11" s="193" t="s">
        <v>237</v>
      </c>
      <c r="M11" s="50" t="s">
        <v>193</v>
      </c>
      <c r="N11" s="50">
        <v>-1</v>
      </c>
      <c r="O11" s="50">
        <v>5</v>
      </c>
      <c r="P11" s="63" t="s">
        <v>195</v>
      </c>
      <c r="Q11" s="50" t="s">
        <v>195</v>
      </c>
      <c r="R11" s="165" t="s">
        <v>207</v>
      </c>
      <c r="S11" s="148"/>
    </row>
    <row r="12" spans="1:19">
      <c r="A12" s="442" t="s">
        <v>206</v>
      </c>
      <c r="B12" s="480"/>
      <c r="C12" s="480"/>
      <c r="D12" s="480"/>
      <c r="E12" s="480"/>
      <c r="F12" s="480"/>
      <c r="G12" s="480"/>
      <c r="H12" s="79" t="s">
        <v>245</v>
      </c>
      <c r="I12" s="143"/>
      <c r="J12" s="160" t="s">
        <v>249</v>
      </c>
      <c r="K12" s="185">
        <v>-1</v>
      </c>
      <c r="L12" s="193" t="s">
        <v>237</v>
      </c>
      <c r="M12" s="50" t="s">
        <v>193</v>
      </c>
      <c r="N12" s="50">
        <v>-1</v>
      </c>
      <c r="O12" s="50">
        <v>5</v>
      </c>
      <c r="P12" s="63">
        <v>20</v>
      </c>
      <c r="Q12" s="50">
        <v>0.1</v>
      </c>
      <c r="R12" s="165" t="s">
        <v>207</v>
      </c>
      <c r="S12" s="148"/>
    </row>
    <row r="13" spans="1:19">
      <c r="A13" s="481" t="s">
        <v>209</v>
      </c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2"/>
      <c r="M13" s="482"/>
      <c r="N13" s="482"/>
      <c r="O13" s="482"/>
      <c r="P13" s="482"/>
      <c r="Q13" s="482"/>
      <c r="R13" s="483"/>
      <c r="S13" s="148"/>
    </row>
    <row r="14" spans="1:19">
      <c r="A14" s="442" t="s">
        <v>210</v>
      </c>
      <c r="B14" s="480"/>
      <c r="C14" s="480"/>
      <c r="D14" s="480"/>
      <c r="E14" s="480"/>
      <c r="F14" s="480"/>
      <c r="G14" s="480"/>
      <c r="H14" s="79" t="s">
        <v>246</v>
      </c>
      <c r="I14" s="143"/>
      <c r="J14" s="160" t="s">
        <v>250</v>
      </c>
      <c r="K14" s="185" t="s">
        <v>240</v>
      </c>
      <c r="L14" s="193" t="s">
        <v>238</v>
      </c>
      <c r="M14" s="50" t="s">
        <v>211</v>
      </c>
      <c r="N14" s="50" t="s">
        <v>212</v>
      </c>
      <c r="O14" s="50">
        <v>5</v>
      </c>
      <c r="P14" s="63">
        <v>900</v>
      </c>
      <c r="Q14" s="50">
        <v>0.25</v>
      </c>
      <c r="R14" s="165"/>
      <c r="S14" s="148"/>
    </row>
    <row r="15" spans="1:19">
      <c r="A15" s="481" t="s">
        <v>213</v>
      </c>
      <c r="B15" s="482"/>
      <c r="C15" s="482"/>
      <c r="D15" s="482"/>
      <c r="E15" s="482"/>
      <c r="F15" s="482"/>
      <c r="G15" s="482"/>
      <c r="H15" s="482"/>
      <c r="I15" s="482"/>
      <c r="J15" s="482"/>
      <c r="K15" s="482"/>
      <c r="L15" s="482"/>
      <c r="M15" s="482"/>
      <c r="N15" s="482"/>
      <c r="O15" s="482"/>
      <c r="P15" s="482"/>
      <c r="Q15" s="482"/>
      <c r="R15" s="483"/>
      <c r="S15" s="148"/>
    </row>
    <row r="16" spans="1:19">
      <c r="A16" s="442" t="s">
        <v>214</v>
      </c>
      <c r="B16" s="480"/>
      <c r="C16" s="480"/>
      <c r="D16" s="480"/>
      <c r="E16" s="480"/>
      <c r="F16" s="480"/>
      <c r="G16" s="480"/>
      <c r="H16" s="79" t="s">
        <v>247</v>
      </c>
      <c r="I16" s="143"/>
      <c r="J16" s="160" t="s">
        <v>250</v>
      </c>
      <c r="K16" s="185">
        <v>1</v>
      </c>
      <c r="L16" s="193" t="s">
        <v>239</v>
      </c>
      <c r="M16" s="50">
        <v>1</v>
      </c>
      <c r="N16" s="50">
        <v>0</v>
      </c>
      <c r="O16" s="50">
        <v>10</v>
      </c>
      <c r="P16" s="63">
        <v>5</v>
      </c>
      <c r="Q16" s="50">
        <v>1.5</v>
      </c>
      <c r="R16" s="165"/>
      <c r="S16" s="148"/>
    </row>
    <row r="17" spans="1:19">
      <c r="A17" s="442"/>
      <c r="B17" s="480"/>
      <c r="C17" s="480"/>
      <c r="D17" s="480"/>
      <c r="E17" s="480"/>
      <c r="F17" s="480"/>
      <c r="G17" s="480"/>
      <c r="H17" s="79" t="s">
        <v>247</v>
      </c>
      <c r="I17" s="143"/>
      <c r="J17" s="160" t="s">
        <v>252</v>
      </c>
      <c r="K17" s="185">
        <v>1</v>
      </c>
      <c r="L17" s="193" t="s">
        <v>267</v>
      </c>
      <c r="M17" s="50">
        <v>1</v>
      </c>
      <c r="N17" s="50">
        <v>0</v>
      </c>
      <c r="O17" s="50">
        <v>10</v>
      </c>
      <c r="P17" s="63"/>
      <c r="Q17" s="50"/>
      <c r="R17" s="165"/>
      <c r="S17" s="148"/>
    </row>
    <row r="18" spans="1:19">
      <c r="A18" s="442" t="s">
        <v>215</v>
      </c>
      <c r="B18" s="480"/>
      <c r="C18" s="480"/>
      <c r="D18" s="480"/>
      <c r="E18" s="480"/>
      <c r="F18" s="480"/>
      <c r="G18" s="480"/>
      <c r="H18" s="79" t="s">
        <v>247</v>
      </c>
      <c r="I18" s="143"/>
      <c r="J18" s="160" t="s">
        <v>251</v>
      </c>
      <c r="K18" s="185">
        <v>1</v>
      </c>
      <c r="L18" s="193" t="s">
        <v>238</v>
      </c>
      <c r="M18" s="50">
        <v>1</v>
      </c>
      <c r="N18" s="50">
        <v>0</v>
      </c>
      <c r="O18" s="50">
        <v>10</v>
      </c>
      <c r="P18" s="63">
        <v>500</v>
      </c>
      <c r="Q18" s="50">
        <v>1.5</v>
      </c>
      <c r="R18" s="165"/>
      <c r="S18" s="148"/>
    </row>
    <row r="19" spans="1:19">
      <c r="A19" s="442"/>
      <c r="B19" s="480"/>
      <c r="C19" s="480"/>
      <c r="D19" s="480"/>
      <c r="E19" s="480"/>
      <c r="F19" s="480"/>
      <c r="G19" s="480"/>
      <c r="H19" s="79" t="s">
        <v>247</v>
      </c>
      <c r="I19" s="143"/>
      <c r="J19" s="160" t="s">
        <v>265</v>
      </c>
      <c r="K19" s="185">
        <v>1</v>
      </c>
      <c r="L19" s="193" t="s">
        <v>239</v>
      </c>
      <c r="M19" s="50">
        <v>1</v>
      </c>
      <c r="N19" s="50">
        <v>0</v>
      </c>
      <c r="O19" s="50">
        <v>10</v>
      </c>
      <c r="P19" s="63"/>
      <c r="Q19" s="50"/>
      <c r="R19" s="165"/>
      <c r="S19" s="148"/>
    </row>
    <row r="20" spans="1:19">
      <c r="A20" s="442" t="s">
        <v>216</v>
      </c>
      <c r="B20" s="480"/>
      <c r="C20" s="480"/>
      <c r="D20" s="480"/>
      <c r="E20" s="480"/>
      <c r="F20" s="480"/>
      <c r="G20" s="480"/>
      <c r="H20" s="79" t="s">
        <v>247</v>
      </c>
      <c r="I20" s="143"/>
      <c r="J20" s="160" t="s">
        <v>253</v>
      </c>
      <c r="K20" s="185">
        <v>1</v>
      </c>
      <c r="L20" s="193" t="s">
        <v>238</v>
      </c>
      <c r="M20" s="50">
        <v>1</v>
      </c>
      <c r="N20" s="50">
        <v>0</v>
      </c>
      <c r="O20" s="50">
        <v>10</v>
      </c>
      <c r="P20" s="63">
        <v>600</v>
      </c>
      <c r="Q20" s="50">
        <v>1.5</v>
      </c>
      <c r="R20" s="165"/>
      <c r="S20" s="148"/>
    </row>
    <row r="21" spans="1:19">
      <c r="A21" s="442"/>
      <c r="B21" s="480"/>
      <c r="C21" s="480"/>
      <c r="D21" s="480"/>
      <c r="E21" s="480"/>
      <c r="F21" s="480"/>
      <c r="G21" s="480"/>
      <c r="H21" s="79" t="s">
        <v>247</v>
      </c>
      <c r="I21" s="143"/>
      <c r="J21" s="160" t="s">
        <v>252</v>
      </c>
      <c r="K21" s="185">
        <v>2</v>
      </c>
      <c r="L21" s="193" t="s">
        <v>266</v>
      </c>
      <c r="M21" s="50">
        <v>1</v>
      </c>
      <c r="N21" s="50">
        <v>0</v>
      </c>
      <c r="O21" s="50">
        <v>10</v>
      </c>
      <c r="P21" s="63"/>
      <c r="Q21" s="50"/>
      <c r="R21" s="165"/>
      <c r="S21" s="148"/>
    </row>
    <row r="22" spans="1:19">
      <c r="A22" s="442" t="s">
        <v>217</v>
      </c>
      <c r="B22" s="480"/>
      <c r="C22" s="480"/>
      <c r="D22" s="480"/>
      <c r="E22" s="480"/>
      <c r="F22" s="480"/>
      <c r="G22" s="480"/>
      <c r="H22" s="79" t="s">
        <v>247</v>
      </c>
      <c r="I22" s="143"/>
      <c r="J22" s="160" t="s">
        <v>254</v>
      </c>
      <c r="K22" s="185">
        <v>1</v>
      </c>
      <c r="L22" s="193" t="s">
        <v>238</v>
      </c>
      <c r="M22" s="50" t="s">
        <v>200</v>
      </c>
      <c r="N22" s="50" t="s">
        <v>222</v>
      </c>
      <c r="O22" s="50">
        <v>11</v>
      </c>
      <c r="P22" s="63">
        <v>650</v>
      </c>
      <c r="Q22" s="50">
        <v>2.5</v>
      </c>
      <c r="R22" s="165"/>
      <c r="S22" s="148"/>
    </row>
    <row r="23" spans="1:19">
      <c r="A23" s="442"/>
      <c r="B23" s="480"/>
      <c r="C23" s="480"/>
      <c r="D23" s="480"/>
      <c r="E23" s="480"/>
      <c r="F23" s="480"/>
      <c r="G23" s="480"/>
      <c r="H23" s="79" t="s">
        <v>247</v>
      </c>
      <c r="I23" s="143"/>
      <c r="J23" s="160" t="s">
        <v>265</v>
      </c>
      <c r="K23" s="185">
        <v>1</v>
      </c>
      <c r="L23" s="193" t="s">
        <v>239</v>
      </c>
      <c r="M23" s="50">
        <v>2</v>
      </c>
      <c r="N23" s="50" t="s">
        <v>222</v>
      </c>
      <c r="O23" s="50">
        <v>11</v>
      </c>
      <c r="P23" s="63"/>
      <c r="Q23" s="50"/>
      <c r="R23" s="165"/>
      <c r="S23" s="148"/>
    </row>
    <row r="24" spans="1:19">
      <c r="A24" s="442" t="s">
        <v>218</v>
      </c>
      <c r="B24" s="480"/>
      <c r="C24" s="480"/>
      <c r="D24" s="480"/>
      <c r="E24" s="480"/>
      <c r="F24" s="480"/>
      <c r="G24" s="480"/>
      <c r="H24" s="79" t="s">
        <v>247</v>
      </c>
      <c r="I24" s="143"/>
      <c r="J24" s="160" t="s">
        <v>254</v>
      </c>
      <c r="K24" s="185">
        <v>1</v>
      </c>
      <c r="L24" s="193" t="s">
        <v>238</v>
      </c>
      <c r="M24" s="50" t="s">
        <v>200</v>
      </c>
      <c r="N24" s="50">
        <v>0</v>
      </c>
      <c r="O24" s="50">
        <v>11</v>
      </c>
      <c r="P24" s="63">
        <v>650</v>
      </c>
      <c r="Q24" s="50">
        <v>2.5</v>
      </c>
      <c r="R24" s="165"/>
      <c r="S24" s="148"/>
    </row>
    <row r="25" spans="1:19">
      <c r="A25" s="442"/>
      <c r="B25" s="480"/>
      <c r="C25" s="480"/>
      <c r="D25" s="480"/>
      <c r="E25" s="480"/>
      <c r="F25" s="480"/>
      <c r="G25" s="480"/>
      <c r="H25" s="79" t="s">
        <v>247</v>
      </c>
      <c r="I25" s="143"/>
      <c r="J25" s="160" t="s">
        <v>255</v>
      </c>
      <c r="K25" s="185">
        <v>1</v>
      </c>
      <c r="L25" s="193" t="s">
        <v>266</v>
      </c>
      <c r="M25" s="50">
        <v>1</v>
      </c>
      <c r="N25" s="50">
        <v>0</v>
      </c>
      <c r="O25" s="50">
        <v>11</v>
      </c>
      <c r="P25" s="63"/>
      <c r="Q25" s="50"/>
      <c r="R25" s="165"/>
      <c r="S25" s="148"/>
    </row>
    <row r="26" spans="1:19">
      <c r="A26" s="442" t="s">
        <v>219</v>
      </c>
      <c r="B26" s="480"/>
      <c r="C26" s="480"/>
      <c r="D26" s="480"/>
      <c r="E26" s="480"/>
      <c r="F26" s="480"/>
      <c r="G26" s="480"/>
      <c r="H26" s="79" t="s">
        <v>247</v>
      </c>
      <c r="I26" s="143"/>
      <c r="J26" s="160" t="s">
        <v>256</v>
      </c>
      <c r="K26" s="185">
        <v>1</v>
      </c>
      <c r="L26" s="193" t="s">
        <v>238</v>
      </c>
      <c r="M26" s="50" t="s">
        <v>200</v>
      </c>
      <c r="N26" s="50" t="s">
        <v>222</v>
      </c>
      <c r="O26" s="50">
        <v>11</v>
      </c>
      <c r="P26" s="63">
        <v>750</v>
      </c>
      <c r="Q26" s="50">
        <v>2.5</v>
      </c>
      <c r="R26" s="165"/>
      <c r="S26" s="148"/>
    </row>
    <row r="27" spans="1:19">
      <c r="A27" s="442"/>
      <c r="B27" s="480"/>
      <c r="C27" s="480"/>
      <c r="D27" s="480"/>
      <c r="E27" s="480"/>
      <c r="F27" s="480"/>
      <c r="G27" s="480"/>
      <c r="H27" s="79" t="s">
        <v>247</v>
      </c>
      <c r="I27" s="143"/>
      <c r="J27" s="160" t="s">
        <v>265</v>
      </c>
      <c r="K27" s="185">
        <v>2</v>
      </c>
      <c r="L27" s="193" t="s">
        <v>237</v>
      </c>
      <c r="M27" s="50">
        <v>2</v>
      </c>
      <c r="N27" s="50" t="s">
        <v>222</v>
      </c>
      <c r="O27" s="50">
        <v>11</v>
      </c>
      <c r="P27" s="63"/>
      <c r="Q27" s="50"/>
      <c r="R27" s="165"/>
      <c r="S27" s="148"/>
    </row>
    <row r="28" spans="1:19">
      <c r="A28" s="442" t="s">
        <v>220</v>
      </c>
      <c r="B28" s="480"/>
      <c r="C28" s="480"/>
      <c r="D28" s="480"/>
      <c r="E28" s="480"/>
      <c r="F28" s="480"/>
      <c r="G28" s="480"/>
      <c r="H28" s="79" t="s">
        <v>247</v>
      </c>
      <c r="I28" s="143"/>
      <c r="J28" s="160" t="s">
        <v>254</v>
      </c>
      <c r="K28" s="185">
        <v>1</v>
      </c>
      <c r="L28" s="193" t="s">
        <v>238</v>
      </c>
      <c r="M28" s="50">
        <v>1</v>
      </c>
      <c r="N28" s="50">
        <v>0</v>
      </c>
      <c r="O28" s="50">
        <v>10</v>
      </c>
      <c r="P28" s="63">
        <v>500</v>
      </c>
      <c r="Q28" s="50">
        <v>1.5</v>
      </c>
      <c r="R28" s="165"/>
      <c r="S28" s="148"/>
    </row>
    <row r="29" spans="1:19">
      <c r="A29" s="442"/>
      <c r="B29" s="480"/>
      <c r="C29" s="480"/>
      <c r="D29" s="480"/>
      <c r="E29" s="480"/>
      <c r="F29" s="480"/>
      <c r="G29" s="480"/>
      <c r="H29" s="79" t="s">
        <v>247</v>
      </c>
      <c r="I29" s="143"/>
      <c r="J29" s="160" t="s">
        <v>255</v>
      </c>
      <c r="K29" s="185">
        <v>1</v>
      </c>
      <c r="L29" s="193" t="s">
        <v>266</v>
      </c>
      <c r="M29" s="50">
        <v>1</v>
      </c>
      <c r="N29" s="50">
        <v>0</v>
      </c>
      <c r="O29" s="50">
        <v>10</v>
      </c>
      <c r="P29" s="63"/>
      <c r="Q29" s="50"/>
      <c r="R29" s="165"/>
      <c r="S29" s="148"/>
    </row>
    <row r="30" spans="1:19">
      <c r="A30" s="481" t="s">
        <v>221</v>
      </c>
      <c r="B30" s="482"/>
      <c r="C30" s="482"/>
      <c r="D30" s="482"/>
      <c r="E30" s="482"/>
      <c r="F30" s="482"/>
      <c r="G30" s="482"/>
      <c r="H30" s="482"/>
      <c r="I30" s="482"/>
      <c r="J30" s="482"/>
      <c r="K30" s="482"/>
      <c r="L30" s="482"/>
      <c r="M30" s="482"/>
      <c r="N30" s="482"/>
      <c r="O30" s="482"/>
      <c r="P30" s="482"/>
      <c r="Q30" s="482"/>
      <c r="R30" s="483"/>
    </row>
    <row r="31" spans="1:19">
      <c r="A31" s="442" t="s">
        <v>268</v>
      </c>
      <c r="B31" s="480"/>
      <c r="C31" s="480"/>
      <c r="D31" s="480"/>
      <c r="E31" s="480"/>
      <c r="F31" s="480"/>
      <c r="G31" s="480"/>
      <c r="H31" s="79" t="s">
        <v>248</v>
      </c>
      <c r="I31" s="192"/>
      <c r="J31" s="160" t="s">
        <v>229</v>
      </c>
      <c r="K31" s="185">
        <v>2</v>
      </c>
      <c r="L31" s="193" t="s">
        <v>274</v>
      </c>
      <c r="M31" s="193">
        <v>1</v>
      </c>
      <c r="N31" s="193" t="s">
        <v>222</v>
      </c>
      <c r="O31" s="193">
        <v>11</v>
      </c>
      <c r="P31" s="193">
        <v>50</v>
      </c>
      <c r="Q31" s="193">
        <v>2</v>
      </c>
      <c r="R31" s="165"/>
    </row>
    <row r="32" spans="1:19">
      <c r="A32" s="442" t="s">
        <v>269</v>
      </c>
      <c r="B32" s="480"/>
      <c r="C32" s="480"/>
      <c r="D32" s="480"/>
      <c r="E32" s="480"/>
      <c r="F32" s="480"/>
      <c r="G32" s="480"/>
      <c r="H32" s="79" t="s">
        <v>248</v>
      </c>
      <c r="I32" s="192"/>
      <c r="J32" s="160" t="s">
        <v>229</v>
      </c>
      <c r="K32" s="185">
        <v>0</v>
      </c>
      <c r="L32" s="193" t="s">
        <v>274</v>
      </c>
      <c r="M32" s="193">
        <v>1</v>
      </c>
      <c r="N32" s="193">
        <v>0</v>
      </c>
      <c r="O32" s="193">
        <v>8</v>
      </c>
      <c r="P32" s="193">
        <v>40</v>
      </c>
      <c r="Q32" s="193">
        <v>1</v>
      </c>
      <c r="R32" s="165" t="s">
        <v>207</v>
      </c>
    </row>
    <row r="33" spans="1:18">
      <c r="A33" s="442" t="s">
        <v>270</v>
      </c>
      <c r="B33" s="480"/>
      <c r="C33" s="480"/>
      <c r="D33" s="480"/>
      <c r="E33" s="480"/>
      <c r="F33" s="480"/>
      <c r="G33" s="480"/>
      <c r="H33" s="79" t="s">
        <v>248</v>
      </c>
      <c r="I33" s="192"/>
      <c r="J33" s="160" t="s">
        <v>229</v>
      </c>
      <c r="K33" s="185">
        <v>2</v>
      </c>
      <c r="L33" s="193" t="s">
        <v>274</v>
      </c>
      <c r="M33" s="193">
        <v>1</v>
      </c>
      <c r="N33" s="193" t="s">
        <v>222</v>
      </c>
      <c r="O33" s="193">
        <v>11</v>
      </c>
      <c r="P33" s="193">
        <v>60</v>
      </c>
      <c r="Q33" s="193">
        <v>2</v>
      </c>
      <c r="R33" s="165" t="s">
        <v>207</v>
      </c>
    </row>
    <row r="34" spans="1:18">
      <c r="A34" s="442" t="s">
        <v>271</v>
      </c>
      <c r="B34" s="480"/>
      <c r="C34" s="480"/>
      <c r="D34" s="480"/>
      <c r="E34" s="480"/>
      <c r="F34" s="480"/>
      <c r="G34" s="480"/>
      <c r="H34" s="79" t="s">
        <v>248</v>
      </c>
      <c r="I34" s="192"/>
      <c r="J34" s="160" t="s">
        <v>229</v>
      </c>
      <c r="K34" s="185">
        <v>2</v>
      </c>
      <c r="L34" s="193" t="s">
        <v>275</v>
      </c>
      <c r="M34" s="193">
        <v>1</v>
      </c>
      <c r="N34" s="193" t="s">
        <v>222</v>
      </c>
      <c r="O34" s="193">
        <v>10</v>
      </c>
      <c r="P34" s="193">
        <v>35</v>
      </c>
      <c r="Q34" s="193">
        <v>1.5</v>
      </c>
      <c r="R34" s="165" t="s">
        <v>207</v>
      </c>
    </row>
    <row r="35" spans="1:18">
      <c r="A35" s="442" t="s">
        <v>272</v>
      </c>
      <c r="B35" s="480"/>
      <c r="C35" s="480"/>
      <c r="D35" s="480"/>
      <c r="E35" s="480"/>
      <c r="F35" s="480"/>
      <c r="G35" s="480"/>
      <c r="H35" s="79" t="s">
        <v>248</v>
      </c>
      <c r="I35" s="192"/>
      <c r="J35" s="160" t="s">
        <v>229</v>
      </c>
      <c r="K35" s="185">
        <v>3</v>
      </c>
      <c r="L35" s="193" t="s">
        <v>275</v>
      </c>
      <c r="M35" s="193">
        <v>1</v>
      </c>
      <c r="N35" s="193" t="s">
        <v>222</v>
      </c>
      <c r="O35" s="193">
        <v>12</v>
      </c>
      <c r="P35" s="193">
        <v>50</v>
      </c>
      <c r="Q35" s="193">
        <v>2.5</v>
      </c>
      <c r="R35" s="165" t="s">
        <v>207</v>
      </c>
    </row>
    <row r="36" spans="1:18">
      <c r="A36" s="442" t="s">
        <v>273</v>
      </c>
      <c r="B36" s="480"/>
      <c r="C36" s="480"/>
      <c r="D36" s="480"/>
      <c r="E36" s="480"/>
      <c r="F36" s="480"/>
      <c r="G36" s="480"/>
      <c r="H36" s="79" t="s">
        <v>248</v>
      </c>
      <c r="I36" s="192"/>
      <c r="J36" s="160" t="s">
        <v>229</v>
      </c>
      <c r="K36" s="185">
        <v>1</v>
      </c>
      <c r="L36" s="193" t="s">
        <v>276</v>
      </c>
      <c r="M36" s="193">
        <v>1</v>
      </c>
      <c r="N36" s="193" t="s">
        <v>222</v>
      </c>
      <c r="O36" s="193">
        <v>10</v>
      </c>
      <c r="P36" s="193">
        <v>70</v>
      </c>
      <c r="Q36" s="193">
        <v>1.5</v>
      </c>
      <c r="R36" s="165" t="s">
        <v>277</v>
      </c>
    </row>
    <row r="37" spans="1:18">
      <c r="A37" s="481" t="s">
        <v>278</v>
      </c>
      <c r="B37" s="482"/>
      <c r="C37" s="482"/>
      <c r="D37" s="482"/>
      <c r="E37" s="482"/>
      <c r="F37" s="482"/>
      <c r="G37" s="482"/>
      <c r="H37" s="482"/>
      <c r="I37" s="482"/>
      <c r="J37" s="482"/>
      <c r="K37" s="482"/>
      <c r="L37" s="482"/>
      <c r="M37" s="482"/>
      <c r="N37" s="482"/>
      <c r="O37" s="482"/>
      <c r="P37" s="482"/>
      <c r="Q37" s="482"/>
      <c r="R37" s="483"/>
    </row>
    <row r="38" spans="1:18">
      <c r="A38" s="442" t="s">
        <v>280</v>
      </c>
      <c r="B38" s="480"/>
      <c r="C38" s="480"/>
      <c r="D38" s="480"/>
      <c r="E38" s="480"/>
      <c r="F38" s="480"/>
      <c r="G38" s="480"/>
      <c r="H38" s="79" t="s">
        <v>279</v>
      </c>
      <c r="I38" s="192"/>
      <c r="J38" s="160" t="s">
        <v>229</v>
      </c>
      <c r="K38" s="185">
        <v>3</v>
      </c>
      <c r="L38" s="193" t="s">
        <v>275</v>
      </c>
      <c r="M38" s="193">
        <v>1</v>
      </c>
      <c r="N38" s="193" t="s">
        <v>222</v>
      </c>
      <c r="O38" s="193">
        <v>12</v>
      </c>
      <c r="P38" s="63">
        <v>80</v>
      </c>
      <c r="Q38" s="193">
        <v>3</v>
      </c>
      <c r="R38" s="165" t="s">
        <v>282</v>
      </c>
    </row>
    <row r="39" spans="1:18">
      <c r="A39" s="442" t="s">
        <v>281</v>
      </c>
      <c r="B39" s="480"/>
      <c r="C39" s="480"/>
      <c r="D39" s="480"/>
      <c r="E39" s="480"/>
      <c r="F39" s="480"/>
      <c r="G39" s="480"/>
      <c r="H39" s="79" t="s">
        <v>279</v>
      </c>
      <c r="I39" s="192"/>
      <c r="J39" s="160" t="s">
        <v>229</v>
      </c>
      <c r="K39" s="185">
        <v>1</v>
      </c>
      <c r="L39" s="193" t="s">
        <v>275</v>
      </c>
      <c r="M39" s="193">
        <v>1</v>
      </c>
      <c r="N39" s="193" t="s">
        <v>222</v>
      </c>
      <c r="O39" s="193">
        <v>7</v>
      </c>
      <c r="P39" s="63">
        <v>20</v>
      </c>
      <c r="Q39" s="193">
        <v>1</v>
      </c>
      <c r="R39" s="165" t="s">
        <v>282</v>
      </c>
    </row>
    <row r="40" spans="1:18">
      <c r="A40" s="481" t="s">
        <v>283</v>
      </c>
      <c r="B40" s="482"/>
      <c r="C40" s="482"/>
      <c r="D40" s="482"/>
      <c r="E40" s="482"/>
      <c r="F40" s="482"/>
      <c r="G40" s="482"/>
      <c r="H40" s="482"/>
      <c r="I40" s="482"/>
      <c r="J40" s="482"/>
      <c r="K40" s="482"/>
      <c r="L40" s="482"/>
      <c r="M40" s="482"/>
      <c r="N40" s="482"/>
      <c r="O40" s="482"/>
      <c r="P40" s="482"/>
      <c r="Q40" s="482"/>
      <c r="R40" s="483"/>
    </row>
    <row r="41" spans="1:18">
      <c r="A41" s="442" t="s">
        <v>284</v>
      </c>
      <c r="B41" s="480"/>
      <c r="C41" s="480"/>
      <c r="D41" s="480"/>
      <c r="E41" s="480"/>
      <c r="F41" s="480"/>
      <c r="G41" s="480"/>
      <c r="H41" s="79" t="s">
        <v>284</v>
      </c>
      <c r="I41" s="192"/>
      <c r="J41" s="160" t="s">
        <v>228</v>
      </c>
      <c r="K41" s="185">
        <v>3</v>
      </c>
      <c r="L41" s="193" t="s">
        <v>276</v>
      </c>
      <c r="M41" s="193">
        <v>4</v>
      </c>
      <c r="N41" s="193" t="s">
        <v>194</v>
      </c>
      <c r="O41" s="193">
        <v>12</v>
      </c>
      <c r="P41" s="63">
        <v>60</v>
      </c>
      <c r="Q41" s="193">
        <v>3</v>
      </c>
      <c r="R41" s="165" t="s">
        <v>285</v>
      </c>
    </row>
    <row r="42" spans="1:18">
      <c r="A42" s="481" t="s">
        <v>286</v>
      </c>
      <c r="B42" s="482"/>
      <c r="C42" s="482"/>
      <c r="D42" s="482"/>
      <c r="E42" s="482"/>
      <c r="F42" s="482"/>
      <c r="G42" s="482"/>
      <c r="H42" s="482"/>
      <c r="I42" s="482"/>
      <c r="J42" s="482"/>
      <c r="K42" s="482"/>
      <c r="L42" s="482"/>
      <c r="M42" s="482"/>
      <c r="N42" s="482"/>
      <c r="O42" s="482"/>
      <c r="P42" s="482"/>
      <c r="Q42" s="482"/>
      <c r="R42" s="483"/>
    </row>
    <row r="43" spans="1:18">
      <c r="A43" s="442" t="s">
        <v>286</v>
      </c>
      <c r="B43" s="480"/>
      <c r="C43" s="480"/>
      <c r="D43" s="480"/>
      <c r="E43" s="480"/>
      <c r="F43" s="480"/>
      <c r="G43" s="480"/>
      <c r="H43" s="79" t="s">
        <v>286</v>
      </c>
      <c r="I43" s="192"/>
      <c r="J43" s="160" t="s">
        <v>228</v>
      </c>
      <c r="K43" s="185">
        <v>1</v>
      </c>
      <c r="L43" s="193" t="s">
        <v>276</v>
      </c>
      <c r="M43" s="193" t="s">
        <v>200</v>
      </c>
      <c r="N43" s="193" t="s">
        <v>305</v>
      </c>
      <c r="O43" s="193">
        <v>9</v>
      </c>
      <c r="P43" s="63">
        <v>500</v>
      </c>
      <c r="Q43" s="193">
        <v>1.35</v>
      </c>
      <c r="R43" s="165"/>
    </row>
    <row r="44" spans="1:18">
      <c r="A44" s="481" t="s">
        <v>298</v>
      </c>
      <c r="B44" s="482"/>
      <c r="C44" s="482"/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482"/>
      <c r="O44" s="482"/>
      <c r="P44" s="482"/>
      <c r="Q44" s="482"/>
      <c r="R44" s="483"/>
    </row>
    <row r="45" spans="1:18">
      <c r="A45" s="442" t="s">
        <v>287</v>
      </c>
      <c r="B45" s="480"/>
      <c r="C45" s="480"/>
      <c r="D45" s="480"/>
      <c r="E45" s="480"/>
      <c r="F45" s="480"/>
      <c r="G45" s="480"/>
      <c r="H45" s="79" t="s">
        <v>298</v>
      </c>
      <c r="I45" s="192"/>
      <c r="J45" s="160" t="s">
        <v>228</v>
      </c>
      <c r="K45" s="185">
        <v>0</v>
      </c>
      <c r="L45" s="193" t="s">
        <v>275</v>
      </c>
      <c r="M45" s="193">
        <v>1</v>
      </c>
      <c r="N45" s="193" t="s">
        <v>194</v>
      </c>
      <c r="O45" s="193">
        <v>0</v>
      </c>
      <c r="P45" s="63">
        <v>0</v>
      </c>
      <c r="Q45" s="193">
        <v>0</v>
      </c>
      <c r="R45" s="165"/>
    </row>
    <row r="46" spans="1:18">
      <c r="A46" s="442" t="s">
        <v>288</v>
      </c>
      <c r="B46" s="480"/>
      <c r="C46" s="480"/>
      <c r="D46" s="480"/>
      <c r="E46" s="480"/>
      <c r="F46" s="480"/>
      <c r="G46" s="480"/>
      <c r="H46" s="79" t="s">
        <v>298</v>
      </c>
      <c r="I46" s="192"/>
      <c r="J46" s="160" t="s">
        <v>228</v>
      </c>
      <c r="K46" s="185">
        <v>1</v>
      </c>
      <c r="L46" s="193" t="s">
        <v>275</v>
      </c>
      <c r="M46" s="193">
        <v>1</v>
      </c>
      <c r="N46" s="193" t="s">
        <v>194</v>
      </c>
      <c r="O46" s="193">
        <v>0</v>
      </c>
      <c r="P46" s="63">
        <v>0</v>
      </c>
      <c r="Q46" s="193">
        <v>2.5</v>
      </c>
      <c r="R46" s="165"/>
    </row>
    <row r="47" spans="1:18">
      <c r="A47" s="481" t="s">
        <v>299</v>
      </c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3"/>
    </row>
    <row r="48" spans="1:18">
      <c r="A48" s="442" t="s">
        <v>289</v>
      </c>
      <c r="B48" s="480"/>
      <c r="C48" s="480"/>
      <c r="D48" s="480"/>
      <c r="E48" s="480"/>
      <c r="F48" s="480"/>
      <c r="G48" s="480"/>
      <c r="H48" s="79" t="s">
        <v>299</v>
      </c>
      <c r="I48" s="192"/>
      <c r="J48" s="160" t="s">
        <v>229</v>
      </c>
      <c r="K48" s="185">
        <v>2</v>
      </c>
      <c r="L48" s="193" t="s">
        <v>275</v>
      </c>
      <c r="M48" s="193" t="s">
        <v>200</v>
      </c>
      <c r="N48" s="193">
        <v>2</v>
      </c>
      <c r="O48" s="193" t="s">
        <v>306</v>
      </c>
      <c r="P48" s="63">
        <v>10</v>
      </c>
      <c r="Q48" s="193">
        <v>2</v>
      </c>
      <c r="R48" s="165"/>
    </row>
    <row r="49" spans="1:18">
      <c r="A49" s="442" t="s">
        <v>289</v>
      </c>
      <c r="B49" s="480"/>
      <c r="C49" s="480"/>
      <c r="D49" s="480"/>
      <c r="E49" s="480"/>
      <c r="F49" s="480"/>
      <c r="G49" s="480"/>
      <c r="H49" s="79" t="s">
        <v>299</v>
      </c>
      <c r="I49" s="192"/>
      <c r="J49" s="160" t="s">
        <v>228</v>
      </c>
      <c r="K49" s="185">
        <v>2</v>
      </c>
      <c r="L49" s="193" t="s">
        <v>275</v>
      </c>
      <c r="M49" s="193" t="s">
        <v>200</v>
      </c>
      <c r="N49" s="193">
        <v>2</v>
      </c>
      <c r="O49" s="193" t="s">
        <v>306</v>
      </c>
      <c r="P49" s="63">
        <v>0</v>
      </c>
      <c r="Q49" s="193">
        <v>0</v>
      </c>
      <c r="R49" s="165"/>
    </row>
    <row r="50" spans="1:18">
      <c r="A50" s="442" t="s">
        <v>290</v>
      </c>
      <c r="B50" s="480"/>
      <c r="C50" s="480"/>
      <c r="D50" s="480"/>
      <c r="E50" s="480"/>
      <c r="F50" s="480"/>
      <c r="G50" s="480"/>
      <c r="H50" s="79" t="s">
        <v>299</v>
      </c>
      <c r="I50" s="192"/>
      <c r="J50" s="160" t="s">
        <v>229</v>
      </c>
      <c r="K50" s="185">
        <v>2</v>
      </c>
      <c r="L50" s="193" t="s">
        <v>275</v>
      </c>
      <c r="M50" s="193" t="s">
        <v>200</v>
      </c>
      <c r="N50" s="193" t="s">
        <v>222</v>
      </c>
      <c r="O50" s="193" t="s">
        <v>307</v>
      </c>
      <c r="P50" s="63">
        <v>100</v>
      </c>
      <c r="Q50" s="193">
        <v>3</v>
      </c>
      <c r="R50" s="165" t="s">
        <v>308</v>
      </c>
    </row>
    <row r="51" spans="1:18">
      <c r="A51" s="442" t="s">
        <v>290</v>
      </c>
      <c r="B51" s="480"/>
      <c r="C51" s="480"/>
      <c r="D51" s="480"/>
      <c r="E51" s="480"/>
      <c r="F51" s="480"/>
      <c r="G51" s="480"/>
      <c r="H51" s="79" t="s">
        <v>299</v>
      </c>
      <c r="I51" s="192"/>
      <c r="J51" s="160" t="s">
        <v>228</v>
      </c>
      <c r="K51" s="185">
        <v>2</v>
      </c>
      <c r="L51" s="193" t="s">
        <v>275</v>
      </c>
      <c r="M51" s="193" t="s">
        <v>200</v>
      </c>
      <c r="N51" s="193">
        <v>0</v>
      </c>
      <c r="O51" s="193" t="s">
        <v>307</v>
      </c>
      <c r="P51" s="63">
        <v>0</v>
      </c>
      <c r="Q51" s="193">
        <v>0</v>
      </c>
      <c r="R51" s="165"/>
    </row>
    <row r="52" spans="1:18">
      <c r="A52" s="481" t="s">
        <v>291</v>
      </c>
      <c r="B52" s="482"/>
      <c r="C52" s="482"/>
      <c r="D52" s="482"/>
      <c r="E52" s="482"/>
      <c r="F52" s="482"/>
      <c r="G52" s="482"/>
      <c r="H52" s="482"/>
      <c r="I52" s="482"/>
      <c r="J52" s="482"/>
      <c r="K52" s="482"/>
      <c r="L52" s="482"/>
      <c r="M52" s="482"/>
      <c r="N52" s="482"/>
      <c r="O52" s="482"/>
      <c r="P52" s="482"/>
      <c r="Q52" s="482"/>
      <c r="R52" s="483"/>
    </row>
    <row r="53" spans="1:18">
      <c r="A53" s="442" t="s">
        <v>291</v>
      </c>
      <c r="B53" s="480"/>
      <c r="C53" s="480"/>
      <c r="D53" s="480"/>
      <c r="E53" s="480"/>
      <c r="F53" s="480"/>
      <c r="G53" s="480"/>
      <c r="H53" s="79" t="s">
        <v>291</v>
      </c>
      <c r="I53" s="192"/>
      <c r="J53" s="160" t="s">
        <v>229</v>
      </c>
      <c r="K53" s="185">
        <v>-1</v>
      </c>
      <c r="L53" s="193" t="s">
        <v>274</v>
      </c>
      <c r="M53" s="193">
        <v>1</v>
      </c>
      <c r="N53" s="193" t="s">
        <v>305</v>
      </c>
      <c r="O53" s="193">
        <v>8</v>
      </c>
      <c r="P53" s="63">
        <v>700</v>
      </c>
      <c r="Q53" s="193">
        <v>1</v>
      </c>
      <c r="R53" s="165"/>
    </row>
    <row r="54" spans="1:18">
      <c r="A54" s="442" t="s">
        <v>291</v>
      </c>
      <c r="B54" s="480"/>
      <c r="C54" s="480"/>
      <c r="D54" s="480"/>
      <c r="E54" s="480"/>
      <c r="F54" s="480"/>
      <c r="G54" s="480"/>
      <c r="H54" s="79" t="s">
        <v>291</v>
      </c>
      <c r="I54" s="192"/>
      <c r="J54" s="160" t="s">
        <v>228</v>
      </c>
      <c r="K54" s="185">
        <v>1</v>
      </c>
      <c r="L54" s="193" t="s">
        <v>276</v>
      </c>
      <c r="M54" s="193">
        <v>1</v>
      </c>
      <c r="N54" s="193" t="s">
        <v>305</v>
      </c>
      <c r="O54" s="193">
        <v>8</v>
      </c>
      <c r="P54" s="63">
        <v>0</v>
      </c>
      <c r="Q54" s="193">
        <v>0</v>
      </c>
      <c r="R54" s="165"/>
    </row>
    <row r="55" spans="1:18">
      <c r="A55" s="481" t="s">
        <v>292</v>
      </c>
      <c r="B55" s="482"/>
      <c r="C55" s="482"/>
      <c r="D55" s="482"/>
      <c r="E55" s="482"/>
      <c r="F55" s="482"/>
      <c r="G55" s="482"/>
      <c r="H55" s="482"/>
      <c r="I55" s="482"/>
      <c r="J55" s="482"/>
      <c r="K55" s="482"/>
      <c r="L55" s="482"/>
      <c r="M55" s="482"/>
      <c r="N55" s="482"/>
      <c r="O55" s="482"/>
      <c r="P55" s="482"/>
      <c r="Q55" s="482"/>
      <c r="R55" s="483"/>
    </row>
    <row r="56" spans="1:18">
      <c r="A56" s="317" t="s">
        <v>292</v>
      </c>
      <c r="B56" s="366"/>
      <c r="C56" s="195"/>
      <c r="D56" s="195"/>
      <c r="E56" s="195"/>
      <c r="F56" s="195"/>
      <c r="G56" s="195"/>
      <c r="H56" s="79" t="s">
        <v>292</v>
      </c>
      <c r="I56" s="192"/>
      <c r="J56" s="160" t="s">
        <v>229</v>
      </c>
      <c r="K56" s="185">
        <v>2</v>
      </c>
      <c r="L56" s="193" t="s">
        <v>275</v>
      </c>
      <c r="M56" s="193" t="s">
        <v>304</v>
      </c>
      <c r="N56" s="199" t="s">
        <v>212</v>
      </c>
      <c r="O56" s="193">
        <v>11</v>
      </c>
      <c r="P56" s="63">
        <v>70</v>
      </c>
      <c r="Q56" s="193">
        <v>2.5</v>
      </c>
      <c r="R56" s="165" t="s">
        <v>282</v>
      </c>
    </row>
    <row r="57" spans="1:18">
      <c r="A57" s="481" t="s">
        <v>300</v>
      </c>
      <c r="B57" s="482"/>
      <c r="C57" s="482"/>
      <c r="D57" s="482"/>
      <c r="E57" s="482"/>
      <c r="F57" s="482"/>
      <c r="G57" s="482"/>
      <c r="H57" s="482"/>
      <c r="I57" s="482"/>
      <c r="J57" s="482"/>
      <c r="K57" s="482"/>
      <c r="L57" s="482"/>
      <c r="M57" s="482"/>
      <c r="N57" s="482"/>
      <c r="O57" s="482"/>
      <c r="P57" s="482"/>
      <c r="Q57" s="482"/>
      <c r="R57" s="483"/>
    </row>
    <row r="58" spans="1:18">
      <c r="A58" s="442" t="s">
        <v>293</v>
      </c>
      <c r="B58" s="480"/>
      <c r="C58" s="195"/>
      <c r="D58" s="195"/>
      <c r="E58" s="195"/>
      <c r="F58" s="195"/>
      <c r="G58" s="195"/>
      <c r="H58" s="79" t="s">
        <v>300</v>
      </c>
      <c r="I58" s="192"/>
      <c r="J58" s="160" t="s">
        <v>229</v>
      </c>
      <c r="K58" s="185">
        <v>0</v>
      </c>
      <c r="L58" s="193" t="s">
        <v>275</v>
      </c>
      <c r="M58" s="193">
        <v>1</v>
      </c>
      <c r="N58" s="193">
        <v>0</v>
      </c>
      <c r="O58" s="193">
        <v>6</v>
      </c>
      <c r="P58" s="63">
        <v>20</v>
      </c>
      <c r="Q58" s="193">
        <v>0.5</v>
      </c>
      <c r="R58" s="165"/>
    </row>
    <row r="59" spans="1:18">
      <c r="A59" s="442" t="s">
        <v>293</v>
      </c>
      <c r="B59" s="480"/>
      <c r="C59" s="195"/>
      <c r="D59" s="195"/>
      <c r="E59" s="195"/>
      <c r="F59" s="195"/>
      <c r="G59" s="195"/>
      <c r="H59" s="79" t="s">
        <v>300</v>
      </c>
      <c r="I59" s="192"/>
      <c r="J59" s="160" t="s">
        <v>228</v>
      </c>
      <c r="K59" s="185">
        <v>0</v>
      </c>
      <c r="L59" s="193" t="s">
        <v>275</v>
      </c>
      <c r="M59" s="193">
        <v>1</v>
      </c>
      <c r="N59" s="193">
        <v>0</v>
      </c>
      <c r="O59" s="193">
        <v>6</v>
      </c>
      <c r="P59" s="63">
        <v>0</v>
      </c>
      <c r="Q59" s="193">
        <v>0</v>
      </c>
      <c r="R59" s="165"/>
    </row>
    <row r="60" spans="1:18">
      <c r="A60" s="442" t="s">
        <v>294</v>
      </c>
      <c r="B60" s="480"/>
      <c r="C60" s="195"/>
      <c r="D60" s="195"/>
      <c r="E60" s="195"/>
      <c r="F60" s="195"/>
      <c r="G60" s="195"/>
      <c r="H60" s="79" t="s">
        <v>300</v>
      </c>
      <c r="I60" s="192"/>
      <c r="J60" s="160" t="s">
        <v>229</v>
      </c>
      <c r="K60" s="185">
        <v>0</v>
      </c>
      <c r="L60" s="193" t="s">
        <v>274</v>
      </c>
      <c r="M60" s="193">
        <v>1</v>
      </c>
      <c r="N60" s="193">
        <v>0</v>
      </c>
      <c r="O60" s="193">
        <v>8</v>
      </c>
      <c r="P60" s="63">
        <v>400</v>
      </c>
      <c r="Q60" s="193">
        <v>1</v>
      </c>
      <c r="R60" s="165"/>
    </row>
    <row r="61" spans="1:18">
      <c r="A61" s="442" t="s">
        <v>294</v>
      </c>
      <c r="B61" s="480"/>
      <c r="C61" s="195"/>
      <c r="D61" s="195"/>
      <c r="E61" s="195"/>
      <c r="F61" s="195"/>
      <c r="G61" s="195"/>
      <c r="H61" s="79" t="s">
        <v>300</v>
      </c>
      <c r="I61" s="192"/>
      <c r="J61" s="160" t="s">
        <v>228</v>
      </c>
      <c r="K61" s="185">
        <v>0</v>
      </c>
      <c r="L61" s="193" t="s">
        <v>276</v>
      </c>
      <c r="M61" s="193">
        <v>1</v>
      </c>
      <c r="N61" s="193">
        <v>0</v>
      </c>
      <c r="O61" s="193">
        <v>8</v>
      </c>
      <c r="P61" s="63">
        <v>0</v>
      </c>
      <c r="Q61" s="193">
        <v>0</v>
      </c>
      <c r="R61" s="165"/>
    </row>
    <row r="62" spans="1:18">
      <c r="A62" s="442" t="s">
        <v>295</v>
      </c>
      <c r="B62" s="480"/>
      <c r="C62" s="195"/>
      <c r="D62" s="195"/>
      <c r="E62" s="195"/>
      <c r="F62" s="195"/>
      <c r="G62" s="195"/>
      <c r="H62" s="79" t="s">
        <v>300</v>
      </c>
      <c r="I62" s="192"/>
      <c r="J62" s="160" t="s">
        <v>229</v>
      </c>
      <c r="K62" s="185">
        <v>0</v>
      </c>
      <c r="L62" s="193" t="s">
        <v>274</v>
      </c>
      <c r="M62" s="193">
        <v>1</v>
      </c>
      <c r="N62" s="193">
        <v>0</v>
      </c>
      <c r="O62" s="193">
        <v>8</v>
      </c>
      <c r="P62" s="63">
        <v>300</v>
      </c>
      <c r="Q62" s="193">
        <v>1</v>
      </c>
      <c r="R62" s="165" t="s">
        <v>309</v>
      </c>
    </row>
    <row r="63" spans="1:18">
      <c r="A63" s="442" t="s">
        <v>295</v>
      </c>
      <c r="B63" s="480"/>
      <c r="C63" s="195"/>
      <c r="D63" s="195"/>
      <c r="E63" s="195"/>
      <c r="F63" s="195"/>
      <c r="G63" s="195"/>
      <c r="H63" s="79" t="s">
        <v>300</v>
      </c>
      <c r="I63" s="192"/>
      <c r="J63" s="160" t="s">
        <v>228</v>
      </c>
      <c r="K63" s="185">
        <v>0</v>
      </c>
      <c r="L63" s="193" t="s">
        <v>276</v>
      </c>
      <c r="M63" s="193">
        <v>1</v>
      </c>
      <c r="N63" s="193">
        <v>0</v>
      </c>
      <c r="O63" s="193">
        <v>8</v>
      </c>
      <c r="P63" s="63">
        <v>0</v>
      </c>
      <c r="Q63" s="193">
        <v>0</v>
      </c>
      <c r="R63" s="165"/>
    </row>
    <row r="64" spans="1:18">
      <c r="A64" s="442" t="s">
        <v>296</v>
      </c>
      <c r="B64" s="480"/>
      <c r="C64" s="195"/>
      <c r="D64" s="195"/>
      <c r="E64" s="195"/>
      <c r="F64" s="195"/>
      <c r="G64" s="195"/>
      <c r="H64" s="79" t="s">
        <v>300</v>
      </c>
      <c r="I64" s="192"/>
      <c r="J64" s="160"/>
      <c r="K64" s="185" t="s">
        <v>301</v>
      </c>
      <c r="L64" s="193" t="s">
        <v>236</v>
      </c>
      <c r="M64" s="193">
        <v>1</v>
      </c>
      <c r="N64" s="193">
        <v>0</v>
      </c>
      <c r="O64" s="193">
        <v>3</v>
      </c>
      <c r="P64" s="63">
        <v>50</v>
      </c>
      <c r="Q64" s="193">
        <v>1</v>
      </c>
      <c r="R64" s="165"/>
    </row>
    <row r="65" spans="1:18">
      <c r="A65" s="442" t="s">
        <v>297</v>
      </c>
      <c r="B65" s="480"/>
      <c r="C65" s="195"/>
      <c r="D65" s="195"/>
      <c r="E65" s="195"/>
      <c r="F65" s="195"/>
      <c r="G65" s="195"/>
      <c r="H65" s="79" t="s">
        <v>300</v>
      </c>
      <c r="I65" s="192"/>
      <c r="J65" s="160"/>
      <c r="K65" s="185" t="s">
        <v>302</v>
      </c>
      <c r="L65" s="193" t="s">
        <v>303</v>
      </c>
      <c r="M65" s="193">
        <v>1</v>
      </c>
      <c r="N65" s="193">
        <v>0</v>
      </c>
      <c r="O65" s="193">
        <v>0</v>
      </c>
      <c r="P65" s="63">
        <v>0</v>
      </c>
      <c r="Q65" s="193">
        <v>0</v>
      </c>
      <c r="R65" s="165" t="s">
        <v>310</v>
      </c>
    </row>
    <row r="66" spans="1:18">
      <c r="A66" s="481" t="s">
        <v>312</v>
      </c>
      <c r="B66" s="482"/>
      <c r="C66" s="482"/>
      <c r="D66" s="482"/>
      <c r="E66" s="482"/>
      <c r="F66" s="482"/>
      <c r="G66" s="482"/>
      <c r="H66" s="482"/>
      <c r="I66" s="482"/>
      <c r="J66" s="482"/>
      <c r="K66" s="482"/>
      <c r="L66" s="482"/>
      <c r="M66" s="482"/>
      <c r="N66" s="482"/>
      <c r="O66" s="482"/>
      <c r="P66" s="482"/>
      <c r="Q66" s="482"/>
      <c r="R66" s="483"/>
    </row>
    <row r="67" spans="1:18">
      <c r="A67" s="442" t="s">
        <v>311</v>
      </c>
      <c r="B67" s="480"/>
      <c r="C67" s="195"/>
      <c r="D67" s="195"/>
      <c r="E67" s="195"/>
      <c r="F67" s="195"/>
      <c r="G67" s="195"/>
      <c r="H67" s="79" t="s">
        <v>312</v>
      </c>
      <c r="I67" s="192"/>
      <c r="J67" s="160" t="s">
        <v>229</v>
      </c>
      <c r="K67" s="185">
        <v>0</v>
      </c>
      <c r="L67" s="193" t="s">
        <v>275</v>
      </c>
      <c r="M67" s="193">
        <v>1</v>
      </c>
      <c r="N67" s="193" t="s">
        <v>305</v>
      </c>
      <c r="O67" s="193">
        <v>6</v>
      </c>
      <c r="P67" s="63">
        <v>20</v>
      </c>
      <c r="Q67" s="193">
        <v>0.5</v>
      </c>
      <c r="R67" s="165"/>
    </row>
    <row r="68" spans="1:18">
      <c r="A68" s="442" t="s">
        <v>311</v>
      </c>
      <c r="B68" s="480"/>
      <c r="C68" s="195"/>
      <c r="D68" s="195"/>
      <c r="E68" s="195"/>
      <c r="F68" s="195"/>
      <c r="G68" s="195"/>
      <c r="H68" s="79" t="s">
        <v>312</v>
      </c>
      <c r="I68" s="192"/>
      <c r="J68" s="160" t="s">
        <v>228</v>
      </c>
      <c r="K68" s="185">
        <v>0</v>
      </c>
      <c r="L68" s="193" t="s">
        <v>275</v>
      </c>
      <c r="M68" s="193">
        <v>1</v>
      </c>
      <c r="N68" s="193" t="s">
        <v>305</v>
      </c>
      <c r="O68" s="193">
        <v>6</v>
      </c>
      <c r="P68" s="63">
        <v>0</v>
      </c>
      <c r="Q68" s="193">
        <v>0</v>
      </c>
      <c r="R68" s="165"/>
    </row>
    <row r="69" spans="1:18">
      <c r="A69" s="442" t="s">
        <v>312</v>
      </c>
      <c r="B69" s="480"/>
      <c r="C69" s="195"/>
      <c r="D69" s="195"/>
      <c r="E69" s="195"/>
      <c r="F69" s="195"/>
      <c r="G69" s="195"/>
      <c r="H69" s="79" t="s">
        <v>312</v>
      </c>
      <c r="I69" s="192"/>
      <c r="J69" s="160" t="s">
        <v>228</v>
      </c>
      <c r="K69" s="185">
        <v>1</v>
      </c>
      <c r="L69" s="193" t="s">
        <v>276</v>
      </c>
      <c r="M69" s="193">
        <v>1</v>
      </c>
      <c r="N69" s="193" t="s">
        <v>305</v>
      </c>
      <c r="O69" s="193">
        <v>5</v>
      </c>
      <c r="P69" s="63">
        <v>400</v>
      </c>
      <c r="Q69" s="193">
        <v>0.75</v>
      </c>
      <c r="R69" s="165"/>
    </row>
    <row r="70" spans="1:18">
      <c r="A70" s="481" t="s">
        <v>328</v>
      </c>
      <c r="B70" s="482"/>
      <c r="C70" s="482"/>
      <c r="D70" s="482"/>
      <c r="E70" s="482"/>
      <c r="F70" s="482"/>
      <c r="G70" s="482"/>
      <c r="H70" s="482"/>
      <c r="I70" s="482"/>
      <c r="J70" s="482"/>
      <c r="K70" s="482"/>
      <c r="L70" s="482"/>
      <c r="M70" s="482"/>
      <c r="N70" s="482"/>
      <c r="O70" s="482"/>
      <c r="P70" s="482"/>
      <c r="Q70" s="482"/>
      <c r="R70" s="483"/>
    </row>
    <row r="71" spans="1:18">
      <c r="A71" s="442" t="s">
        <v>289</v>
      </c>
      <c r="B71" s="480"/>
      <c r="C71" s="195"/>
      <c r="D71" s="195"/>
      <c r="E71" s="195"/>
      <c r="F71" s="195"/>
      <c r="G71" s="195"/>
      <c r="H71" s="79" t="s">
        <v>328</v>
      </c>
      <c r="I71" s="192"/>
      <c r="J71" s="160" t="s">
        <v>229</v>
      </c>
      <c r="K71" s="185">
        <v>2</v>
      </c>
      <c r="L71" s="193" t="s">
        <v>275</v>
      </c>
      <c r="M71" s="193" t="s">
        <v>200</v>
      </c>
      <c r="N71" s="193">
        <v>0</v>
      </c>
      <c r="O71" s="193" t="s">
        <v>307</v>
      </c>
      <c r="P71" s="63">
        <v>10</v>
      </c>
      <c r="Q71" s="193">
        <v>2</v>
      </c>
      <c r="R71" s="165"/>
    </row>
    <row r="72" spans="1:18">
      <c r="A72" s="442" t="s">
        <v>289</v>
      </c>
      <c r="B72" s="480"/>
      <c r="C72" s="195"/>
      <c r="D72" s="195"/>
      <c r="E72" s="195"/>
      <c r="F72" s="195"/>
      <c r="G72" s="195"/>
      <c r="H72" s="79" t="s">
        <v>328</v>
      </c>
      <c r="I72" s="192"/>
      <c r="J72" s="160" t="s">
        <v>228</v>
      </c>
      <c r="K72" s="185">
        <v>1</v>
      </c>
      <c r="L72" s="193" t="s">
        <v>275</v>
      </c>
      <c r="M72" s="193">
        <v>2</v>
      </c>
      <c r="N72" s="193">
        <v>0</v>
      </c>
      <c r="O72" s="193" t="s">
        <v>307</v>
      </c>
      <c r="P72" s="63">
        <v>0</v>
      </c>
      <c r="Q72" s="193">
        <v>0</v>
      </c>
      <c r="R72" s="165"/>
    </row>
    <row r="73" spans="1:18">
      <c r="A73" s="442" t="s">
        <v>290</v>
      </c>
      <c r="B73" s="480"/>
      <c r="C73" s="195"/>
      <c r="D73" s="195"/>
      <c r="E73" s="195"/>
      <c r="F73" s="195"/>
      <c r="G73" s="195"/>
      <c r="H73" s="79" t="s">
        <v>328</v>
      </c>
      <c r="I73" s="192"/>
      <c r="J73" s="160" t="s">
        <v>229</v>
      </c>
      <c r="K73" s="185">
        <v>3</v>
      </c>
      <c r="L73" s="193" t="s">
        <v>274</v>
      </c>
      <c r="M73" s="193">
        <v>2</v>
      </c>
      <c r="N73" s="193" t="s">
        <v>222</v>
      </c>
      <c r="O73" s="193" t="s">
        <v>307</v>
      </c>
      <c r="P73" s="63">
        <v>100</v>
      </c>
      <c r="Q73" s="193">
        <v>3</v>
      </c>
      <c r="R73" s="165"/>
    </row>
    <row r="74" spans="1:18">
      <c r="A74" s="442" t="s">
        <v>290</v>
      </c>
      <c r="B74" s="480"/>
      <c r="C74" s="195"/>
      <c r="D74" s="195"/>
      <c r="E74" s="195"/>
      <c r="F74" s="195"/>
      <c r="G74" s="195"/>
      <c r="H74" s="79" t="s">
        <v>328</v>
      </c>
      <c r="I74" s="192"/>
      <c r="J74" s="160" t="s">
        <v>228</v>
      </c>
      <c r="K74" s="185">
        <v>3</v>
      </c>
      <c r="L74" s="193" t="s">
        <v>276</v>
      </c>
      <c r="M74" s="193">
        <v>2</v>
      </c>
      <c r="N74" s="193">
        <v>0</v>
      </c>
      <c r="O74" s="193" t="s">
        <v>307</v>
      </c>
      <c r="P74" s="63">
        <v>0</v>
      </c>
      <c r="Q74" s="193">
        <v>0</v>
      </c>
      <c r="R74" s="165"/>
    </row>
    <row r="75" spans="1:18">
      <c r="A75" s="442" t="s">
        <v>217</v>
      </c>
      <c r="B75" s="480"/>
      <c r="C75" s="195"/>
      <c r="D75" s="195"/>
      <c r="E75" s="195"/>
      <c r="F75" s="195"/>
      <c r="G75" s="195"/>
      <c r="H75" s="79" t="s">
        <v>328</v>
      </c>
      <c r="I75" s="192"/>
      <c r="J75" s="160" t="s">
        <v>229</v>
      </c>
      <c r="K75" s="185">
        <v>2</v>
      </c>
      <c r="L75" s="193" t="s">
        <v>274</v>
      </c>
      <c r="M75" s="193" t="s">
        <v>200</v>
      </c>
      <c r="N75" s="193">
        <v>0</v>
      </c>
      <c r="O75" s="193" t="s">
        <v>226</v>
      </c>
      <c r="P75" s="63">
        <v>650</v>
      </c>
      <c r="Q75" s="193">
        <v>2.5</v>
      </c>
      <c r="R75" s="165"/>
    </row>
    <row r="76" spans="1:18">
      <c r="A76" s="442" t="s">
        <v>217</v>
      </c>
      <c r="B76" s="480"/>
      <c r="C76" s="195"/>
      <c r="D76" s="195"/>
      <c r="E76" s="195"/>
      <c r="F76" s="195"/>
      <c r="G76" s="195"/>
      <c r="H76" s="79" t="s">
        <v>328</v>
      </c>
      <c r="I76" s="192"/>
      <c r="J76" s="160" t="s">
        <v>228</v>
      </c>
      <c r="K76" s="185">
        <v>2</v>
      </c>
      <c r="L76" s="193" t="s">
        <v>275</v>
      </c>
      <c r="M76" s="193">
        <v>2</v>
      </c>
      <c r="N76" s="193">
        <v>0</v>
      </c>
      <c r="O76" s="193" t="s">
        <v>226</v>
      </c>
      <c r="P76" s="63">
        <v>0</v>
      </c>
      <c r="Q76" s="193">
        <v>0</v>
      </c>
      <c r="R76" s="165"/>
    </row>
    <row r="77" spans="1:18">
      <c r="A77" s="442" t="s">
        <v>313</v>
      </c>
      <c r="B77" s="480"/>
      <c r="C77" s="195"/>
      <c r="D77" s="195"/>
      <c r="E77" s="195"/>
      <c r="F77" s="195"/>
      <c r="G77" s="195"/>
      <c r="H77" s="79" t="s">
        <v>328</v>
      </c>
      <c r="I77" s="192"/>
      <c r="J77" s="160" t="s">
        <v>229</v>
      </c>
      <c r="K77" s="185">
        <v>3</v>
      </c>
      <c r="L77" s="193" t="s">
        <v>274</v>
      </c>
      <c r="M77" s="193" t="s">
        <v>200</v>
      </c>
      <c r="N77" s="193">
        <v>0</v>
      </c>
      <c r="O77" s="193" t="s">
        <v>338</v>
      </c>
      <c r="P77" s="63">
        <v>800</v>
      </c>
      <c r="Q77" s="193">
        <v>3.5</v>
      </c>
      <c r="R77" s="165"/>
    </row>
    <row r="78" spans="1:18">
      <c r="A78" s="442" t="s">
        <v>313</v>
      </c>
      <c r="B78" s="480"/>
      <c r="C78" s="195"/>
      <c r="D78" s="195"/>
      <c r="E78" s="195"/>
      <c r="F78" s="195"/>
      <c r="G78" s="195"/>
      <c r="H78" s="79" t="s">
        <v>328</v>
      </c>
      <c r="I78" s="192"/>
      <c r="J78" s="160" t="s">
        <v>228</v>
      </c>
      <c r="K78" s="185">
        <v>2</v>
      </c>
      <c r="L78" s="193" t="s">
        <v>275</v>
      </c>
      <c r="M78" s="193">
        <v>2</v>
      </c>
      <c r="N78" s="199">
        <v>0</v>
      </c>
      <c r="O78" s="193" t="s">
        <v>338</v>
      </c>
      <c r="P78" s="63">
        <v>0</v>
      </c>
      <c r="Q78" s="193">
        <v>0</v>
      </c>
      <c r="R78" s="165"/>
    </row>
    <row r="79" spans="1:18">
      <c r="A79" s="442" t="s">
        <v>218</v>
      </c>
      <c r="B79" s="480"/>
      <c r="C79" s="195"/>
      <c r="D79" s="195"/>
      <c r="E79" s="195"/>
      <c r="F79" s="195"/>
      <c r="G79" s="195"/>
      <c r="H79" s="79" t="s">
        <v>328</v>
      </c>
      <c r="I79" s="192"/>
      <c r="J79" s="160" t="s">
        <v>229</v>
      </c>
      <c r="K79" s="185">
        <v>2</v>
      </c>
      <c r="L79" s="193" t="s">
        <v>274</v>
      </c>
      <c r="M79" s="193" t="s">
        <v>200</v>
      </c>
      <c r="N79" s="193">
        <v>0</v>
      </c>
      <c r="O79" s="193" t="s">
        <v>226</v>
      </c>
      <c r="P79" s="63">
        <v>650</v>
      </c>
      <c r="Q79" s="193">
        <v>2.5</v>
      </c>
      <c r="R79" s="165"/>
    </row>
    <row r="80" spans="1:18">
      <c r="A80" s="442" t="s">
        <v>218</v>
      </c>
      <c r="B80" s="480"/>
      <c r="C80" s="195"/>
      <c r="D80" s="195"/>
      <c r="E80" s="195"/>
      <c r="F80" s="195"/>
      <c r="G80" s="195"/>
      <c r="H80" s="79" t="s">
        <v>328</v>
      </c>
      <c r="I80" s="192"/>
      <c r="J80" s="160" t="s">
        <v>228</v>
      </c>
      <c r="K80" s="185">
        <v>1</v>
      </c>
      <c r="L80" s="193" t="s">
        <v>276</v>
      </c>
      <c r="M80" s="193">
        <v>1</v>
      </c>
      <c r="N80" s="193">
        <v>0</v>
      </c>
      <c r="O80" s="193" t="s">
        <v>226</v>
      </c>
      <c r="P80" s="63">
        <v>0</v>
      </c>
      <c r="Q80" s="193">
        <v>0</v>
      </c>
      <c r="R80" s="165"/>
    </row>
    <row r="81" spans="1:18">
      <c r="A81" s="442" t="s">
        <v>219</v>
      </c>
      <c r="B81" s="480"/>
      <c r="C81" s="195"/>
      <c r="D81" s="195"/>
      <c r="E81" s="195"/>
      <c r="F81" s="195"/>
      <c r="G81" s="195"/>
      <c r="H81" s="79" t="s">
        <v>328</v>
      </c>
      <c r="I81" s="192"/>
      <c r="J81" s="160" t="s">
        <v>229</v>
      </c>
      <c r="K81" s="185">
        <v>2</v>
      </c>
      <c r="L81" s="193" t="s">
        <v>274</v>
      </c>
      <c r="M81" s="193" t="s">
        <v>200</v>
      </c>
      <c r="N81" s="193">
        <v>0</v>
      </c>
      <c r="O81" s="193" t="s">
        <v>226</v>
      </c>
      <c r="P81" s="63">
        <v>750</v>
      </c>
      <c r="Q81" s="193">
        <v>2.5</v>
      </c>
      <c r="R81" s="165"/>
    </row>
    <row r="82" spans="1:18">
      <c r="A82" s="442" t="s">
        <v>219</v>
      </c>
      <c r="B82" s="480"/>
      <c r="C82" s="195"/>
      <c r="D82" s="195"/>
      <c r="E82" s="195"/>
      <c r="F82" s="195"/>
      <c r="G82" s="195"/>
      <c r="H82" s="79" t="s">
        <v>328</v>
      </c>
      <c r="I82" s="192"/>
      <c r="J82" s="160" t="s">
        <v>228</v>
      </c>
      <c r="K82" s="185">
        <v>3</v>
      </c>
      <c r="L82" s="193" t="s">
        <v>276</v>
      </c>
      <c r="M82" s="193">
        <v>2</v>
      </c>
      <c r="N82" s="193">
        <v>0</v>
      </c>
      <c r="O82" s="193" t="s">
        <v>226</v>
      </c>
      <c r="P82" s="63">
        <v>0</v>
      </c>
      <c r="Q82" s="193">
        <v>0</v>
      </c>
      <c r="R82" s="165"/>
    </row>
    <row r="83" spans="1:18">
      <c r="A83" s="442" t="s">
        <v>314</v>
      </c>
      <c r="B83" s="480"/>
      <c r="C83" s="195"/>
      <c r="D83" s="195"/>
      <c r="E83" s="195"/>
      <c r="F83" s="195"/>
      <c r="G83" s="195"/>
      <c r="H83" s="79" t="s">
        <v>328</v>
      </c>
      <c r="I83" s="192"/>
      <c r="J83" s="160" t="s">
        <v>229</v>
      </c>
      <c r="K83" s="185">
        <v>3</v>
      </c>
      <c r="L83" s="193" t="s">
        <v>274</v>
      </c>
      <c r="M83" s="193" t="s">
        <v>200</v>
      </c>
      <c r="N83" s="193">
        <v>0</v>
      </c>
      <c r="O83" s="193" t="s">
        <v>338</v>
      </c>
      <c r="P83" s="63">
        <v>900</v>
      </c>
      <c r="Q83" s="193">
        <v>3.5</v>
      </c>
      <c r="R83" s="165"/>
    </row>
    <row r="84" spans="1:18">
      <c r="A84" s="442" t="s">
        <v>314</v>
      </c>
      <c r="B84" s="480"/>
      <c r="C84" s="195"/>
      <c r="D84" s="195"/>
      <c r="E84" s="195"/>
      <c r="F84" s="195"/>
      <c r="G84" s="195"/>
      <c r="H84" s="79" t="s">
        <v>328</v>
      </c>
      <c r="I84" s="192"/>
      <c r="J84" s="160" t="s">
        <v>228</v>
      </c>
      <c r="K84" s="185">
        <v>3</v>
      </c>
      <c r="L84" s="193" t="s">
        <v>276</v>
      </c>
      <c r="M84" s="193">
        <v>2</v>
      </c>
      <c r="N84" s="193">
        <v>0</v>
      </c>
      <c r="O84" s="193" t="s">
        <v>338</v>
      </c>
      <c r="P84" s="63">
        <v>0</v>
      </c>
      <c r="Q84" s="193">
        <v>0</v>
      </c>
      <c r="R84" s="165"/>
    </row>
    <row r="85" spans="1:18">
      <c r="A85" s="481" t="s">
        <v>329</v>
      </c>
      <c r="B85" s="482"/>
      <c r="C85" s="482"/>
      <c r="D85" s="482"/>
      <c r="E85" s="482"/>
      <c r="F85" s="482"/>
      <c r="G85" s="482"/>
      <c r="H85" s="482"/>
      <c r="I85" s="482"/>
      <c r="J85" s="482"/>
      <c r="K85" s="482"/>
      <c r="L85" s="482"/>
      <c r="M85" s="482"/>
      <c r="N85" s="482"/>
      <c r="O85" s="482"/>
      <c r="P85" s="482"/>
      <c r="Q85" s="482"/>
      <c r="R85" s="483"/>
    </row>
    <row r="86" spans="1:18">
      <c r="A86" s="442" t="s">
        <v>315</v>
      </c>
      <c r="B86" s="480"/>
      <c r="C86" s="195"/>
      <c r="D86" s="195"/>
      <c r="E86" s="195"/>
      <c r="F86" s="195"/>
      <c r="G86" s="195"/>
      <c r="H86" s="79" t="s">
        <v>329</v>
      </c>
      <c r="I86" s="192"/>
      <c r="J86" s="160" t="s">
        <v>229</v>
      </c>
      <c r="K86" s="185">
        <v>4</v>
      </c>
      <c r="L86" s="193" t="s">
        <v>275</v>
      </c>
      <c r="M86" s="193" t="s">
        <v>334</v>
      </c>
      <c r="N86" s="193" t="s">
        <v>222</v>
      </c>
      <c r="O86" s="193" t="s">
        <v>339</v>
      </c>
      <c r="P86" s="63">
        <v>80</v>
      </c>
      <c r="Q86" s="193">
        <v>6</v>
      </c>
      <c r="R86" s="165"/>
    </row>
    <row r="87" spans="1:18">
      <c r="A87" s="442" t="s">
        <v>316</v>
      </c>
      <c r="B87" s="480"/>
      <c r="C87" s="195"/>
      <c r="D87" s="195"/>
      <c r="E87" s="195"/>
      <c r="F87" s="195"/>
      <c r="G87" s="195"/>
      <c r="H87" s="79" t="s">
        <v>329</v>
      </c>
      <c r="I87" s="192"/>
      <c r="J87" s="160" t="s">
        <v>229</v>
      </c>
      <c r="K87" s="185">
        <v>3</v>
      </c>
      <c r="L87" s="193" t="s">
        <v>274</v>
      </c>
      <c r="M87" s="193" t="s">
        <v>334</v>
      </c>
      <c r="N87" s="193" t="s">
        <v>222</v>
      </c>
      <c r="O87" s="193" t="s">
        <v>340</v>
      </c>
      <c r="P87" s="63">
        <v>100</v>
      </c>
      <c r="Q87" s="193">
        <v>4</v>
      </c>
      <c r="R87" s="165"/>
    </row>
    <row r="88" spans="1:18">
      <c r="A88" s="442" t="s">
        <v>317</v>
      </c>
      <c r="B88" s="480"/>
      <c r="C88" s="195"/>
      <c r="D88" s="195"/>
      <c r="E88" s="195"/>
      <c r="F88" s="195"/>
      <c r="G88" s="195"/>
      <c r="H88" s="79" t="s">
        <v>329</v>
      </c>
      <c r="I88" s="192"/>
      <c r="J88" s="160" t="s">
        <v>229</v>
      </c>
      <c r="K88" s="185">
        <v>2</v>
      </c>
      <c r="L88" s="193" t="s">
        <v>274</v>
      </c>
      <c r="M88" s="193">
        <v>1</v>
      </c>
      <c r="N88" s="193" t="s">
        <v>222</v>
      </c>
      <c r="O88" s="193" t="s">
        <v>341</v>
      </c>
      <c r="P88" s="63">
        <v>15</v>
      </c>
      <c r="Q88" s="193">
        <v>2.5</v>
      </c>
      <c r="R88" s="165"/>
    </row>
    <row r="89" spans="1:18">
      <c r="A89" s="442" t="s">
        <v>317</v>
      </c>
      <c r="B89" s="480"/>
      <c r="C89" s="195"/>
      <c r="D89" s="195"/>
      <c r="E89" s="195"/>
      <c r="F89" s="195"/>
      <c r="G89" s="195"/>
      <c r="H89" s="79" t="s">
        <v>329</v>
      </c>
      <c r="I89" s="192"/>
      <c r="J89" s="160" t="s">
        <v>229</v>
      </c>
      <c r="K89" s="185">
        <v>0</v>
      </c>
      <c r="L89" s="193" t="s">
        <v>276</v>
      </c>
      <c r="M89" s="193">
        <v>1</v>
      </c>
      <c r="N89" s="193" t="s">
        <v>222</v>
      </c>
      <c r="O89" s="193" t="s">
        <v>341</v>
      </c>
      <c r="P89" s="63">
        <v>0</v>
      </c>
      <c r="Q89" s="193">
        <v>0</v>
      </c>
      <c r="R89" s="165"/>
    </row>
    <row r="90" spans="1:18">
      <c r="A90" s="442" t="s">
        <v>318</v>
      </c>
      <c r="B90" s="480"/>
      <c r="C90" s="195"/>
      <c r="D90" s="195"/>
      <c r="E90" s="195"/>
      <c r="F90" s="195"/>
      <c r="G90" s="195"/>
      <c r="H90" s="79" t="s">
        <v>329</v>
      </c>
      <c r="I90" s="192"/>
      <c r="J90" s="160" t="s">
        <v>229</v>
      </c>
      <c r="K90" s="185">
        <v>3</v>
      </c>
      <c r="L90" s="193" t="s">
        <v>276</v>
      </c>
      <c r="M90" s="193" t="s">
        <v>334</v>
      </c>
      <c r="N90" s="193" t="s">
        <v>222</v>
      </c>
      <c r="O90" s="193" t="s">
        <v>340</v>
      </c>
      <c r="P90" s="63">
        <v>100</v>
      </c>
      <c r="Q90" s="193">
        <v>3.5</v>
      </c>
      <c r="R90" s="165" t="s">
        <v>277</v>
      </c>
    </row>
    <row r="91" spans="1:18">
      <c r="A91" s="442" t="s">
        <v>319</v>
      </c>
      <c r="B91" s="480"/>
      <c r="C91" s="195"/>
      <c r="D91" s="195"/>
      <c r="E91" s="195"/>
      <c r="F91" s="195"/>
      <c r="G91" s="195"/>
      <c r="H91" s="79" t="s">
        <v>329</v>
      </c>
      <c r="I91" s="192"/>
      <c r="J91" s="160" t="s">
        <v>229</v>
      </c>
      <c r="K91" s="185" t="s">
        <v>332</v>
      </c>
      <c r="L91" s="193" t="s">
        <v>274</v>
      </c>
      <c r="M91" s="193">
        <v>1</v>
      </c>
      <c r="N91" s="193" t="s">
        <v>194</v>
      </c>
      <c r="O91" s="193" t="s">
        <v>342</v>
      </c>
      <c r="P91" s="63">
        <v>150</v>
      </c>
      <c r="Q91" s="193">
        <v>6.5</v>
      </c>
      <c r="R91" s="165" t="s">
        <v>277</v>
      </c>
    </row>
    <row r="92" spans="1:18">
      <c r="A92" s="481" t="s">
        <v>330</v>
      </c>
      <c r="B92" s="482"/>
      <c r="C92" s="482"/>
      <c r="D92" s="482"/>
      <c r="E92" s="482"/>
      <c r="F92" s="482"/>
      <c r="G92" s="482"/>
      <c r="H92" s="482"/>
      <c r="I92" s="482"/>
      <c r="J92" s="482"/>
      <c r="K92" s="482"/>
      <c r="L92" s="482"/>
      <c r="M92" s="482"/>
      <c r="N92" s="482"/>
      <c r="O92" s="482"/>
      <c r="P92" s="482"/>
      <c r="Q92" s="482"/>
      <c r="R92" s="483"/>
    </row>
    <row r="93" spans="1:18">
      <c r="A93" s="442" t="s">
        <v>279</v>
      </c>
      <c r="B93" s="480"/>
      <c r="C93" s="195"/>
      <c r="D93" s="195"/>
      <c r="E93" s="195"/>
      <c r="F93" s="195"/>
      <c r="G93" s="195"/>
      <c r="H93" s="79" t="s">
        <v>330</v>
      </c>
      <c r="I93" s="192"/>
      <c r="J93" s="160" t="s">
        <v>229</v>
      </c>
      <c r="K93" s="185">
        <v>4</v>
      </c>
      <c r="L93" s="193" t="s">
        <v>275</v>
      </c>
      <c r="M93" s="193" t="s">
        <v>334</v>
      </c>
      <c r="N93" s="193" t="s">
        <v>222</v>
      </c>
      <c r="O93" s="193">
        <v>13</v>
      </c>
      <c r="P93" s="63">
        <v>100</v>
      </c>
      <c r="Q93" s="193">
        <v>4</v>
      </c>
      <c r="R93" s="165" t="s">
        <v>345</v>
      </c>
    </row>
    <row r="94" spans="1:18">
      <c r="A94" s="481" t="s">
        <v>331</v>
      </c>
      <c r="B94" s="482"/>
      <c r="C94" s="482"/>
      <c r="D94" s="482"/>
      <c r="E94" s="482"/>
      <c r="F94" s="482"/>
      <c r="G94" s="482"/>
      <c r="H94" s="482"/>
      <c r="I94" s="482"/>
      <c r="J94" s="482"/>
      <c r="K94" s="482"/>
      <c r="L94" s="482"/>
      <c r="M94" s="482"/>
      <c r="N94" s="482"/>
      <c r="O94" s="482"/>
      <c r="P94" s="482"/>
      <c r="Q94" s="482"/>
      <c r="R94" s="483"/>
    </row>
    <row r="95" spans="1:18">
      <c r="A95" s="442" t="s">
        <v>320</v>
      </c>
      <c r="B95" s="480"/>
      <c r="C95" s="195"/>
      <c r="D95" s="195"/>
      <c r="E95" s="195"/>
      <c r="F95" s="195"/>
      <c r="G95" s="195"/>
      <c r="H95" s="79" t="s">
        <v>331</v>
      </c>
      <c r="I95" s="192"/>
      <c r="J95" s="160" t="s">
        <v>229</v>
      </c>
      <c r="K95" s="185">
        <v>3</v>
      </c>
      <c r="L95" s="193" t="s">
        <v>274</v>
      </c>
      <c r="M95" s="193" t="s">
        <v>335</v>
      </c>
      <c r="N95" s="193" t="s">
        <v>222</v>
      </c>
      <c r="O95" s="193" t="s">
        <v>341</v>
      </c>
      <c r="P95" s="63">
        <v>100</v>
      </c>
      <c r="Q95" s="193">
        <v>4</v>
      </c>
      <c r="R95" s="165" t="s">
        <v>282</v>
      </c>
    </row>
    <row r="96" spans="1:18">
      <c r="A96" s="442" t="s">
        <v>320</v>
      </c>
      <c r="B96" s="480"/>
      <c r="C96" s="195"/>
      <c r="D96" s="195"/>
      <c r="E96" s="195"/>
      <c r="F96" s="195"/>
      <c r="G96" s="195"/>
      <c r="H96" s="79" t="s">
        <v>331</v>
      </c>
      <c r="I96" s="192"/>
      <c r="J96" s="160" t="s">
        <v>228</v>
      </c>
      <c r="K96" s="185">
        <v>3</v>
      </c>
      <c r="L96" s="193" t="s">
        <v>276</v>
      </c>
      <c r="M96" s="193" t="s">
        <v>336</v>
      </c>
      <c r="N96" s="193" t="s">
        <v>222</v>
      </c>
      <c r="O96" s="193" t="s">
        <v>343</v>
      </c>
      <c r="P96" s="63">
        <v>0</v>
      </c>
      <c r="Q96" s="193">
        <v>0</v>
      </c>
      <c r="R96" s="165"/>
    </row>
    <row r="97" spans="1:18">
      <c r="A97" s="442" t="s">
        <v>290</v>
      </c>
      <c r="B97" s="480"/>
      <c r="C97" s="195"/>
      <c r="D97" s="195"/>
      <c r="E97" s="195"/>
      <c r="F97" s="195"/>
      <c r="G97" s="195"/>
      <c r="H97" s="79" t="s">
        <v>331</v>
      </c>
      <c r="I97" s="192"/>
      <c r="J97" s="160" t="s">
        <v>229</v>
      </c>
      <c r="K97" s="185">
        <v>2</v>
      </c>
      <c r="L97" s="193" t="s">
        <v>274</v>
      </c>
      <c r="M97" s="193" t="s">
        <v>334</v>
      </c>
      <c r="N97" s="193" t="s">
        <v>222</v>
      </c>
      <c r="O97" s="193" t="s">
        <v>307</v>
      </c>
      <c r="P97" s="63">
        <v>100</v>
      </c>
      <c r="Q97" s="193">
        <v>3</v>
      </c>
      <c r="R97" s="165"/>
    </row>
    <row r="98" spans="1:18">
      <c r="A98" s="442" t="s">
        <v>290</v>
      </c>
      <c r="B98" s="480"/>
      <c r="C98" s="195"/>
      <c r="D98" s="195"/>
      <c r="E98" s="195"/>
      <c r="F98" s="195"/>
      <c r="G98" s="195"/>
      <c r="H98" s="79" t="s">
        <v>331</v>
      </c>
      <c r="I98" s="192"/>
      <c r="J98" s="160" t="s">
        <v>228</v>
      </c>
      <c r="K98" s="185">
        <v>3</v>
      </c>
      <c r="L98" s="193" t="s">
        <v>276</v>
      </c>
      <c r="M98" s="193">
        <v>2</v>
      </c>
      <c r="N98" s="193">
        <v>0</v>
      </c>
      <c r="O98" s="193" t="s">
        <v>307</v>
      </c>
      <c r="P98" s="63">
        <v>0</v>
      </c>
      <c r="Q98" s="193">
        <v>0</v>
      </c>
      <c r="R98" s="165"/>
    </row>
    <row r="99" spans="1:18">
      <c r="A99" s="442" t="s">
        <v>321</v>
      </c>
      <c r="B99" s="480"/>
      <c r="C99" s="195"/>
      <c r="D99" s="195"/>
      <c r="E99" s="195"/>
      <c r="F99" s="195"/>
      <c r="G99" s="195"/>
      <c r="H99" s="79" t="s">
        <v>331</v>
      </c>
      <c r="I99" s="192"/>
      <c r="J99" s="160" t="s">
        <v>229</v>
      </c>
      <c r="K99" s="185">
        <v>5</v>
      </c>
      <c r="L99" s="193" t="s">
        <v>274</v>
      </c>
      <c r="M99" s="193" t="s">
        <v>335</v>
      </c>
      <c r="N99" s="193" t="s">
        <v>222</v>
      </c>
      <c r="O99" s="193" t="s">
        <v>339</v>
      </c>
      <c r="P99" s="63">
        <v>150</v>
      </c>
      <c r="Q99" s="193">
        <v>6</v>
      </c>
      <c r="R99" s="165"/>
    </row>
    <row r="100" spans="1:18">
      <c r="A100" s="442" t="s">
        <v>321</v>
      </c>
      <c r="B100" s="480"/>
      <c r="C100" s="195"/>
      <c r="D100" s="195"/>
      <c r="E100" s="195"/>
      <c r="F100" s="195"/>
      <c r="G100" s="195"/>
      <c r="H100" s="79" t="s">
        <v>331</v>
      </c>
      <c r="I100" s="192"/>
      <c r="J100" s="160" t="s">
        <v>229</v>
      </c>
      <c r="K100" s="185">
        <v>4</v>
      </c>
      <c r="L100" s="193" t="s">
        <v>276</v>
      </c>
      <c r="M100" s="193" t="s">
        <v>335</v>
      </c>
      <c r="N100" s="199" t="s">
        <v>222</v>
      </c>
      <c r="O100" s="193" t="s">
        <v>339</v>
      </c>
      <c r="P100" s="63">
        <v>0</v>
      </c>
      <c r="Q100" s="193">
        <v>0</v>
      </c>
      <c r="R100" s="165" t="s">
        <v>277</v>
      </c>
    </row>
    <row r="101" spans="1:18">
      <c r="A101" s="442" t="s">
        <v>321</v>
      </c>
      <c r="B101" s="480"/>
      <c r="C101" s="195"/>
      <c r="D101" s="195"/>
      <c r="E101" s="195"/>
      <c r="F101" s="195"/>
      <c r="G101" s="195"/>
      <c r="H101" s="79" t="s">
        <v>331</v>
      </c>
      <c r="I101" s="192"/>
      <c r="J101" s="160" t="s">
        <v>228</v>
      </c>
      <c r="K101" s="185">
        <v>3</v>
      </c>
      <c r="L101" s="193" t="s">
        <v>276</v>
      </c>
      <c r="M101" s="193" t="s">
        <v>336</v>
      </c>
      <c r="N101" s="193" t="s">
        <v>222</v>
      </c>
      <c r="O101" s="193" t="s">
        <v>338</v>
      </c>
      <c r="P101" s="63">
        <v>0</v>
      </c>
      <c r="Q101" s="193">
        <v>0</v>
      </c>
      <c r="R101" s="165"/>
    </row>
    <row r="102" spans="1:18">
      <c r="A102" s="442" t="s">
        <v>322</v>
      </c>
      <c r="B102" s="480"/>
      <c r="C102" s="195"/>
      <c r="D102" s="195"/>
      <c r="E102" s="195"/>
      <c r="F102" s="195"/>
      <c r="G102" s="195"/>
      <c r="H102" s="79" t="s">
        <v>331</v>
      </c>
      <c r="I102" s="192"/>
      <c r="J102" s="160" t="s">
        <v>229</v>
      </c>
      <c r="K102" s="185">
        <v>4</v>
      </c>
      <c r="L102" s="193" t="s">
        <v>274</v>
      </c>
      <c r="M102" s="193" t="s">
        <v>335</v>
      </c>
      <c r="N102" s="193" t="s">
        <v>222</v>
      </c>
      <c r="O102" s="193" t="s">
        <v>340</v>
      </c>
      <c r="P102" s="63">
        <v>120</v>
      </c>
      <c r="Q102" s="193">
        <v>5</v>
      </c>
      <c r="R102" s="165"/>
    </row>
    <row r="103" spans="1:18">
      <c r="A103" s="442" t="s">
        <v>322</v>
      </c>
      <c r="B103" s="480"/>
      <c r="C103" s="195"/>
      <c r="D103" s="195"/>
      <c r="E103" s="195"/>
      <c r="F103" s="195"/>
      <c r="G103" s="195"/>
      <c r="H103" s="79" t="s">
        <v>331</v>
      </c>
      <c r="I103" s="192"/>
      <c r="J103" s="160" t="s">
        <v>228</v>
      </c>
      <c r="K103" s="185">
        <v>4</v>
      </c>
      <c r="L103" s="193" t="s">
        <v>275</v>
      </c>
      <c r="M103" s="193" t="s">
        <v>335</v>
      </c>
      <c r="N103" s="193" t="s">
        <v>222</v>
      </c>
      <c r="O103" s="193" t="s">
        <v>340</v>
      </c>
      <c r="P103" s="63">
        <v>0</v>
      </c>
      <c r="Q103" s="193">
        <v>0</v>
      </c>
      <c r="R103" s="165"/>
    </row>
    <row r="104" spans="1:18">
      <c r="A104" s="481" t="s">
        <v>323</v>
      </c>
      <c r="B104" s="482"/>
      <c r="C104" s="482"/>
      <c r="D104" s="482"/>
      <c r="E104" s="482"/>
      <c r="F104" s="482"/>
      <c r="G104" s="482"/>
      <c r="H104" s="482"/>
      <c r="I104" s="482"/>
      <c r="J104" s="482"/>
      <c r="K104" s="482"/>
      <c r="L104" s="482"/>
      <c r="M104" s="482"/>
      <c r="N104" s="482"/>
      <c r="O104" s="482"/>
      <c r="P104" s="482"/>
      <c r="Q104" s="482"/>
      <c r="R104" s="483"/>
    </row>
    <row r="105" spans="1:18">
      <c r="A105" s="442" t="s">
        <v>323</v>
      </c>
      <c r="B105" s="480"/>
      <c r="C105" s="195"/>
      <c r="D105" s="195"/>
      <c r="E105" s="195"/>
      <c r="F105" s="195"/>
      <c r="G105" s="195"/>
      <c r="H105" s="79" t="s">
        <v>323</v>
      </c>
      <c r="I105" s="192"/>
      <c r="J105" s="160" t="s">
        <v>228</v>
      </c>
      <c r="K105" s="185">
        <v>2</v>
      </c>
      <c r="L105" s="193" t="s">
        <v>276</v>
      </c>
      <c r="M105" s="193" t="s">
        <v>337</v>
      </c>
      <c r="N105" s="193">
        <v>0</v>
      </c>
      <c r="O105" s="193">
        <v>9</v>
      </c>
      <c r="P105" s="63">
        <v>40</v>
      </c>
      <c r="Q105" s="193">
        <v>2</v>
      </c>
      <c r="R105" s="165" t="s">
        <v>207</v>
      </c>
    </row>
    <row r="106" spans="1:18">
      <c r="A106" s="442" t="s">
        <v>324</v>
      </c>
      <c r="B106" s="480"/>
      <c r="C106" s="195"/>
      <c r="D106" s="195"/>
      <c r="E106" s="195"/>
      <c r="F106" s="195"/>
      <c r="G106" s="195"/>
      <c r="H106" s="79" t="s">
        <v>323</v>
      </c>
      <c r="I106" s="192"/>
      <c r="J106" s="160" t="s">
        <v>228</v>
      </c>
      <c r="K106" s="185">
        <v>3</v>
      </c>
      <c r="L106" s="193" t="s">
        <v>276</v>
      </c>
      <c r="M106" s="193" t="s">
        <v>334</v>
      </c>
      <c r="N106" s="193">
        <v>0</v>
      </c>
      <c r="O106" s="193" t="s">
        <v>307</v>
      </c>
      <c r="P106" s="63">
        <v>0</v>
      </c>
      <c r="Q106" s="193">
        <v>0</v>
      </c>
      <c r="R106" s="165"/>
    </row>
    <row r="107" spans="1:18">
      <c r="A107" s="442" t="s">
        <v>326</v>
      </c>
      <c r="B107" s="480"/>
      <c r="C107" s="195"/>
      <c r="D107" s="195"/>
      <c r="E107" s="195"/>
      <c r="F107" s="195"/>
      <c r="G107" s="195"/>
      <c r="H107" s="79" t="s">
        <v>323</v>
      </c>
      <c r="I107" s="192"/>
      <c r="J107" s="160" t="s">
        <v>228</v>
      </c>
      <c r="K107" s="185">
        <v>1</v>
      </c>
      <c r="L107" s="193" t="s">
        <v>276</v>
      </c>
      <c r="M107" s="193">
        <v>1</v>
      </c>
      <c r="N107" s="193">
        <v>0</v>
      </c>
      <c r="O107" s="193">
        <v>6</v>
      </c>
      <c r="P107" s="63">
        <v>30</v>
      </c>
      <c r="Q107" s="193">
        <v>1</v>
      </c>
      <c r="R107" s="165" t="s">
        <v>207</v>
      </c>
    </row>
    <row r="108" spans="1:18">
      <c r="A108" s="442" t="s">
        <v>325</v>
      </c>
      <c r="B108" s="480"/>
      <c r="C108" s="195"/>
      <c r="D108" s="195"/>
      <c r="E108" s="195"/>
      <c r="F108" s="195"/>
      <c r="G108" s="195"/>
      <c r="H108" s="79" t="s">
        <v>323</v>
      </c>
      <c r="I108" s="192"/>
      <c r="J108" s="160" t="s">
        <v>228</v>
      </c>
      <c r="K108" s="185">
        <v>2</v>
      </c>
      <c r="L108" s="193" t="s">
        <v>276</v>
      </c>
      <c r="M108" s="193" t="s">
        <v>335</v>
      </c>
      <c r="N108" s="193" t="s">
        <v>222</v>
      </c>
      <c r="O108" s="193">
        <v>10</v>
      </c>
      <c r="P108" s="63">
        <v>60</v>
      </c>
      <c r="Q108" s="193">
        <v>2.5</v>
      </c>
      <c r="R108" s="165"/>
    </row>
    <row r="109" spans="1:18">
      <c r="A109" s="442" t="s">
        <v>324</v>
      </c>
      <c r="B109" s="480"/>
      <c r="C109" s="195"/>
      <c r="D109" s="195"/>
      <c r="E109" s="195"/>
      <c r="F109" s="195"/>
      <c r="G109" s="195"/>
      <c r="H109" s="79" t="s">
        <v>323</v>
      </c>
      <c r="I109" s="192"/>
      <c r="J109" s="160" t="s">
        <v>228</v>
      </c>
      <c r="K109" s="185">
        <v>3</v>
      </c>
      <c r="L109" s="193" t="s">
        <v>276</v>
      </c>
      <c r="M109" s="193" t="s">
        <v>335</v>
      </c>
      <c r="N109" s="193">
        <v>0</v>
      </c>
      <c r="O109" s="193" t="s">
        <v>226</v>
      </c>
      <c r="P109" s="63">
        <v>0</v>
      </c>
      <c r="Q109" s="193">
        <v>0</v>
      </c>
      <c r="R109" s="165"/>
    </row>
    <row r="110" spans="1:18">
      <c r="A110" s="481" t="s">
        <v>327</v>
      </c>
      <c r="B110" s="482"/>
      <c r="C110" s="482"/>
      <c r="D110" s="482"/>
      <c r="E110" s="482"/>
      <c r="F110" s="482"/>
      <c r="G110" s="482"/>
      <c r="H110" s="482"/>
      <c r="I110" s="482"/>
      <c r="J110" s="482"/>
      <c r="K110" s="482"/>
      <c r="L110" s="482"/>
      <c r="M110" s="482"/>
      <c r="N110" s="482"/>
      <c r="O110" s="482"/>
      <c r="P110" s="482"/>
      <c r="Q110" s="482"/>
      <c r="R110" s="483"/>
    </row>
    <row r="111" spans="1:18">
      <c r="A111" s="442" t="s">
        <v>327</v>
      </c>
      <c r="B111" s="480"/>
      <c r="C111" s="195"/>
      <c r="D111" s="195"/>
      <c r="E111" s="195"/>
      <c r="F111" s="195"/>
      <c r="G111" s="195"/>
      <c r="H111" s="79" t="s">
        <v>327</v>
      </c>
      <c r="I111" s="192"/>
      <c r="J111" s="160" t="s">
        <v>229</v>
      </c>
      <c r="K111" s="200" t="s">
        <v>333</v>
      </c>
      <c r="L111" s="193" t="s">
        <v>275</v>
      </c>
      <c r="M111" s="193" t="s">
        <v>211</v>
      </c>
      <c r="N111" s="199" t="s">
        <v>212</v>
      </c>
      <c r="O111" s="193" t="s">
        <v>344</v>
      </c>
      <c r="P111" s="63">
        <v>20</v>
      </c>
      <c r="Q111" s="193">
        <v>1</v>
      </c>
      <c r="R111" s="165" t="s">
        <v>346</v>
      </c>
    </row>
    <row r="112" spans="1:18">
      <c r="A112" s="481" t="s">
        <v>358</v>
      </c>
      <c r="B112" s="482"/>
      <c r="C112" s="482"/>
      <c r="D112" s="482"/>
      <c r="E112" s="482"/>
      <c r="F112" s="482"/>
      <c r="G112" s="482"/>
      <c r="H112" s="482"/>
      <c r="I112" s="482"/>
      <c r="J112" s="482"/>
      <c r="K112" s="482"/>
      <c r="L112" s="482"/>
      <c r="M112" s="482"/>
      <c r="N112" s="482"/>
      <c r="O112" s="482"/>
      <c r="P112" s="482"/>
      <c r="Q112" s="482"/>
      <c r="R112" s="483"/>
    </row>
    <row r="113" spans="1:18">
      <c r="A113" s="442" t="s">
        <v>347</v>
      </c>
      <c r="B113" s="480"/>
      <c r="C113" s="195"/>
      <c r="D113" s="195"/>
      <c r="E113" s="195"/>
      <c r="F113" s="195"/>
      <c r="G113" s="195"/>
      <c r="H113" s="79" t="s">
        <v>358</v>
      </c>
      <c r="I113" s="192"/>
      <c r="J113" s="160" t="s">
        <v>228</v>
      </c>
      <c r="K113" s="185">
        <v>-1</v>
      </c>
      <c r="L113" s="193" t="s">
        <v>276</v>
      </c>
      <c r="M113" s="193" t="s">
        <v>193</v>
      </c>
      <c r="N113" s="193" t="s">
        <v>194</v>
      </c>
      <c r="O113" s="193">
        <v>0</v>
      </c>
      <c r="P113" s="63">
        <v>0</v>
      </c>
      <c r="Q113" s="193">
        <v>0</v>
      </c>
      <c r="R113" s="165" t="s">
        <v>227</v>
      </c>
    </row>
    <row r="114" spans="1:18">
      <c r="A114" s="442" t="s">
        <v>348</v>
      </c>
      <c r="B114" s="480"/>
      <c r="C114" s="195"/>
      <c r="D114" s="195"/>
      <c r="E114" s="195"/>
      <c r="F114" s="195"/>
      <c r="G114" s="195"/>
      <c r="H114" s="79" t="s">
        <v>358</v>
      </c>
      <c r="I114" s="192"/>
      <c r="J114" s="160" t="s">
        <v>228</v>
      </c>
      <c r="K114" s="185">
        <v>-1</v>
      </c>
      <c r="L114" s="193" t="s">
        <v>362</v>
      </c>
      <c r="M114" s="193" t="s">
        <v>193</v>
      </c>
      <c r="N114" s="193" t="s">
        <v>194</v>
      </c>
      <c r="O114" s="193">
        <v>0</v>
      </c>
      <c r="P114" s="63">
        <v>0</v>
      </c>
      <c r="Q114" s="193">
        <v>0</v>
      </c>
      <c r="R114" s="165" t="s">
        <v>227</v>
      </c>
    </row>
    <row r="115" spans="1:18">
      <c r="A115" s="442" t="s">
        <v>349</v>
      </c>
      <c r="B115" s="480"/>
      <c r="C115" s="195"/>
      <c r="D115" s="195"/>
      <c r="E115" s="195"/>
      <c r="F115" s="195"/>
      <c r="G115" s="195"/>
      <c r="H115" s="79" t="s">
        <v>358</v>
      </c>
      <c r="I115" s="192"/>
      <c r="J115" s="160" t="s">
        <v>228</v>
      </c>
      <c r="K115" s="185">
        <v>-1</v>
      </c>
      <c r="L115" s="193" t="s">
        <v>274</v>
      </c>
      <c r="M115" s="193" t="s">
        <v>193</v>
      </c>
      <c r="N115" s="193" t="s">
        <v>194</v>
      </c>
      <c r="O115" s="193">
        <v>0</v>
      </c>
      <c r="P115" s="63">
        <v>0</v>
      </c>
      <c r="Q115" s="193">
        <v>0</v>
      </c>
      <c r="R115" s="165" t="s">
        <v>227</v>
      </c>
    </row>
    <row r="116" spans="1:18">
      <c r="A116" s="442" t="s">
        <v>350</v>
      </c>
      <c r="B116" s="480"/>
      <c r="C116" s="195"/>
      <c r="D116" s="195"/>
      <c r="E116" s="195"/>
      <c r="F116" s="195"/>
      <c r="G116" s="195"/>
      <c r="H116" s="79" t="s">
        <v>358</v>
      </c>
      <c r="I116" s="192"/>
      <c r="J116" s="160" t="s">
        <v>228</v>
      </c>
      <c r="K116" s="185">
        <v>-1</v>
      </c>
      <c r="L116" s="193" t="s">
        <v>275</v>
      </c>
      <c r="M116" s="193" t="s">
        <v>193</v>
      </c>
      <c r="N116" s="193" t="s">
        <v>194</v>
      </c>
      <c r="O116" s="193">
        <v>0</v>
      </c>
      <c r="P116" s="63">
        <v>0</v>
      </c>
      <c r="Q116" s="193">
        <v>0</v>
      </c>
      <c r="R116" s="165" t="s">
        <v>227</v>
      </c>
    </row>
    <row r="117" spans="1:18">
      <c r="A117" s="442" t="s">
        <v>351</v>
      </c>
      <c r="B117" s="480"/>
      <c r="C117" s="195"/>
      <c r="D117" s="195"/>
      <c r="E117" s="195"/>
      <c r="F117" s="195"/>
      <c r="G117" s="195"/>
      <c r="H117" s="79" t="s">
        <v>358</v>
      </c>
      <c r="I117" s="192"/>
      <c r="J117" s="160" t="s">
        <v>344</v>
      </c>
      <c r="K117" s="185"/>
      <c r="L117" s="193"/>
      <c r="M117" s="193" t="s">
        <v>344</v>
      </c>
      <c r="N117" s="193" t="s">
        <v>344</v>
      </c>
      <c r="O117" s="193">
        <v>0</v>
      </c>
      <c r="P117" s="63">
        <v>0</v>
      </c>
      <c r="Q117" s="193">
        <v>0</v>
      </c>
      <c r="R117" s="165" t="s">
        <v>363</v>
      </c>
    </row>
    <row r="118" spans="1:18">
      <c r="A118" s="442" t="s">
        <v>352</v>
      </c>
      <c r="B118" s="480"/>
      <c r="C118" s="195"/>
      <c r="D118" s="195"/>
      <c r="E118" s="195"/>
      <c r="F118" s="195"/>
      <c r="G118" s="195"/>
      <c r="H118" s="79" t="s">
        <v>358</v>
      </c>
      <c r="I118" s="192"/>
      <c r="J118" s="160" t="s">
        <v>228</v>
      </c>
      <c r="K118" s="185">
        <v>0</v>
      </c>
      <c r="L118" s="193" t="s">
        <v>275</v>
      </c>
      <c r="M118" s="193" t="s">
        <v>193</v>
      </c>
      <c r="N118" s="193">
        <v>0</v>
      </c>
      <c r="O118" s="193">
        <v>7</v>
      </c>
      <c r="P118" s="63">
        <v>20</v>
      </c>
      <c r="Q118" s="193">
        <v>0.5</v>
      </c>
      <c r="R118" s="165"/>
    </row>
    <row r="119" spans="1:18">
      <c r="A119" s="442" t="s">
        <v>353</v>
      </c>
      <c r="B119" s="480"/>
      <c r="C119" s="195"/>
      <c r="D119" s="195"/>
      <c r="E119" s="195"/>
      <c r="F119" s="195"/>
      <c r="G119" s="195"/>
      <c r="H119" s="79" t="s">
        <v>358</v>
      </c>
      <c r="I119" s="192"/>
      <c r="J119" s="160"/>
      <c r="K119" s="160" t="s">
        <v>302</v>
      </c>
      <c r="L119" s="193" t="s">
        <v>303</v>
      </c>
      <c r="M119" s="193" t="s">
        <v>208</v>
      </c>
      <c r="N119" s="193" t="s">
        <v>194</v>
      </c>
      <c r="O119" s="193">
        <v>2</v>
      </c>
      <c r="P119" s="63">
        <v>100</v>
      </c>
      <c r="Q119" s="193">
        <v>0.5</v>
      </c>
      <c r="R119" s="165" t="s">
        <v>310</v>
      </c>
    </row>
    <row r="120" spans="1:18">
      <c r="A120" s="481" t="s">
        <v>359</v>
      </c>
      <c r="B120" s="482"/>
      <c r="C120" s="482"/>
      <c r="D120" s="482"/>
      <c r="E120" s="482"/>
      <c r="F120" s="482"/>
      <c r="G120" s="482"/>
      <c r="H120" s="482"/>
      <c r="I120" s="482"/>
      <c r="J120" s="482"/>
      <c r="K120" s="482"/>
      <c r="L120" s="482"/>
      <c r="M120" s="482"/>
      <c r="N120" s="482"/>
      <c r="O120" s="482"/>
      <c r="P120" s="482"/>
      <c r="Q120" s="482"/>
      <c r="R120" s="483"/>
    </row>
    <row r="121" spans="1:18">
      <c r="A121" s="442" t="s">
        <v>354</v>
      </c>
      <c r="B121" s="480"/>
      <c r="C121" s="195"/>
      <c r="D121" s="195"/>
      <c r="E121" s="195"/>
      <c r="F121" s="195"/>
      <c r="G121" s="195"/>
      <c r="H121" s="79" t="s">
        <v>359</v>
      </c>
      <c r="I121" s="192"/>
      <c r="J121" s="160" t="s">
        <v>228</v>
      </c>
      <c r="K121" s="185">
        <v>-1</v>
      </c>
      <c r="L121" s="193" t="s">
        <v>275</v>
      </c>
      <c r="M121" s="193" t="s">
        <v>193</v>
      </c>
      <c r="N121" s="193">
        <v>0</v>
      </c>
      <c r="O121" s="193">
        <v>0</v>
      </c>
      <c r="P121" s="63">
        <v>0</v>
      </c>
      <c r="Q121" s="193">
        <v>0</v>
      </c>
      <c r="R121" s="165" t="s">
        <v>227</v>
      </c>
    </row>
    <row r="122" spans="1:18">
      <c r="A122" s="442" t="s">
        <v>355</v>
      </c>
      <c r="B122" s="480"/>
      <c r="C122" s="195"/>
      <c r="D122" s="195"/>
      <c r="E122" s="195"/>
      <c r="F122" s="195"/>
      <c r="G122" s="195"/>
      <c r="H122" s="79" t="s">
        <v>359</v>
      </c>
      <c r="I122" s="192"/>
      <c r="J122" s="160" t="s">
        <v>228</v>
      </c>
      <c r="K122" s="185">
        <v>0</v>
      </c>
      <c r="L122" s="193" t="s">
        <v>275</v>
      </c>
      <c r="M122" s="193" t="s">
        <v>193</v>
      </c>
      <c r="N122" s="193">
        <v>0</v>
      </c>
      <c r="O122" s="193">
        <v>0</v>
      </c>
      <c r="P122" s="63">
        <v>10</v>
      </c>
      <c r="Q122" s="193">
        <v>0.1</v>
      </c>
      <c r="R122" s="165" t="s">
        <v>227</v>
      </c>
    </row>
    <row r="123" spans="1:18">
      <c r="A123" s="481" t="s">
        <v>360</v>
      </c>
      <c r="B123" s="482"/>
      <c r="C123" s="482"/>
      <c r="D123" s="482"/>
      <c r="E123" s="482"/>
      <c r="F123" s="482"/>
      <c r="G123" s="482"/>
      <c r="H123" s="482"/>
      <c r="I123" s="482"/>
      <c r="J123" s="482"/>
      <c r="K123" s="482"/>
      <c r="L123" s="482"/>
      <c r="M123" s="482"/>
      <c r="N123" s="482"/>
      <c r="O123" s="482"/>
      <c r="P123" s="482"/>
      <c r="Q123" s="482"/>
      <c r="R123" s="483"/>
    </row>
    <row r="124" spans="1:18">
      <c r="A124" s="442" t="s">
        <v>356</v>
      </c>
      <c r="B124" s="480"/>
      <c r="C124" s="195"/>
      <c r="D124" s="195"/>
      <c r="E124" s="195"/>
      <c r="F124" s="195"/>
      <c r="G124" s="195"/>
      <c r="H124" s="79" t="s">
        <v>360</v>
      </c>
      <c r="I124" s="192"/>
      <c r="J124" s="160" t="s">
        <v>228</v>
      </c>
      <c r="K124" s="185">
        <v>0</v>
      </c>
      <c r="L124" s="193" t="s">
        <v>275</v>
      </c>
      <c r="M124" s="193" t="s">
        <v>208</v>
      </c>
      <c r="N124" s="193" t="s">
        <v>194</v>
      </c>
      <c r="O124" s="193">
        <v>0</v>
      </c>
      <c r="P124" s="63">
        <v>0</v>
      </c>
      <c r="Q124" s="193">
        <v>0</v>
      </c>
      <c r="R124" s="165" t="s">
        <v>364</v>
      </c>
    </row>
    <row r="125" spans="1:18" ht="17.25" thickBot="1">
      <c r="A125" s="485" t="s">
        <v>357</v>
      </c>
      <c r="B125" s="486"/>
      <c r="C125" s="201"/>
      <c r="D125" s="201"/>
      <c r="E125" s="201"/>
      <c r="F125" s="201"/>
      <c r="G125" s="201"/>
      <c r="H125" s="202" t="s">
        <v>361</v>
      </c>
      <c r="I125" s="203"/>
      <c r="J125" s="204" t="s">
        <v>228</v>
      </c>
      <c r="K125" s="205">
        <v>1</v>
      </c>
      <c r="L125" s="203" t="s">
        <v>275</v>
      </c>
      <c r="M125" s="203" t="s">
        <v>208</v>
      </c>
      <c r="N125" s="206" t="s">
        <v>194</v>
      </c>
      <c r="O125" s="203">
        <v>0</v>
      </c>
      <c r="P125" s="207">
        <v>0</v>
      </c>
      <c r="Q125" s="203">
        <v>0</v>
      </c>
      <c r="R125" s="208" t="s">
        <v>364</v>
      </c>
    </row>
    <row r="126" spans="1:18" ht="17.25" thickTop="1"/>
  </sheetData>
  <mergeCells count="125">
    <mergeCell ref="A124:B124"/>
    <mergeCell ref="A125:B125"/>
    <mergeCell ref="A123:R123"/>
    <mergeCell ref="A112:R112"/>
    <mergeCell ref="A120:R120"/>
    <mergeCell ref="A117:B117"/>
    <mergeCell ref="A118:B118"/>
    <mergeCell ref="A116:B116"/>
    <mergeCell ref="A105:B105"/>
    <mergeCell ref="A106:B106"/>
    <mergeCell ref="A107:B107"/>
    <mergeCell ref="A108:B108"/>
    <mergeCell ref="A109:B109"/>
    <mergeCell ref="A119:B119"/>
    <mergeCell ref="A121:B121"/>
    <mergeCell ref="A122:B122"/>
    <mergeCell ref="A93:B93"/>
    <mergeCell ref="A95:B95"/>
    <mergeCell ref="A96:B96"/>
    <mergeCell ref="A97:B97"/>
    <mergeCell ref="A98:B98"/>
    <mergeCell ref="A111:B111"/>
    <mergeCell ref="A113:B113"/>
    <mergeCell ref="A114:B114"/>
    <mergeCell ref="A115:B115"/>
    <mergeCell ref="A92:R92"/>
    <mergeCell ref="A94:R94"/>
    <mergeCell ref="A104:R104"/>
    <mergeCell ref="A110:R110"/>
    <mergeCell ref="A77:B77"/>
    <mergeCell ref="A78:B78"/>
    <mergeCell ref="A79:B79"/>
    <mergeCell ref="A80:B80"/>
    <mergeCell ref="A81:B81"/>
    <mergeCell ref="A87:B87"/>
    <mergeCell ref="A88:B88"/>
    <mergeCell ref="A89:B89"/>
    <mergeCell ref="A90:B90"/>
    <mergeCell ref="A91:B91"/>
    <mergeCell ref="A86:B86"/>
    <mergeCell ref="A82:B82"/>
    <mergeCell ref="A83:B83"/>
    <mergeCell ref="A84:B84"/>
    <mergeCell ref="A85:R85"/>
    <mergeCell ref="A99:B99"/>
    <mergeCell ref="A100:B100"/>
    <mergeCell ref="A101:B101"/>
    <mergeCell ref="A102:B102"/>
    <mergeCell ref="A103:B103"/>
    <mergeCell ref="A76:B76"/>
    <mergeCell ref="A65:B65"/>
    <mergeCell ref="A67:B67"/>
    <mergeCell ref="A68:B68"/>
    <mergeCell ref="A69:B69"/>
    <mergeCell ref="A71:B71"/>
    <mergeCell ref="A66:R66"/>
    <mergeCell ref="A70:R70"/>
    <mergeCell ref="A72:B72"/>
    <mergeCell ref="A73:B73"/>
    <mergeCell ref="A60:B60"/>
    <mergeCell ref="A61:B61"/>
    <mergeCell ref="A62:B62"/>
    <mergeCell ref="A63:B63"/>
    <mergeCell ref="A64:B64"/>
    <mergeCell ref="A74:B74"/>
    <mergeCell ref="A75:B75"/>
    <mergeCell ref="A58:B58"/>
    <mergeCell ref="A59:B59"/>
    <mergeCell ref="A36:G36"/>
    <mergeCell ref="A38:G38"/>
    <mergeCell ref="A33:G33"/>
    <mergeCell ref="A34:G34"/>
    <mergeCell ref="A35:G35"/>
    <mergeCell ref="A26:G26"/>
    <mergeCell ref="A27:G27"/>
    <mergeCell ref="A28:G28"/>
    <mergeCell ref="A29:G29"/>
    <mergeCell ref="A31:G31"/>
    <mergeCell ref="A37:R37"/>
    <mergeCell ref="A32:G32"/>
    <mergeCell ref="A30:R30"/>
    <mergeCell ref="A40:R40"/>
    <mergeCell ref="A42:R42"/>
    <mergeCell ref="A47:R47"/>
    <mergeCell ref="A44:R44"/>
    <mergeCell ref="A39:G39"/>
    <mergeCell ref="A41:G41"/>
    <mergeCell ref="A43:G43"/>
    <mergeCell ref="A45:G45"/>
    <mergeCell ref="A46:G46"/>
    <mergeCell ref="A52:R52"/>
    <mergeCell ref="A55:R55"/>
    <mergeCell ref="A56:B56"/>
    <mergeCell ref="A54:G54"/>
    <mergeCell ref="A57:R57"/>
    <mergeCell ref="A48:G48"/>
    <mergeCell ref="A49:G49"/>
    <mergeCell ref="A50:G50"/>
    <mergeCell ref="A51:G51"/>
    <mergeCell ref="A53:G53"/>
    <mergeCell ref="A16:G16"/>
    <mergeCell ref="A17:G17"/>
    <mergeCell ref="A18:G18"/>
    <mergeCell ref="A19:G19"/>
    <mergeCell ref="A25:G25"/>
    <mergeCell ref="A20:G20"/>
    <mergeCell ref="A21:G21"/>
    <mergeCell ref="A22:G22"/>
    <mergeCell ref="A23:G23"/>
    <mergeCell ref="A24:G24"/>
    <mergeCell ref="A11:G11"/>
    <mergeCell ref="A12:G12"/>
    <mergeCell ref="A14:G14"/>
    <mergeCell ref="A15:R15"/>
    <mergeCell ref="A1:G1"/>
    <mergeCell ref="A8:G8"/>
    <mergeCell ref="A9:G9"/>
    <mergeCell ref="A10:G10"/>
    <mergeCell ref="A3:G3"/>
    <mergeCell ref="A4:G4"/>
    <mergeCell ref="A5:G5"/>
    <mergeCell ref="A7:G7"/>
    <mergeCell ref="A13:R13"/>
    <mergeCell ref="A6:R6"/>
    <mergeCell ref="A2:R2"/>
  </mergeCells>
  <phoneticPr fontId="4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topLeftCell="A8" workbookViewId="0">
      <selection activeCell="E14" sqref="E14"/>
    </sheetView>
  </sheetViews>
  <sheetFormatPr defaultRowHeight="16.5"/>
  <cols>
    <col min="5" max="5" width="20.125" bestFit="1" customWidth="1"/>
    <col min="9" max="9" width="1" customWidth="1"/>
    <col min="10" max="10" width="7.5" bestFit="1" customWidth="1"/>
    <col min="11" max="11" width="8.5" customWidth="1"/>
    <col min="12" max="12" width="5.125" customWidth="1"/>
    <col min="18" max="18" width="9" customWidth="1"/>
    <col min="19" max="19" width="2.25" customWidth="1"/>
  </cols>
  <sheetData>
    <row r="1" spans="1:22">
      <c r="A1" s="431" t="s">
        <v>120</v>
      </c>
      <c r="B1" s="432"/>
      <c r="C1" s="432"/>
      <c r="D1" s="432"/>
      <c r="E1" s="191" t="s">
        <v>242</v>
      </c>
      <c r="F1" s="191" t="s">
        <v>115</v>
      </c>
      <c r="G1" s="188" t="s">
        <v>376</v>
      </c>
      <c r="H1" s="188" t="s">
        <v>377</v>
      </c>
      <c r="I1" s="162"/>
      <c r="J1" s="188" t="s">
        <v>38</v>
      </c>
      <c r="K1" s="191" t="s">
        <v>263</v>
      </c>
      <c r="L1" s="191" t="s">
        <v>262</v>
      </c>
      <c r="M1" s="191" t="s">
        <v>121</v>
      </c>
      <c r="N1" s="191" t="s">
        <v>122</v>
      </c>
      <c r="O1" s="191" t="s">
        <v>123</v>
      </c>
      <c r="P1" s="191" t="s">
        <v>9</v>
      </c>
      <c r="Q1" s="191" t="s">
        <v>124</v>
      </c>
      <c r="R1" s="191" t="s">
        <v>125</v>
      </c>
      <c r="S1" s="191"/>
      <c r="T1" s="172" t="s">
        <v>107</v>
      </c>
      <c r="U1" s="172" t="s">
        <v>106</v>
      </c>
      <c r="V1" s="164" t="s">
        <v>108</v>
      </c>
    </row>
    <row r="2" spans="1:22">
      <c r="A2" s="484" t="s">
        <v>373</v>
      </c>
      <c r="B2" s="482"/>
      <c r="C2" s="482"/>
      <c r="D2" s="482"/>
      <c r="E2" s="482"/>
      <c r="F2" s="482"/>
      <c r="G2" s="482"/>
      <c r="H2" s="482"/>
      <c r="I2" s="482"/>
      <c r="J2" s="482"/>
      <c r="K2" s="482"/>
      <c r="L2" s="482"/>
      <c r="M2" s="482"/>
      <c r="N2" s="482"/>
      <c r="O2" s="482"/>
      <c r="P2" s="482"/>
      <c r="Q2" s="482"/>
      <c r="R2" s="482"/>
      <c r="S2" s="482"/>
      <c r="T2" s="482"/>
      <c r="U2" s="482"/>
      <c r="V2" s="483"/>
    </row>
    <row r="3" spans="1:22">
      <c r="A3" s="488" t="s">
        <v>365</v>
      </c>
      <c r="B3" s="489"/>
      <c r="C3" s="489"/>
      <c r="D3" s="489"/>
      <c r="E3" s="149" t="s">
        <v>373</v>
      </c>
      <c r="F3" s="193">
        <v>1</v>
      </c>
      <c r="G3" s="177" t="s">
        <v>378</v>
      </c>
      <c r="H3" s="149" t="s">
        <v>378</v>
      </c>
      <c r="I3" s="192"/>
      <c r="J3" s="160" t="s">
        <v>378</v>
      </c>
      <c r="K3" s="160"/>
      <c r="L3" s="161"/>
      <c r="M3" s="193">
        <v>1</v>
      </c>
      <c r="N3" s="193">
        <v>1</v>
      </c>
      <c r="O3" s="193" t="s">
        <v>390</v>
      </c>
      <c r="P3" s="193">
        <v>11</v>
      </c>
      <c r="Q3" s="193">
        <v>0</v>
      </c>
      <c r="R3" s="193">
        <v>-6</v>
      </c>
      <c r="S3" s="192"/>
      <c r="T3" s="71">
        <v>10</v>
      </c>
      <c r="U3" s="72">
        <v>40</v>
      </c>
      <c r="V3" s="173" t="s">
        <v>393</v>
      </c>
    </row>
    <row r="4" spans="1:22">
      <c r="A4" s="487" t="s">
        <v>366</v>
      </c>
      <c r="B4" s="480"/>
      <c r="C4" s="480"/>
      <c r="D4" s="480"/>
      <c r="E4" s="149" t="s">
        <v>374</v>
      </c>
      <c r="F4" s="193">
        <v>1</v>
      </c>
      <c r="G4" s="177" t="s">
        <v>378</v>
      </c>
      <c r="H4" s="149" t="s">
        <v>378</v>
      </c>
      <c r="I4" s="192"/>
      <c r="J4" s="160" t="s">
        <v>378</v>
      </c>
      <c r="K4" s="160"/>
      <c r="L4" s="161"/>
      <c r="M4" s="193">
        <v>1</v>
      </c>
      <c r="N4" s="193">
        <v>1</v>
      </c>
      <c r="O4" s="193" t="s">
        <v>391</v>
      </c>
      <c r="P4" s="193">
        <v>8</v>
      </c>
      <c r="Q4" s="193">
        <v>0</v>
      </c>
      <c r="R4" s="193">
        <v>-4</v>
      </c>
      <c r="S4" s="192"/>
      <c r="T4" s="71">
        <v>2.5</v>
      </c>
      <c r="U4" s="72">
        <v>20</v>
      </c>
      <c r="V4" s="173" t="s">
        <v>394</v>
      </c>
    </row>
    <row r="5" spans="1:22">
      <c r="A5" s="484" t="s">
        <v>454</v>
      </c>
      <c r="B5" s="482"/>
      <c r="C5" s="482"/>
      <c r="D5" s="482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2"/>
      <c r="Q5" s="482"/>
      <c r="R5" s="482"/>
      <c r="S5" s="482"/>
      <c r="T5" s="482"/>
      <c r="U5" s="482"/>
      <c r="V5" s="483"/>
    </row>
    <row r="6" spans="1:22">
      <c r="A6" s="487" t="s">
        <v>367</v>
      </c>
      <c r="B6" s="480"/>
      <c r="C6" s="480"/>
      <c r="D6" s="480"/>
      <c r="E6" s="149" t="s">
        <v>375</v>
      </c>
      <c r="F6" s="193">
        <v>1</v>
      </c>
      <c r="G6" s="177">
        <v>2</v>
      </c>
      <c r="H6" s="149">
        <v>2</v>
      </c>
      <c r="I6" s="192"/>
      <c r="J6" s="160" t="s">
        <v>378</v>
      </c>
      <c r="K6" s="160"/>
      <c r="L6" s="161"/>
      <c r="M6" s="193">
        <v>1</v>
      </c>
      <c r="N6" s="193">
        <v>1</v>
      </c>
      <c r="O6" s="193" t="s">
        <v>390</v>
      </c>
      <c r="P6" s="193">
        <v>8</v>
      </c>
      <c r="Q6" s="193">
        <v>0</v>
      </c>
      <c r="R6" s="193">
        <v>-6</v>
      </c>
      <c r="S6" s="192"/>
      <c r="T6" s="71">
        <v>2.5</v>
      </c>
      <c r="U6" s="72">
        <v>50</v>
      </c>
      <c r="V6" s="173" t="s">
        <v>395</v>
      </c>
    </row>
    <row r="7" spans="1:22">
      <c r="A7" s="487" t="s">
        <v>368</v>
      </c>
      <c r="B7" s="480"/>
      <c r="C7" s="480"/>
      <c r="D7" s="480"/>
      <c r="E7" s="149" t="s">
        <v>375</v>
      </c>
      <c r="F7" s="193">
        <v>1</v>
      </c>
      <c r="G7" s="177">
        <v>2</v>
      </c>
      <c r="H7" s="149">
        <v>2</v>
      </c>
      <c r="I7" s="192"/>
      <c r="J7" s="160" t="s">
        <v>378</v>
      </c>
      <c r="K7" s="160"/>
      <c r="L7" s="161"/>
      <c r="M7" s="193">
        <v>1</v>
      </c>
      <c r="N7" s="193">
        <v>1</v>
      </c>
      <c r="O7" s="193" t="s">
        <v>390</v>
      </c>
      <c r="P7" s="193">
        <v>5</v>
      </c>
      <c r="Q7" s="193">
        <v>0</v>
      </c>
      <c r="R7" s="193">
        <v>-4</v>
      </c>
      <c r="S7" s="192"/>
      <c r="T7" s="71">
        <v>1</v>
      </c>
      <c r="U7" s="72">
        <v>20</v>
      </c>
      <c r="V7" s="173" t="s">
        <v>396</v>
      </c>
    </row>
    <row r="8" spans="1:22">
      <c r="A8" s="484" t="s">
        <v>455</v>
      </c>
      <c r="B8" s="482"/>
      <c r="C8" s="482"/>
      <c r="D8" s="482"/>
      <c r="E8" s="482"/>
      <c r="F8" s="482"/>
      <c r="G8" s="482"/>
      <c r="H8" s="482"/>
      <c r="I8" s="482"/>
      <c r="J8" s="482"/>
      <c r="K8" s="482"/>
      <c r="L8" s="482"/>
      <c r="M8" s="482"/>
      <c r="N8" s="482"/>
      <c r="O8" s="482"/>
      <c r="P8" s="482"/>
      <c r="Q8" s="482"/>
      <c r="R8" s="482"/>
      <c r="S8" s="482"/>
      <c r="T8" s="482"/>
      <c r="U8" s="482"/>
      <c r="V8" s="483"/>
    </row>
    <row r="9" spans="1:22">
      <c r="A9" s="487" t="s">
        <v>369</v>
      </c>
      <c r="B9" s="480"/>
      <c r="C9" s="480"/>
      <c r="D9" s="480"/>
      <c r="E9" s="149" t="s">
        <v>369</v>
      </c>
      <c r="F9" s="193">
        <v>1</v>
      </c>
      <c r="G9" s="177" t="s">
        <v>379</v>
      </c>
      <c r="H9" s="149" t="s">
        <v>379</v>
      </c>
      <c r="I9" s="192"/>
      <c r="J9" s="160"/>
      <c r="K9" s="160" t="s">
        <v>386</v>
      </c>
      <c r="L9" s="161" t="s">
        <v>387</v>
      </c>
      <c r="M9" s="193">
        <v>1</v>
      </c>
      <c r="N9" s="193">
        <v>1</v>
      </c>
      <c r="O9" s="193" t="s">
        <v>392</v>
      </c>
      <c r="P9" s="193">
        <v>2</v>
      </c>
      <c r="Q9" s="193">
        <v>0</v>
      </c>
      <c r="R9" s="193">
        <v>-6</v>
      </c>
      <c r="S9" s="192"/>
      <c r="T9" s="71">
        <v>0.5</v>
      </c>
      <c r="U9" s="72">
        <v>30</v>
      </c>
      <c r="V9" s="173" t="s">
        <v>397</v>
      </c>
    </row>
    <row r="10" spans="1:22">
      <c r="A10" s="484" t="s">
        <v>456</v>
      </c>
      <c r="B10" s="482"/>
      <c r="C10" s="482"/>
      <c r="D10" s="482"/>
      <c r="E10" s="482"/>
      <c r="F10" s="482"/>
      <c r="G10" s="482"/>
      <c r="H10" s="482"/>
      <c r="I10" s="482"/>
      <c r="J10" s="482"/>
      <c r="K10" s="482"/>
      <c r="L10" s="482"/>
      <c r="M10" s="482"/>
      <c r="N10" s="482"/>
      <c r="O10" s="482"/>
      <c r="P10" s="482"/>
      <c r="Q10" s="482"/>
      <c r="R10" s="482"/>
      <c r="S10" s="482"/>
      <c r="T10" s="482"/>
      <c r="U10" s="482"/>
      <c r="V10" s="483"/>
    </row>
    <row r="11" spans="1:22">
      <c r="A11" s="487" t="s">
        <v>370</v>
      </c>
      <c r="B11" s="480"/>
      <c r="C11" s="480"/>
      <c r="D11" s="480"/>
      <c r="E11" s="149" t="s">
        <v>370</v>
      </c>
      <c r="F11" s="193">
        <v>1</v>
      </c>
      <c r="G11" s="177" t="s">
        <v>380</v>
      </c>
      <c r="H11" s="149" t="s">
        <v>380</v>
      </c>
      <c r="I11" s="192"/>
      <c r="J11" s="160" t="s">
        <v>384</v>
      </c>
      <c r="K11" s="160">
        <v>-1</v>
      </c>
      <c r="L11" s="161" t="s">
        <v>388</v>
      </c>
      <c r="M11" s="193">
        <v>0</v>
      </c>
      <c r="N11" s="193">
        <v>1</v>
      </c>
      <c r="O11" s="193" t="s">
        <v>390</v>
      </c>
      <c r="P11" s="193">
        <v>7</v>
      </c>
      <c r="Q11" s="193">
        <v>0</v>
      </c>
      <c r="R11" s="193">
        <v>-2</v>
      </c>
      <c r="S11" s="192"/>
      <c r="T11" s="71">
        <v>1</v>
      </c>
      <c r="U11" s="72">
        <v>20</v>
      </c>
      <c r="V11" s="173" t="s">
        <v>395</v>
      </c>
    </row>
    <row r="12" spans="1:22">
      <c r="A12" s="484" t="s">
        <v>371</v>
      </c>
      <c r="B12" s="482"/>
      <c r="C12" s="482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2"/>
      <c r="Q12" s="482"/>
      <c r="R12" s="482"/>
      <c r="S12" s="482"/>
      <c r="T12" s="482"/>
      <c r="U12" s="482"/>
      <c r="V12" s="483"/>
    </row>
    <row r="13" spans="1:22">
      <c r="A13" s="487" t="s">
        <v>371</v>
      </c>
      <c r="B13" s="480"/>
      <c r="C13" s="480"/>
      <c r="D13" s="480"/>
      <c r="E13" s="149" t="s">
        <v>371</v>
      </c>
      <c r="F13" s="193">
        <v>1</v>
      </c>
      <c r="G13" s="177" t="s">
        <v>381</v>
      </c>
      <c r="H13" s="149" t="s">
        <v>382</v>
      </c>
      <c r="I13" s="192"/>
      <c r="J13" s="160" t="s">
        <v>385</v>
      </c>
      <c r="K13" s="160">
        <v>0</v>
      </c>
      <c r="L13" s="161" t="s">
        <v>389</v>
      </c>
      <c r="M13" s="193">
        <v>0</v>
      </c>
      <c r="N13" s="193">
        <v>1</v>
      </c>
      <c r="O13" s="193" t="s">
        <v>225</v>
      </c>
      <c r="P13" s="193">
        <v>6</v>
      </c>
      <c r="Q13" s="193">
        <v>0</v>
      </c>
      <c r="R13" s="193">
        <v>-4</v>
      </c>
      <c r="S13" s="192"/>
      <c r="T13" s="71">
        <v>0.25</v>
      </c>
      <c r="U13" s="72">
        <v>20</v>
      </c>
      <c r="V13" s="173" t="s">
        <v>398</v>
      </c>
    </row>
    <row r="14" spans="1:22">
      <c r="A14" s="487" t="s">
        <v>372</v>
      </c>
      <c r="B14" s="480"/>
      <c r="C14" s="480"/>
      <c r="D14" s="480"/>
      <c r="E14" s="149" t="s">
        <v>371</v>
      </c>
      <c r="F14" s="193">
        <v>1</v>
      </c>
      <c r="G14" s="177" t="s">
        <v>382</v>
      </c>
      <c r="H14" s="149" t="s">
        <v>383</v>
      </c>
      <c r="I14" s="192"/>
      <c r="J14" s="160" t="s">
        <v>385</v>
      </c>
      <c r="K14" s="160">
        <v>1</v>
      </c>
      <c r="L14" s="161" t="s">
        <v>389</v>
      </c>
      <c r="M14" s="193">
        <v>1</v>
      </c>
      <c r="N14" s="193">
        <v>1</v>
      </c>
      <c r="O14" s="193" t="s">
        <v>392</v>
      </c>
      <c r="P14" s="193">
        <v>7</v>
      </c>
      <c r="Q14" s="193">
        <v>0</v>
      </c>
      <c r="R14" s="193">
        <v>-6</v>
      </c>
      <c r="S14" s="192"/>
      <c r="T14" s="71">
        <v>1</v>
      </c>
      <c r="U14" s="72">
        <v>20</v>
      </c>
      <c r="V14" s="173" t="s">
        <v>399</v>
      </c>
    </row>
    <row r="15" spans="1:22">
      <c r="A15" s="484" t="s">
        <v>457</v>
      </c>
      <c r="B15" s="482"/>
      <c r="C15" s="482"/>
      <c r="D15" s="482"/>
      <c r="E15" s="482"/>
      <c r="F15" s="482"/>
      <c r="G15" s="482"/>
      <c r="H15" s="482"/>
      <c r="I15" s="482"/>
      <c r="J15" s="482"/>
      <c r="K15" s="482"/>
      <c r="L15" s="482"/>
      <c r="M15" s="482"/>
      <c r="N15" s="482"/>
      <c r="O15" s="482"/>
      <c r="P15" s="482"/>
      <c r="Q15" s="482"/>
      <c r="R15" s="482"/>
      <c r="S15" s="482"/>
      <c r="T15" s="482"/>
      <c r="U15" s="482"/>
      <c r="V15" s="483"/>
    </row>
    <row r="16" spans="1:22">
      <c r="A16" s="487" t="s">
        <v>400</v>
      </c>
      <c r="B16" s="480"/>
      <c r="C16" s="480"/>
      <c r="D16" s="480"/>
      <c r="E16" s="149" t="s">
        <v>400</v>
      </c>
      <c r="F16" s="193">
        <v>1</v>
      </c>
      <c r="G16" s="177" t="s">
        <v>431</v>
      </c>
      <c r="H16" s="149" t="s">
        <v>436</v>
      </c>
      <c r="I16" s="192"/>
      <c r="J16" s="160" t="s">
        <v>384</v>
      </c>
      <c r="K16" s="160">
        <v>4</v>
      </c>
      <c r="L16" s="161" t="s">
        <v>440</v>
      </c>
      <c r="M16" s="193">
        <v>4</v>
      </c>
      <c r="N16" s="193">
        <v>1</v>
      </c>
      <c r="O16" s="193" t="s">
        <v>442</v>
      </c>
      <c r="P16" s="193" t="s">
        <v>446</v>
      </c>
      <c r="Q16" s="193">
        <v>0</v>
      </c>
      <c r="R16" s="193">
        <v>-6</v>
      </c>
      <c r="S16" s="192"/>
      <c r="T16" s="71">
        <v>3</v>
      </c>
      <c r="U16" s="72">
        <v>150</v>
      </c>
      <c r="V16" s="173" t="s">
        <v>449</v>
      </c>
    </row>
    <row r="17" spans="1:22">
      <c r="A17" s="487" t="s">
        <v>401</v>
      </c>
      <c r="B17" s="480"/>
      <c r="C17" s="480"/>
      <c r="D17" s="480"/>
      <c r="E17" s="149" t="s">
        <v>400</v>
      </c>
      <c r="F17" s="193">
        <v>1</v>
      </c>
      <c r="G17" s="177" t="s">
        <v>431</v>
      </c>
      <c r="H17" s="149" t="s">
        <v>436</v>
      </c>
      <c r="I17" s="192"/>
      <c r="J17" s="160" t="s">
        <v>384</v>
      </c>
      <c r="K17" s="160">
        <v>4</v>
      </c>
      <c r="L17" s="161" t="s">
        <v>389</v>
      </c>
      <c r="M17" s="193">
        <v>2</v>
      </c>
      <c r="N17" s="193">
        <v>1</v>
      </c>
      <c r="O17" s="193" t="s">
        <v>442</v>
      </c>
      <c r="P17" s="193" t="s">
        <v>446</v>
      </c>
      <c r="Q17" s="193">
        <v>0</v>
      </c>
      <c r="R17" s="193">
        <v>-6</v>
      </c>
      <c r="S17" s="192"/>
      <c r="T17" s="71">
        <v>3</v>
      </c>
      <c r="U17" s="72">
        <v>150</v>
      </c>
      <c r="V17" s="173" t="s">
        <v>449</v>
      </c>
    </row>
    <row r="18" spans="1:22">
      <c r="A18" s="487" t="s">
        <v>402</v>
      </c>
      <c r="B18" s="480"/>
      <c r="C18" s="480"/>
      <c r="D18" s="480"/>
      <c r="E18" s="149" t="s">
        <v>400</v>
      </c>
      <c r="F18" s="193">
        <v>1</v>
      </c>
      <c r="G18" s="177" t="s">
        <v>383</v>
      </c>
      <c r="H18" s="149" t="s">
        <v>431</v>
      </c>
      <c r="I18" s="192"/>
      <c r="J18" s="160" t="s">
        <v>384</v>
      </c>
      <c r="K18" s="160">
        <v>2</v>
      </c>
      <c r="L18" s="161" t="s">
        <v>440</v>
      </c>
      <c r="M18" s="193">
        <v>1</v>
      </c>
      <c r="N18" s="193">
        <v>1</v>
      </c>
      <c r="O18" s="193" t="s">
        <v>442</v>
      </c>
      <c r="P18" s="193">
        <v>7</v>
      </c>
      <c r="Q18" s="193">
        <v>0</v>
      </c>
      <c r="R18" s="193">
        <v>-4</v>
      </c>
      <c r="S18" s="192"/>
      <c r="T18" s="71">
        <v>2</v>
      </c>
      <c r="U18" s="72">
        <v>150</v>
      </c>
      <c r="V18" s="173" t="s">
        <v>450</v>
      </c>
    </row>
    <row r="19" spans="1:22">
      <c r="A19" s="487" t="s">
        <v>403</v>
      </c>
      <c r="B19" s="480"/>
      <c r="C19" s="480"/>
      <c r="D19" s="480"/>
      <c r="E19" s="149" t="s">
        <v>400</v>
      </c>
      <c r="F19" s="193">
        <v>1</v>
      </c>
      <c r="G19" s="177"/>
      <c r="H19" s="149"/>
      <c r="I19" s="192"/>
      <c r="J19" s="160"/>
      <c r="K19" s="160"/>
      <c r="L19" s="161"/>
      <c r="M19" s="193"/>
      <c r="N19" s="193"/>
      <c r="O19" s="199" t="s">
        <v>443</v>
      </c>
      <c r="P19" s="193" t="s">
        <v>446</v>
      </c>
      <c r="Q19" s="193">
        <v>0</v>
      </c>
      <c r="R19" s="193"/>
      <c r="S19" s="192"/>
      <c r="T19" s="71">
        <v>1</v>
      </c>
      <c r="U19" s="72">
        <v>50</v>
      </c>
      <c r="V19" s="173" t="s">
        <v>451</v>
      </c>
    </row>
    <row r="20" spans="1:22">
      <c r="A20" s="487" t="s">
        <v>404</v>
      </c>
      <c r="B20" s="480"/>
      <c r="C20" s="480"/>
      <c r="D20" s="480"/>
      <c r="E20" s="149" t="s">
        <v>404</v>
      </c>
      <c r="F20" s="193">
        <v>1</v>
      </c>
      <c r="G20" s="177" t="s">
        <v>378</v>
      </c>
      <c r="H20" s="149" t="s">
        <v>378</v>
      </c>
      <c r="I20" s="192"/>
      <c r="J20" s="160" t="s">
        <v>378</v>
      </c>
      <c r="K20" s="160"/>
      <c r="L20" s="161"/>
      <c r="M20" s="193">
        <v>0</v>
      </c>
      <c r="N20" s="193">
        <v>1</v>
      </c>
      <c r="O20" s="193" t="s">
        <v>444</v>
      </c>
      <c r="P20" s="193">
        <v>7</v>
      </c>
      <c r="Q20" s="193">
        <v>0</v>
      </c>
      <c r="R20" s="193">
        <v>-2</v>
      </c>
      <c r="S20" s="192"/>
      <c r="T20" s="71">
        <v>1.5</v>
      </c>
      <c r="U20" s="72">
        <v>40</v>
      </c>
      <c r="V20" s="173" t="s">
        <v>395</v>
      </c>
    </row>
    <row r="21" spans="1:22">
      <c r="A21" s="484" t="s">
        <v>458</v>
      </c>
      <c r="B21" s="482"/>
      <c r="C21" s="482"/>
      <c r="D21" s="482"/>
      <c r="E21" s="482"/>
      <c r="F21" s="482"/>
      <c r="G21" s="482"/>
      <c r="H21" s="482"/>
      <c r="I21" s="482"/>
      <c r="J21" s="482"/>
      <c r="K21" s="482"/>
      <c r="L21" s="482"/>
      <c r="M21" s="482"/>
      <c r="N21" s="482"/>
      <c r="O21" s="482"/>
      <c r="P21" s="482"/>
      <c r="Q21" s="482"/>
      <c r="R21" s="482"/>
      <c r="S21" s="482"/>
      <c r="T21" s="482"/>
      <c r="U21" s="482"/>
      <c r="V21" s="483"/>
    </row>
    <row r="22" spans="1:22">
      <c r="A22" s="487" t="s">
        <v>405</v>
      </c>
      <c r="B22" s="480"/>
      <c r="C22" s="480"/>
      <c r="D22" s="480"/>
      <c r="E22" s="149" t="s">
        <v>424</v>
      </c>
      <c r="F22" s="193">
        <v>1</v>
      </c>
      <c r="G22" s="177"/>
      <c r="H22" s="149"/>
      <c r="I22" s="192"/>
      <c r="J22" s="160"/>
      <c r="K22" s="160"/>
      <c r="L22" s="161"/>
      <c r="M22" s="193"/>
      <c r="N22" s="193">
        <v>1</v>
      </c>
      <c r="O22" s="193" t="s">
        <v>445</v>
      </c>
      <c r="P22" s="193"/>
      <c r="Q22" s="193">
        <v>0</v>
      </c>
      <c r="R22" s="193"/>
      <c r="S22" s="192"/>
      <c r="T22" s="71">
        <v>0.5</v>
      </c>
      <c r="U22" s="72">
        <v>20</v>
      </c>
      <c r="V22" s="173" t="s">
        <v>452</v>
      </c>
    </row>
    <row r="23" spans="1:22">
      <c r="A23" s="487" t="s">
        <v>406</v>
      </c>
      <c r="B23" s="480"/>
      <c r="C23" s="480"/>
      <c r="D23" s="480"/>
      <c r="E23" s="149" t="s">
        <v>424</v>
      </c>
      <c r="F23" s="193">
        <v>1</v>
      </c>
      <c r="G23" s="177" t="s">
        <v>380</v>
      </c>
      <c r="H23" s="149" t="s">
        <v>379</v>
      </c>
      <c r="I23" s="192"/>
      <c r="J23" s="160" t="s">
        <v>385</v>
      </c>
      <c r="K23" s="160">
        <v>-1</v>
      </c>
      <c r="L23" s="161" t="s">
        <v>440</v>
      </c>
      <c r="M23" s="193">
        <v>1</v>
      </c>
      <c r="N23" s="193"/>
      <c r="O23" s="193"/>
      <c r="P23" s="193">
        <v>5</v>
      </c>
      <c r="Q23" s="193">
        <v>0</v>
      </c>
      <c r="R23" s="193">
        <v>-3</v>
      </c>
      <c r="S23" s="192"/>
      <c r="T23" s="71">
        <v>0.5</v>
      </c>
      <c r="U23" s="72">
        <v>20</v>
      </c>
      <c r="V23" s="173"/>
    </row>
    <row r="24" spans="1:22">
      <c r="A24" s="487" t="s">
        <v>407</v>
      </c>
      <c r="B24" s="480"/>
      <c r="C24" s="480"/>
      <c r="D24" s="480"/>
      <c r="E24" s="149" t="s">
        <v>424</v>
      </c>
      <c r="F24" s="193">
        <v>1</v>
      </c>
      <c r="G24" s="177" t="s">
        <v>437</v>
      </c>
      <c r="H24" s="149" t="s">
        <v>380</v>
      </c>
      <c r="I24" s="192"/>
      <c r="J24" s="160" t="s">
        <v>385</v>
      </c>
      <c r="K24" s="160">
        <v>1</v>
      </c>
      <c r="L24" s="161" t="s">
        <v>440</v>
      </c>
      <c r="M24" s="193">
        <v>3</v>
      </c>
      <c r="N24" s="193"/>
      <c r="O24" s="193"/>
      <c r="P24" s="193">
        <v>6</v>
      </c>
      <c r="Q24" s="193">
        <v>0</v>
      </c>
      <c r="R24" s="193">
        <v>-4</v>
      </c>
      <c r="S24" s="192"/>
      <c r="T24" s="71">
        <v>1</v>
      </c>
      <c r="U24" s="72">
        <v>30</v>
      </c>
      <c r="V24" s="173"/>
    </row>
    <row r="25" spans="1:22">
      <c r="A25" s="484" t="s">
        <v>459</v>
      </c>
      <c r="B25" s="482"/>
      <c r="C25" s="482"/>
      <c r="D25" s="482"/>
      <c r="E25" s="482"/>
      <c r="F25" s="482"/>
      <c r="G25" s="482"/>
      <c r="H25" s="482"/>
      <c r="I25" s="482"/>
      <c r="J25" s="482"/>
      <c r="K25" s="482"/>
      <c r="L25" s="482"/>
      <c r="M25" s="482"/>
      <c r="N25" s="482"/>
      <c r="O25" s="482"/>
      <c r="P25" s="482"/>
      <c r="Q25" s="482"/>
      <c r="R25" s="482"/>
      <c r="S25" s="482"/>
      <c r="T25" s="482"/>
      <c r="U25" s="482"/>
      <c r="V25" s="483"/>
    </row>
    <row r="26" spans="1:22">
      <c r="A26" s="487" t="s">
        <v>408</v>
      </c>
      <c r="B26" s="480"/>
      <c r="C26" s="480"/>
      <c r="D26" s="480"/>
      <c r="E26" s="149" t="s">
        <v>425</v>
      </c>
      <c r="F26" s="193">
        <v>1</v>
      </c>
      <c r="G26" s="177" t="s">
        <v>432</v>
      </c>
      <c r="H26" s="149" t="s">
        <v>435</v>
      </c>
      <c r="I26" s="192"/>
      <c r="J26" s="160" t="s">
        <v>384</v>
      </c>
      <c r="K26" s="209" t="s">
        <v>439</v>
      </c>
      <c r="L26" s="161" t="s">
        <v>440</v>
      </c>
      <c r="M26" s="193">
        <v>0</v>
      </c>
      <c r="N26" s="193">
        <v>1</v>
      </c>
      <c r="O26" s="193" t="s">
        <v>391</v>
      </c>
      <c r="P26" s="193">
        <v>5</v>
      </c>
      <c r="Q26" s="193">
        <v>0</v>
      </c>
      <c r="R26" s="193">
        <v>-2</v>
      </c>
      <c r="S26" s="192"/>
      <c r="T26" s="71">
        <v>0.25</v>
      </c>
      <c r="U26" s="72">
        <v>4</v>
      </c>
      <c r="V26" s="173"/>
    </row>
    <row r="27" spans="1:22">
      <c r="A27" s="487" t="s">
        <v>409</v>
      </c>
      <c r="B27" s="480"/>
      <c r="C27" s="480"/>
      <c r="D27" s="480"/>
      <c r="E27" s="149" t="s">
        <v>425</v>
      </c>
      <c r="F27" s="193">
        <v>1</v>
      </c>
      <c r="G27" s="177" t="s">
        <v>433</v>
      </c>
      <c r="H27" s="149" t="s">
        <v>434</v>
      </c>
      <c r="I27" s="192"/>
      <c r="J27" s="160" t="s">
        <v>384</v>
      </c>
      <c r="K27" s="160">
        <v>0</v>
      </c>
      <c r="L27" s="161" t="s">
        <v>440</v>
      </c>
      <c r="M27" s="193">
        <v>0</v>
      </c>
      <c r="N27" s="193">
        <v>1</v>
      </c>
      <c r="O27" s="193" t="s">
        <v>391</v>
      </c>
      <c r="P27" s="193">
        <v>6</v>
      </c>
      <c r="Q27" s="193">
        <v>0</v>
      </c>
      <c r="R27" s="193">
        <v>-2</v>
      </c>
      <c r="S27" s="192"/>
      <c r="T27" s="71">
        <v>0.5</v>
      </c>
      <c r="U27" s="72">
        <v>40</v>
      </c>
      <c r="V27" s="173"/>
    </row>
    <row r="28" spans="1:22">
      <c r="A28" s="487" t="s">
        <v>410</v>
      </c>
      <c r="B28" s="480"/>
      <c r="C28" s="480"/>
      <c r="D28" s="480"/>
      <c r="E28" s="149" t="s">
        <v>425</v>
      </c>
      <c r="F28" s="193">
        <v>1</v>
      </c>
      <c r="G28" s="177" t="s">
        <v>432</v>
      </c>
      <c r="H28" s="149" t="s">
        <v>435</v>
      </c>
      <c r="I28" s="192"/>
      <c r="J28" s="160" t="s">
        <v>384</v>
      </c>
      <c r="K28" s="160">
        <v>-1</v>
      </c>
      <c r="L28" s="161" t="s">
        <v>440</v>
      </c>
      <c r="M28" s="193">
        <v>0</v>
      </c>
      <c r="N28" s="193">
        <v>1</v>
      </c>
      <c r="O28" s="193" t="s">
        <v>391</v>
      </c>
      <c r="P28" s="193">
        <v>5</v>
      </c>
      <c r="Q28" s="193">
        <v>0</v>
      </c>
      <c r="R28" s="193">
        <v>-1</v>
      </c>
      <c r="S28" s="192"/>
      <c r="T28" s="71">
        <v>0.25</v>
      </c>
      <c r="U28" s="72">
        <v>30</v>
      </c>
      <c r="V28" s="173"/>
    </row>
    <row r="29" spans="1:22">
      <c r="A29" s="487" t="s">
        <v>411</v>
      </c>
      <c r="B29" s="480"/>
      <c r="C29" s="480"/>
      <c r="D29" s="480"/>
      <c r="E29" s="149" t="s">
        <v>425</v>
      </c>
      <c r="F29" s="193">
        <v>1</v>
      </c>
      <c r="G29" s="177" t="s">
        <v>432</v>
      </c>
      <c r="H29" s="149" t="s">
        <v>435</v>
      </c>
      <c r="I29" s="192"/>
      <c r="J29" s="160" t="s">
        <v>384</v>
      </c>
      <c r="K29" s="160">
        <v>-1</v>
      </c>
      <c r="L29" s="161" t="s">
        <v>440</v>
      </c>
      <c r="M29" s="193">
        <v>0</v>
      </c>
      <c r="N29" s="193">
        <v>1</v>
      </c>
      <c r="O29" s="193" t="s">
        <v>391</v>
      </c>
      <c r="P29" s="193">
        <v>5</v>
      </c>
      <c r="Q29" s="193">
        <v>0</v>
      </c>
      <c r="R29" s="193">
        <v>-1</v>
      </c>
      <c r="S29" s="192"/>
      <c r="T29" s="71">
        <v>0.1</v>
      </c>
      <c r="U29" s="72">
        <v>20</v>
      </c>
      <c r="V29" s="173"/>
    </row>
    <row r="30" spans="1:22">
      <c r="A30" s="484" t="s">
        <v>460</v>
      </c>
      <c r="B30" s="482"/>
      <c r="C30" s="482"/>
      <c r="D30" s="482"/>
      <c r="E30" s="482"/>
      <c r="F30" s="482"/>
      <c r="G30" s="482"/>
      <c r="H30" s="482"/>
      <c r="I30" s="482"/>
      <c r="J30" s="482"/>
      <c r="K30" s="482"/>
      <c r="L30" s="482"/>
      <c r="M30" s="482"/>
      <c r="N30" s="482"/>
      <c r="O30" s="482"/>
      <c r="P30" s="482"/>
      <c r="Q30" s="482"/>
      <c r="R30" s="482"/>
      <c r="S30" s="482"/>
      <c r="T30" s="482"/>
      <c r="U30" s="482"/>
      <c r="V30" s="483"/>
    </row>
    <row r="31" spans="1:22">
      <c r="A31" s="487" t="s">
        <v>412</v>
      </c>
      <c r="B31" s="480"/>
      <c r="C31" s="480"/>
      <c r="D31" s="480"/>
      <c r="E31" s="149" t="s">
        <v>426</v>
      </c>
      <c r="F31" s="193">
        <v>1</v>
      </c>
      <c r="G31" s="177" t="s">
        <v>434</v>
      </c>
      <c r="H31" s="149" t="s">
        <v>438</v>
      </c>
      <c r="I31" s="192"/>
      <c r="J31" s="160" t="s">
        <v>385</v>
      </c>
      <c r="K31" s="160">
        <v>0</v>
      </c>
      <c r="L31" s="161" t="s">
        <v>441</v>
      </c>
      <c r="M31" s="193">
        <v>1</v>
      </c>
      <c r="N31" s="193">
        <v>1</v>
      </c>
      <c r="O31" s="193" t="s">
        <v>391</v>
      </c>
      <c r="P31" s="193">
        <v>8</v>
      </c>
      <c r="Q31" s="193">
        <v>0</v>
      </c>
      <c r="R31" s="193">
        <v>-2</v>
      </c>
      <c r="S31" s="192"/>
      <c r="T31" s="71">
        <v>1</v>
      </c>
      <c r="U31" s="72">
        <v>40</v>
      </c>
      <c r="V31" s="173"/>
    </row>
    <row r="32" spans="1:22">
      <c r="A32" s="487" t="s">
        <v>413</v>
      </c>
      <c r="B32" s="480"/>
      <c r="C32" s="480"/>
      <c r="D32" s="480"/>
      <c r="E32" s="149" t="s">
        <v>426</v>
      </c>
      <c r="F32" s="193">
        <v>1</v>
      </c>
      <c r="G32" s="177" t="s">
        <v>435</v>
      </c>
      <c r="H32" s="149" t="s">
        <v>434</v>
      </c>
      <c r="I32" s="192"/>
      <c r="J32" s="160" t="s">
        <v>385</v>
      </c>
      <c r="K32" s="160">
        <v>2</v>
      </c>
      <c r="L32" s="161" t="s">
        <v>441</v>
      </c>
      <c r="M32" s="193">
        <v>2</v>
      </c>
      <c r="N32" s="193">
        <v>1</v>
      </c>
      <c r="O32" s="193" t="s">
        <v>391</v>
      </c>
      <c r="P32" s="193">
        <v>11</v>
      </c>
      <c r="Q32" s="193">
        <v>0</v>
      </c>
      <c r="R32" s="193">
        <v>-3</v>
      </c>
      <c r="S32" s="192"/>
      <c r="T32" s="71">
        <v>2</v>
      </c>
      <c r="U32" s="72">
        <v>60</v>
      </c>
      <c r="V32" s="173"/>
    </row>
    <row r="33" spans="1:22">
      <c r="A33" s="487" t="s">
        <v>414</v>
      </c>
      <c r="B33" s="480"/>
      <c r="C33" s="480"/>
      <c r="D33" s="480"/>
      <c r="E33" s="149" t="s">
        <v>426</v>
      </c>
      <c r="F33" s="193">
        <v>1</v>
      </c>
      <c r="G33" s="177" t="s">
        <v>435</v>
      </c>
      <c r="H33" s="149" t="s">
        <v>434</v>
      </c>
      <c r="I33" s="192"/>
      <c r="J33" s="160" t="s">
        <v>385</v>
      </c>
      <c r="K33" s="160">
        <v>2</v>
      </c>
      <c r="L33" s="161" t="s">
        <v>388</v>
      </c>
      <c r="M33" s="193">
        <v>1</v>
      </c>
      <c r="N33" s="193">
        <v>1</v>
      </c>
      <c r="O33" s="193" t="s">
        <v>391</v>
      </c>
      <c r="P33" s="193">
        <v>10</v>
      </c>
      <c r="Q33" s="193">
        <v>0</v>
      </c>
      <c r="R33" s="193">
        <v>-3</v>
      </c>
      <c r="S33" s="192"/>
      <c r="T33" s="71">
        <v>1.5</v>
      </c>
      <c r="U33" s="72">
        <v>35</v>
      </c>
      <c r="V33" s="173"/>
    </row>
    <row r="34" spans="1:22">
      <c r="A34" s="487" t="s">
        <v>415</v>
      </c>
      <c r="B34" s="480"/>
      <c r="C34" s="480"/>
      <c r="D34" s="480"/>
      <c r="E34" s="149" t="s">
        <v>426</v>
      </c>
      <c r="F34" s="193">
        <v>1</v>
      </c>
      <c r="G34" s="177" t="s">
        <v>432</v>
      </c>
      <c r="H34" s="149" t="s">
        <v>435</v>
      </c>
      <c r="I34" s="192"/>
      <c r="J34" s="160" t="s">
        <v>385</v>
      </c>
      <c r="K34" s="160">
        <v>3</v>
      </c>
      <c r="L34" s="161" t="s">
        <v>388</v>
      </c>
      <c r="M34" s="193">
        <v>1</v>
      </c>
      <c r="N34" s="193">
        <v>1</v>
      </c>
      <c r="O34" s="193" t="s">
        <v>391</v>
      </c>
      <c r="P34" s="193">
        <v>12</v>
      </c>
      <c r="Q34" s="193">
        <v>0</v>
      </c>
      <c r="R34" s="193">
        <v>-4</v>
      </c>
      <c r="S34" s="192"/>
      <c r="T34" s="71">
        <v>2.5</v>
      </c>
      <c r="U34" s="72">
        <v>50</v>
      </c>
      <c r="V34" s="173"/>
    </row>
    <row r="35" spans="1:22">
      <c r="A35" s="484" t="s">
        <v>461</v>
      </c>
      <c r="B35" s="482"/>
      <c r="C35" s="482"/>
      <c r="D35" s="482"/>
      <c r="E35" s="482"/>
      <c r="F35" s="482"/>
      <c r="G35" s="482"/>
      <c r="H35" s="482"/>
      <c r="I35" s="482"/>
      <c r="J35" s="482"/>
      <c r="K35" s="482"/>
      <c r="L35" s="482"/>
      <c r="M35" s="482"/>
      <c r="N35" s="482"/>
      <c r="O35" s="482"/>
      <c r="P35" s="482"/>
      <c r="Q35" s="482"/>
      <c r="R35" s="482"/>
      <c r="S35" s="482"/>
      <c r="T35" s="482"/>
      <c r="U35" s="482"/>
      <c r="V35" s="483"/>
    </row>
    <row r="36" spans="1:22">
      <c r="A36" s="487" t="s">
        <v>416</v>
      </c>
      <c r="B36" s="480"/>
      <c r="C36" s="480"/>
      <c r="D36" s="480"/>
      <c r="E36" s="149" t="s">
        <v>427</v>
      </c>
      <c r="F36" s="193">
        <v>1</v>
      </c>
      <c r="G36" s="177" t="s">
        <v>432</v>
      </c>
      <c r="H36" s="149" t="s">
        <v>435</v>
      </c>
      <c r="I36" s="192"/>
      <c r="J36" s="160" t="s">
        <v>384</v>
      </c>
      <c r="K36" s="160">
        <v>-1</v>
      </c>
      <c r="L36" s="161" t="s">
        <v>441</v>
      </c>
      <c r="M36" s="193">
        <v>1</v>
      </c>
      <c r="N36" s="193">
        <v>1</v>
      </c>
      <c r="O36" s="193" t="s">
        <v>391</v>
      </c>
      <c r="P36" s="193">
        <v>5</v>
      </c>
      <c r="Q36" s="193">
        <v>0</v>
      </c>
      <c r="R36" s="193">
        <v>0</v>
      </c>
      <c r="S36" s="192"/>
      <c r="T36" s="71">
        <v>0.05</v>
      </c>
      <c r="U36" s="72">
        <v>3</v>
      </c>
      <c r="V36" s="173"/>
    </row>
    <row r="37" spans="1:22">
      <c r="A37" s="484" t="s">
        <v>462</v>
      </c>
      <c r="B37" s="482"/>
      <c r="C37" s="482"/>
      <c r="D37" s="482"/>
      <c r="E37" s="482"/>
      <c r="F37" s="482"/>
      <c r="G37" s="482"/>
      <c r="H37" s="482"/>
      <c r="I37" s="482"/>
      <c r="J37" s="482"/>
      <c r="K37" s="482"/>
      <c r="L37" s="482"/>
      <c r="M37" s="482"/>
      <c r="N37" s="482"/>
      <c r="O37" s="482"/>
      <c r="P37" s="482"/>
      <c r="Q37" s="482"/>
      <c r="R37" s="482"/>
      <c r="S37" s="482"/>
      <c r="T37" s="482"/>
      <c r="U37" s="482"/>
      <c r="V37" s="483"/>
    </row>
    <row r="38" spans="1:22">
      <c r="A38" s="487" t="s">
        <v>417</v>
      </c>
      <c r="B38" s="480"/>
      <c r="C38" s="480"/>
      <c r="D38" s="480"/>
      <c r="E38" s="149" t="s">
        <v>428</v>
      </c>
      <c r="F38" s="193">
        <v>1</v>
      </c>
      <c r="G38" s="177" t="s">
        <v>435</v>
      </c>
      <c r="H38" s="149" t="s">
        <v>434</v>
      </c>
      <c r="I38" s="192"/>
      <c r="J38" s="160" t="s">
        <v>384</v>
      </c>
      <c r="K38" s="160">
        <v>5</v>
      </c>
      <c r="L38" s="161" t="s">
        <v>440</v>
      </c>
      <c r="M38" s="193">
        <v>2</v>
      </c>
      <c r="N38" s="193">
        <v>1</v>
      </c>
      <c r="O38" s="193" t="s">
        <v>391</v>
      </c>
      <c r="P38" s="193">
        <v>11</v>
      </c>
      <c r="Q38" s="193">
        <v>0</v>
      </c>
      <c r="R38" s="193">
        <v>-6</v>
      </c>
      <c r="S38" s="192"/>
      <c r="T38" s="71">
        <v>3</v>
      </c>
      <c r="U38" s="72">
        <v>60</v>
      </c>
      <c r="V38" s="173" t="s">
        <v>453</v>
      </c>
    </row>
    <row r="39" spans="1:22">
      <c r="A39" s="484" t="s">
        <v>463</v>
      </c>
      <c r="B39" s="482"/>
      <c r="C39" s="482"/>
      <c r="D39" s="482"/>
      <c r="E39" s="482"/>
      <c r="F39" s="482"/>
      <c r="G39" s="482"/>
      <c r="H39" s="482"/>
      <c r="I39" s="482"/>
      <c r="J39" s="482"/>
      <c r="K39" s="482"/>
      <c r="L39" s="482"/>
      <c r="M39" s="482"/>
      <c r="N39" s="482"/>
      <c r="O39" s="482"/>
      <c r="P39" s="482"/>
      <c r="Q39" s="482"/>
      <c r="R39" s="482"/>
      <c r="S39" s="482"/>
      <c r="T39" s="482"/>
      <c r="U39" s="482"/>
      <c r="V39" s="483"/>
    </row>
    <row r="40" spans="1:22">
      <c r="A40" s="487" t="s">
        <v>418</v>
      </c>
      <c r="B40" s="480"/>
      <c r="C40" s="480"/>
      <c r="D40" s="480"/>
      <c r="E40" s="149" t="s">
        <v>429</v>
      </c>
      <c r="F40" s="193">
        <v>1</v>
      </c>
      <c r="G40" s="177" t="s">
        <v>435</v>
      </c>
      <c r="H40" s="149" t="s">
        <v>434</v>
      </c>
      <c r="I40" s="192"/>
      <c r="J40" s="160" t="s">
        <v>384</v>
      </c>
      <c r="K40" s="160">
        <v>3</v>
      </c>
      <c r="L40" s="161" t="s">
        <v>440</v>
      </c>
      <c r="M40" s="193">
        <v>2</v>
      </c>
      <c r="N40" s="193">
        <v>1</v>
      </c>
      <c r="O40" s="193" t="s">
        <v>391</v>
      </c>
      <c r="P40" s="193">
        <v>9</v>
      </c>
      <c r="Q40" s="193">
        <v>0</v>
      </c>
      <c r="R40" s="193">
        <v>-6</v>
      </c>
      <c r="S40" s="192"/>
      <c r="T40" s="71">
        <v>2</v>
      </c>
      <c r="U40" s="72">
        <v>40</v>
      </c>
      <c r="V40" s="173"/>
    </row>
    <row r="41" spans="1:22">
      <c r="A41" s="484" t="s">
        <v>257</v>
      </c>
      <c r="B41" s="482"/>
      <c r="C41" s="482"/>
      <c r="D41" s="482"/>
      <c r="E41" s="482"/>
      <c r="F41" s="482"/>
      <c r="G41" s="482"/>
      <c r="H41" s="482"/>
      <c r="I41" s="482"/>
      <c r="J41" s="482"/>
      <c r="K41" s="482"/>
      <c r="L41" s="482"/>
      <c r="M41" s="482"/>
      <c r="N41" s="482"/>
      <c r="O41" s="482"/>
      <c r="P41" s="482"/>
      <c r="Q41" s="482"/>
      <c r="R41" s="482"/>
      <c r="S41" s="482"/>
      <c r="T41" s="482"/>
      <c r="U41" s="482"/>
      <c r="V41" s="483"/>
    </row>
    <row r="42" spans="1:22">
      <c r="A42" s="487" t="s">
        <v>419</v>
      </c>
      <c r="B42" s="480"/>
      <c r="C42" s="480"/>
      <c r="D42" s="480"/>
      <c r="E42" s="149" t="s">
        <v>429</v>
      </c>
      <c r="F42" s="193">
        <v>1</v>
      </c>
      <c r="G42" s="177" t="s">
        <v>434</v>
      </c>
      <c r="H42" s="149" t="s">
        <v>438</v>
      </c>
      <c r="I42" s="192"/>
      <c r="J42" s="160" t="s">
        <v>384</v>
      </c>
      <c r="K42" s="160">
        <v>1</v>
      </c>
      <c r="L42" s="161" t="s">
        <v>440</v>
      </c>
      <c r="M42" s="193">
        <v>3</v>
      </c>
      <c r="N42" s="193">
        <v>1</v>
      </c>
      <c r="O42" s="193" t="s">
        <v>391</v>
      </c>
      <c r="P42" s="193">
        <v>6</v>
      </c>
      <c r="Q42" s="193">
        <v>0</v>
      </c>
      <c r="R42" s="193">
        <v>-4</v>
      </c>
      <c r="S42" s="192"/>
      <c r="T42" s="71">
        <v>1</v>
      </c>
      <c r="U42" s="72">
        <v>30</v>
      </c>
      <c r="V42" s="173"/>
    </row>
    <row r="43" spans="1:22">
      <c r="A43" s="487" t="s">
        <v>420</v>
      </c>
      <c r="B43" s="480"/>
      <c r="C43" s="480"/>
      <c r="D43" s="480"/>
      <c r="E43" s="149" t="s">
        <v>430</v>
      </c>
      <c r="F43" s="193">
        <v>1</v>
      </c>
      <c r="G43" s="177" t="s">
        <v>382</v>
      </c>
      <c r="H43" s="149" t="s">
        <v>383</v>
      </c>
      <c r="I43" s="192"/>
      <c r="J43" s="160" t="s">
        <v>384</v>
      </c>
      <c r="K43" s="160">
        <v>0</v>
      </c>
      <c r="L43" s="161" t="s">
        <v>440</v>
      </c>
      <c r="M43" s="193">
        <v>1</v>
      </c>
      <c r="N43" s="193">
        <v>1</v>
      </c>
      <c r="O43" s="193" t="s">
        <v>392</v>
      </c>
      <c r="P43" s="193" t="s">
        <v>446</v>
      </c>
      <c r="Q43" s="193">
        <v>0</v>
      </c>
      <c r="R43" s="193">
        <v>-6</v>
      </c>
      <c r="S43" s="192"/>
      <c r="T43" s="71">
        <v>1</v>
      </c>
      <c r="U43" s="72">
        <v>50</v>
      </c>
      <c r="V43" s="173" t="s">
        <v>449</v>
      </c>
    </row>
    <row r="44" spans="1:22">
      <c r="A44" s="487" t="s">
        <v>421</v>
      </c>
      <c r="B44" s="480"/>
      <c r="C44" s="480"/>
      <c r="D44" s="480"/>
      <c r="E44" s="149" t="s">
        <v>430</v>
      </c>
      <c r="F44" s="193">
        <v>1</v>
      </c>
      <c r="G44" s="177" t="s">
        <v>383</v>
      </c>
      <c r="H44" s="149" t="s">
        <v>431</v>
      </c>
      <c r="I44" s="192"/>
      <c r="J44" s="160" t="s">
        <v>384</v>
      </c>
      <c r="K44" s="160">
        <v>1</v>
      </c>
      <c r="L44" s="161" t="s">
        <v>440</v>
      </c>
      <c r="M44" s="193">
        <v>2</v>
      </c>
      <c r="N44" s="193">
        <v>1</v>
      </c>
      <c r="O44" s="193" t="s">
        <v>392</v>
      </c>
      <c r="P44" s="193" t="s">
        <v>447</v>
      </c>
      <c r="Q44" s="193">
        <v>0</v>
      </c>
      <c r="R44" s="193">
        <v>-7</v>
      </c>
      <c r="S44" s="192"/>
      <c r="T44" s="71">
        <v>1</v>
      </c>
      <c r="U44" s="72">
        <v>100</v>
      </c>
      <c r="V44" s="173" t="s">
        <v>449</v>
      </c>
    </row>
    <row r="45" spans="1:22">
      <c r="A45" s="487" t="s">
        <v>422</v>
      </c>
      <c r="B45" s="480"/>
      <c r="C45" s="480"/>
      <c r="D45" s="480"/>
      <c r="E45" s="149" t="s">
        <v>430</v>
      </c>
      <c r="F45" s="193">
        <v>1</v>
      </c>
      <c r="G45" s="177" t="s">
        <v>383</v>
      </c>
      <c r="H45" s="149" t="s">
        <v>431</v>
      </c>
      <c r="I45" s="192"/>
      <c r="J45" s="160" t="s">
        <v>384</v>
      </c>
      <c r="K45" s="160">
        <v>2</v>
      </c>
      <c r="L45" s="161" t="s">
        <v>440</v>
      </c>
      <c r="M45" s="193">
        <v>3</v>
      </c>
      <c r="N45" s="193">
        <v>1</v>
      </c>
      <c r="O45" s="193" t="s">
        <v>392</v>
      </c>
      <c r="P45" s="193" t="s">
        <v>448</v>
      </c>
      <c r="Q45" s="193">
        <v>0</v>
      </c>
      <c r="R45" s="193">
        <v>-8</v>
      </c>
      <c r="S45" s="192"/>
      <c r="T45" s="71">
        <v>1.5</v>
      </c>
      <c r="U45" s="72">
        <v>200</v>
      </c>
      <c r="V45" s="173" t="s">
        <v>449</v>
      </c>
    </row>
    <row r="46" spans="1:22" ht="17.25" thickBot="1">
      <c r="A46" s="490" t="s">
        <v>423</v>
      </c>
      <c r="B46" s="491"/>
      <c r="C46" s="491"/>
      <c r="D46" s="491"/>
      <c r="E46" s="157" t="s">
        <v>430</v>
      </c>
      <c r="F46" s="194">
        <v>1</v>
      </c>
      <c r="G46" s="178" t="s">
        <v>431</v>
      </c>
      <c r="H46" s="157" t="s">
        <v>436</v>
      </c>
      <c r="I46" s="194"/>
      <c r="J46" s="168" t="s">
        <v>384</v>
      </c>
      <c r="K46" s="168">
        <v>3</v>
      </c>
      <c r="L46" s="169" t="s">
        <v>440</v>
      </c>
      <c r="M46" s="194">
        <v>3</v>
      </c>
      <c r="N46" s="194">
        <v>1</v>
      </c>
      <c r="O46" s="194" t="s">
        <v>392</v>
      </c>
      <c r="P46" s="194" t="s">
        <v>447</v>
      </c>
      <c r="Q46" s="194">
        <v>0</v>
      </c>
      <c r="R46" s="194">
        <v>-7</v>
      </c>
      <c r="S46" s="194"/>
      <c r="T46" s="210">
        <v>2</v>
      </c>
      <c r="U46" s="211">
        <v>900</v>
      </c>
      <c r="V46" s="212" t="s">
        <v>449</v>
      </c>
    </row>
  </sheetData>
  <mergeCells count="46">
    <mergeCell ref="A46:D46"/>
    <mergeCell ref="A41:V41"/>
    <mergeCell ref="A45:D45"/>
    <mergeCell ref="A2:V2"/>
    <mergeCell ref="A5:V5"/>
    <mergeCell ref="A8:V8"/>
    <mergeCell ref="A10:V10"/>
    <mergeCell ref="A12:V12"/>
    <mergeCell ref="A15:V15"/>
    <mergeCell ref="A21:V21"/>
    <mergeCell ref="A25:V25"/>
    <mergeCell ref="A30:V30"/>
    <mergeCell ref="A31:D31"/>
    <mergeCell ref="A35:V35"/>
    <mergeCell ref="A37:V37"/>
    <mergeCell ref="A39:V39"/>
    <mergeCell ref="A42:D42"/>
    <mergeCell ref="A43:D43"/>
    <mergeCell ref="A44:D44"/>
    <mergeCell ref="A38:D38"/>
    <mergeCell ref="A40:D40"/>
    <mergeCell ref="A34:D34"/>
    <mergeCell ref="A36:D36"/>
    <mergeCell ref="A7:D7"/>
    <mergeCell ref="A9:D9"/>
    <mergeCell ref="A11:D11"/>
    <mergeCell ref="A17:D17"/>
    <mergeCell ref="A18:D18"/>
    <mergeCell ref="A19:D19"/>
    <mergeCell ref="A24:D24"/>
    <mergeCell ref="A32:D32"/>
    <mergeCell ref="A33:D33"/>
    <mergeCell ref="A28:D28"/>
    <mergeCell ref="A29:D29"/>
    <mergeCell ref="A26:D26"/>
    <mergeCell ref="A27:D27"/>
    <mergeCell ref="A22:D22"/>
    <mergeCell ref="A4:D4"/>
    <mergeCell ref="A6:D6"/>
    <mergeCell ref="A3:D3"/>
    <mergeCell ref="A1:D1"/>
    <mergeCell ref="A23:D23"/>
    <mergeCell ref="A20:D20"/>
    <mergeCell ref="A16:D16"/>
    <mergeCell ref="A13:D13"/>
    <mergeCell ref="A14:D14"/>
  </mergeCells>
  <phoneticPr fontId="4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C17" sqref="C17"/>
    </sheetView>
  </sheetViews>
  <sheetFormatPr defaultRowHeight="16.5"/>
  <sheetData>
    <row r="1" spans="1:11">
      <c r="A1" s="384" t="s">
        <v>85</v>
      </c>
      <c r="B1" s="385"/>
      <c r="C1" s="385"/>
      <c r="D1" s="191" t="s">
        <v>111</v>
      </c>
      <c r="E1" s="191" t="s">
        <v>106</v>
      </c>
      <c r="F1" s="191" t="s">
        <v>107</v>
      </c>
      <c r="G1" s="191" t="s">
        <v>112</v>
      </c>
      <c r="H1" s="191" t="s">
        <v>23</v>
      </c>
      <c r="I1" s="191"/>
      <c r="J1" s="191" t="s">
        <v>113</v>
      </c>
      <c r="K1" s="164" t="s">
        <v>108</v>
      </c>
    </row>
    <row r="2" spans="1:11">
      <c r="A2" s="493" t="s">
        <v>375</v>
      </c>
      <c r="B2" s="494"/>
      <c r="C2" s="494"/>
      <c r="D2" s="494"/>
      <c r="E2" s="494"/>
      <c r="F2" s="494"/>
      <c r="G2" s="494"/>
      <c r="H2" s="494"/>
      <c r="I2" s="494"/>
      <c r="J2" s="494"/>
      <c r="K2" s="495"/>
    </row>
    <row r="3" spans="1:11">
      <c r="A3" s="466" t="s">
        <v>464</v>
      </c>
      <c r="B3" s="320"/>
      <c r="C3" s="320"/>
      <c r="D3" s="193">
        <v>1</v>
      </c>
      <c r="E3" s="63">
        <v>20</v>
      </c>
      <c r="F3" s="193">
        <v>1</v>
      </c>
      <c r="G3" s="193">
        <v>1</v>
      </c>
      <c r="H3" s="193">
        <v>3</v>
      </c>
      <c r="I3" s="193"/>
      <c r="J3" s="193">
        <v>0</v>
      </c>
      <c r="K3" s="173" t="s">
        <v>465</v>
      </c>
    </row>
    <row r="4" spans="1:11">
      <c r="A4" s="415" t="s">
        <v>367</v>
      </c>
      <c r="B4" s="366"/>
      <c r="C4" s="366"/>
      <c r="D4" s="193">
        <v>2</v>
      </c>
      <c r="E4" s="63">
        <v>50</v>
      </c>
      <c r="F4" s="193">
        <v>2.5</v>
      </c>
      <c r="G4" s="193">
        <v>1</v>
      </c>
      <c r="H4" s="193">
        <v>5</v>
      </c>
      <c r="I4" s="193"/>
      <c r="J4" s="193">
        <v>0</v>
      </c>
      <c r="K4" s="173" t="s">
        <v>465</v>
      </c>
    </row>
    <row r="5" spans="1:11">
      <c r="A5" s="496" t="s">
        <v>466</v>
      </c>
      <c r="B5" s="497"/>
      <c r="C5" s="497"/>
      <c r="D5" s="497"/>
      <c r="E5" s="497"/>
      <c r="F5" s="497"/>
      <c r="G5" s="497"/>
      <c r="H5" s="497"/>
      <c r="I5" s="497"/>
      <c r="J5" s="497"/>
      <c r="K5" s="498"/>
    </row>
    <row r="6" spans="1:11">
      <c r="A6" s="466" t="s">
        <v>261</v>
      </c>
      <c r="B6" s="320"/>
      <c r="C6" s="320"/>
      <c r="D6" s="193">
        <v>1</v>
      </c>
      <c r="E6" s="63">
        <v>25</v>
      </c>
      <c r="F6" s="193">
        <v>1</v>
      </c>
      <c r="G6" s="193">
        <v>5</v>
      </c>
      <c r="H6" s="193">
        <v>20</v>
      </c>
      <c r="I6" s="193"/>
      <c r="J6" s="193">
        <v>4</v>
      </c>
      <c r="K6" s="173" t="s">
        <v>224</v>
      </c>
    </row>
    <row r="7" spans="1:11">
      <c r="A7" s="466" t="s">
        <v>223</v>
      </c>
      <c r="B7" s="320"/>
      <c r="C7" s="320"/>
      <c r="D7" s="193">
        <v>1</v>
      </c>
      <c r="E7" s="63">
        <v>40</v>
      </c>
      <c r="F7" s="193">
        <v>4</v>
      </c>
      <c r="G7" s="193">
        <v>6</v>
      </c>
      <c r="H7" s="193">
        <v>30</v>
      </c>
      <c r="I7" s="193"/>
      <c r="J7" s="193">
        <v>4</v>
      </c>
      <c r="K7" s="173" t="s">
        <v>224</v>
      </c>
    </row>
    <row r="8" spans="1:11">
      <c r="A8" s="415" t="s">
        <v>258</v>
      </c>
      <c r="B8" s="366"/>
      <c r="C8" s="366"/>
      <c r="D8" s="193">
        <v>2</v>
      </c>
      <c r="E8" s="63">
        <v>60</v>
      </c>
      <c r="F8" s="193">
        <v>7.5</v>
      </c>
      <c r="G8" s="193">
        <v>7</v>
      </c>
      <c r="H8" s="193">
        <v>40</v>
      </c>
      <c r="I8" s="193"/>
      <c r="J8" s="193">
        <v>4</v>
      </c>
      <c r="K8" s="173" t="s">
        <v>224</v>
      </c>
    </row>
    <row r="9" spans="1:11" ht="17.25" thickBot="1">
      <c r="A9" s="428" t="s">
        <v>259</v>
      </c>
      <c r="B9" s="492"/>
      <c r="C9" s="492"/>
      <c r="D9" s="194">
        <v>3</v>
      </c>
      <c r="E9" s="213">
        <v>90</v>
      </c>
      <c r="F9" s="194">
        <v>12.5</v>
      </c>
      <c r="G9" s="194">
        <v>9</v>
      </c>
      <c r="H9" s="194">
        <v>60</v>
      </c>
      <c r="I9" s="194"/>
      <c r="J9" s="194">
        <v>4</v>
      </c>
      <c r="K9" s="212" t="s">
        <v>260</v>
      </c>
    </row>
  </sheetData>
  <mergeCells count="9">
    <mergeCell ref="A7:C7"/>
    <mergeCell ref="A8:C8"/>
    <mergeCell ref="A9:C9"/>
    <mergeCell ref="A1:C1"/>
    <mergeCell ref="A3:C3"/>
    <mergeCell ref="A4:C4"/>
    <mergeCell ref="A6:C6"/>
    <mergeCell ref="A2:K2"/>
    <mergeCell ref="A5:K5"/>
  </mergeCells>
  <phoneticPr fontId="4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A8" workbookViewId="0">
      <selection activeCell="F27" sqref="F27:G27"/>
    </sheetView>
  </sheetViews>
  <sheetFormatPr defaultRowHeight="16.5"/>
  <sheetData>
    <row r="1" spans="1:13">
      <c r="A1" s="431" t="s">
        <v>136</v>
      </c>
      <c r="B1" s="432"/>
      <c r="C1" s="432"/>
      <c r="D1" s="432"/>
      <c r="E1" s="432"/>
      <c r="F1" s="506" t="s">
        <v>112</v>
      </c>
      <c r="G1" s="506"/>
      <c r="H1" s="506" t="s">
        <v>113</v>
      </c>
      <c r="I1" s="506"/>
      <c r="J1" s="222" t="s">
        <v>106</v>
      </c>
      <c r="K1" s="506" t="s">
        <v>107</v>
      </c>
      <c r="L1" s="506"/>
      <c r="M1" s="164" t="s">
        <v>108</v>
      </c>
    </row>
    <row r="2" spans="1:13">
      <c r="A2" s="214" t="s">
        <v>468</v>
      </c>
      <c r="B2" s="387" t="s">
        <v>469</v>
      </c>
      <c r="C2" s="387"/>
      <c r="D2" s="387"/>
      <c r="E2" s="387"/>
      <c r="F2" s="280" t="s">
        <v>470</v>
      </c>
      <c r="G2" s="280"/>
      <c r="H2" s="437">
        <v>4</v>
      </c>
      <c r="I2" s="437"/>
      <c r="J2" s="219">
        <v>32</v>
      </c>
      <c r="K2" s="437">
        <v>0</v>
      </c>
      <c r="L2" s="437"/>
      <c r="M2" s="173"/>
    </row>
    <row r="3" spans="1:13">
      <c r="A3" s="215" t="s">
        <v>471</v>
      </c>
      <c r="B3" s="502" t="s">
        <v>472</v>
      </c>
      <c r="C3" s="502"/>
      <c r="D3" s="502"/>
      <c r="E3" s="502"/>
      <c r="F3" s="503">
        <v>2</v>
      </c>
      <c r="G3" s="503"/>
      <c r="H3" s="497">
        <v>4</v>
      </c>
      <c r="I3" s="497"/>
      <c r="J3" s="220">
        <v>20</v>
      </c>
      <c r="K3" s="497">
        <v>0.2</v>
      </c>
      <c r="L3" s="497"/>
      <c r="M3" s="221"/>
    </row>
    <row r="4" spans="1:13">
      <c r="A4" s="215" t="s">
        <v>473</v>
      </c>
      <c r="B4" s="502" t="s">
        <v>472</v>
      </c>
      <c r="C4" s="502"/>
      <c r="D4" s="502"/>
      <c r="E4" s="502"/>
      <c r="F4" s="503">
        <v>2</v>
      </c>
      <c r="G4" s="503"/>
      <c r="H4" s="497">
        <v>4</v>
      </c>
      <c r="I4" s="497"/>
      <c r="J4" s="220">
        <v>20</v>
      </c>
      <c r="K4" s="497">
        <v>0.2</v>
      </c>
      <c r="L4" s="497"/>
      <c r="M4" s="221"/>
    </row>
    <row r="5" spans="1:13">
      <c r="A5" s="223" t="s">
        <v>471</v>
      </c>
      <c r="B5" s="504" t="s">
        <v>474</v>
      </c>
      <c r="C5" s="504"/>
      <c r="D5" s="504"/>
      <c r="E5" s="504"/>
      <c r="F5" s="507" t="s">
        <v>475</v>
      </c>
      <c r="G5" s="507"/>
      <c r="H5" s="509"/>
      <c r="I5" s="509"/>
      <c r="J5" s="224">
        <v>5</v>
      </c>
      <c r="K5" s="509">
        <v>0</v>
      </c>
      <c r="L5" s="509"/>
      <c r="M5" s="225"/>
    </row>
    <row r="6" spans="1:13">
      <c r="A6" s="226" t="s">
        <v>471</v>
      </c>
      <c r="B6" s="505" t="s">
        <v>476</v>
      </c>
      <c r="C6" s="505"/>
      <c r="D6" s="505"/>
      <c r="E6" s="505"/>
      <c r="F6" s="508">
        <v>3</v>
      </c>
      <c r="G6" s="508"/>
      <c r="H6" s="510">
        <v>4</v>
      </c>
      <c r="I6" s="510"/>
      <c r="J6" s="227">
        <v>60</v>
      </c>
      <c r="K6" s="510">
        <v>2.5</v>
      </c>
      <c r="L6" s="510"/>
      <c r="M6" s="228"/>
    </row>
    <row r="7" spans="1:13">
      <c r="A7" s="215" t="s">
        <v>471</v>
      </c>
      <c r="B7" s="502" t="s">
        <v>477</v>
      </c>
      <c r="C7" s="502"/>
      <c r="D7" s="502"/>
      <c r="E7" s="502"/>
      <c r="F7" s="503">
        <v>3</v>
      </c>
      <c r="G7" s="503"/>
      <c r="H7" s="497">
        <v>4</v>
      </c>
      <c r="I7" s="497"/>
      <c r="J7" s="220">
        <v>160</v>
      </c>
      <c r="K7" s="497">
        <v>3.7</v>
      </c>
      <c r="L7" s="497"/>
      <c r="M7" s="221"/>
    </row>
    <row r="8" spans="1:13">
      <c r="A8" s="215" t="s">
        <v>473</v>
      </c>
      <c r="B8" s="502" t="s">
        <v>477</v>
      </c>
      <c r="C8" s="502"/>
      <c r="D8" s="502"/>
      <c r="E8" s="502"/>
      <c r="F8" s="503">
        <v>3</v>
      </c>
      <c r="G8" s="503"/>
      <c r="H8" s="497">
        <v>4</v>
      </c>
      <c r="I8" s="497"/>
      <c r="J8" s="220">
        <v>160</v>
      </c>
      <c r="K8" s="497">
        <v>3.7</v>
      </c>
      <c r="L8" s="497"/>
      <c r="M8" s="221"/>
    </row>
    <row r="9" spans="1:13">
      <c r="A9" s="214" t="s">
        <v>471</v>
      </c>
      <c r="B9" s="387" t="s">
        <v>478</v>
      </c>
      <c r="C9" s="387"/>
      <c r="D9" s="387"/>
      <c r="E9" s="387"/>
      <c r="F9" s="274">
        <v>4</v>
      </c>
      <c r="G9" s="274"/>
      <c r="H9" s="324">
        <v>3</v>
      </c>
      <c r="I9" s="324"/>
      <c r="J9" s="219">
        <v>150</v>
      </c>
      <c r="K9" s="324">
        <v>3</v>
      </c>
      <c r="L9" s="324"/>
      <c r="M9" s="173"/>
    </row>
    <row r="10" spans="1:13">
      <c r="A10" s="214" t="s">
        <v>473</v>
      </c>
      <c r="B10" s="387" t="s">
        <v>478</v>
      </c>
      <c r="C10" s="387"/>
      <c r="D10" s="387"/>
      <c r="E10" s="387"/>
      <c r="F10" s="274">
        <v>4</v>
      </c>
      <c r="G10" s="274"/>
      <c r="H10" s="324">
        <v>3</v>
      </c>
      <c r="I10" s="324"/>
      <c r="J10" s="219">
        <v>150</v>
      </c>
      <c r="K10" s="324">
        <v>3</v>
      </c>
      <c r="L10" s="324"/>
      <c r="M10" s="173"/>
    </row>
    <row r="11" spans="1:13">
      <c r="A11" s="215" t="s">
        <v>471</v>
      </c>
      <c r="B11" s="502" t="s">
        <v>479</v>
      </c>
      <c r="C11" s="502"/>
      <c r="D11" s="502"/>
      <c r="E11" s="502"/>
      <c r="F11" s="503" t="s">
        <v>480</v>
      </c>
      <c r="G11" s="503"/>
      <c r="H11" s="497">
        <v>3</v>
      </c>
      <c r="I11" s="497"/>
      <c r="J11" s="220">
        <v>55</v>
      </c>
      <c r="K11" s="497">
        <v>2</v>
      </c>
      <c r="L11" s="497"/>
      <c r="M11" s="221" t="s">
        <v>481</v>
      </c>
    </row>
    <row r="12" spans="1:13">
      <c r="A12" s="215" t="s">
        <v>482</v>
      </c>
      <c r="B12" s="502" t="s">
        <v>483</v>
      </c>
      <c r="C12" s="502"/>
      <c r="D12" s="502"/>
      <c r="E12" s="502"/>
      <c r="F12" s="503" t="s">
        <v>484</v>
      </c>
      <c r="G12" s="503"/>
      <c r="H12" s="497">
        <v>3</v>
      </c>
      <c r="I12" s="497"/>
      <c r="J12" s="220">
        <v>55</v>
      </c>
      <c r="K12" s="497">
        <v>2</v>
      </c>
      <c r="L12" s="497"/>
      <c r="M12" s="221" t="s">
        <v>485</v>
      </c>
    </row>
    <row r="13" spans="1:13">
      <c r="A13" s="214" t="s">
        <v>486</v>
      </c>
      <c r="B13" s="387" t="s">
        <v>487</v>
      </c>
      <c r="C13" s="387"/>
      <c r="D13" s="387"/>
      <c r="E13" s="387"/>
      <c r="F13" s="274">
        <v>6</v>
      </c>
      <c r="G13" s="274"/>
      <c r="H13" s="324">
        <v>3</v>
      </c>
      <c r="I13" s="324"/>
      <c r="J13" s="219">
        <v>240</v>
      </c>
      <c r="K13" s="324">
        <v>5</v>
      </c>
      <c r="L13" s="324"/>
      <c r="M13" s="173" t="s">
        <v>488</v>
      </c>
    </row>
    <row r="14" spans="1:13">
      <c r="A14" s="214" t="s">
        <v>489</v>
      </c>
      <c r="B14" s="387" t="s">
        <v>490</v>
      </c>
      <c r="C14" s="387"/>
      <c r="D14" s="387"/>
      <c r="E14" s="387"/>
      <c r="F14" s="274">
        <v>6</v>
      </c>
      <c r="G14" s="274"/>
      <c r="H14" s="324">
        <v>3</v>
      </c>
      <c r="I14" s="324"/>
      <c r="J14" s="219">
        <v>240</v>
      </c>
      <c r="K14" s="324">
        <v>5</v>
      </c>
      <c r="L14" s="324"/>
      <c r="M14" s="173" t="s">
        <v>488</v>
      </c>
    </row>
    <row r="15" spans="1:13">
      <c r="A15" s="215" t="s">
        <v>491</v>
      </c>
      <c r="B15" s="502" t="s">
        <v>492</v>
      </c>
      <c r="C15" s="502"/>
      <c r="D15" s="502"/>
      <c r="E15" s="502"/>
      <c r="F15" s="503">
        <v>7</v>
      </c>
      <c r="G15" s="503"/>
      <c r="H15" s="497">
        <v>3</v>
      </c>
      <c r="I15" s="497"/>
      <c r="J15" s="220">
        <v>340</v>
      </c>
      <c r="K15" s="497">
        <v>5</v>
      </c>
      <c r="L15" s="497"/>
      <c r="M15" s="221" t="s">
        <v>488</v>
      </c>
    </row>
    <row r="16" spans="1:13">
      <c r="A16" s="215" t="s">
        <v>489</v>
      </c>
      <c r="B16" s="502" t="s">
        <v>492</v>
      </c>
      <c r="C16" s="502"/>
      <c r="D16" s="502"/>
      <c r="E16" s="502"/>
      <c r="F16" s="503">
        <v>7</v>
      </c>
      <c r="G16" s="503"/>
      <c r="H16" s="497">
        <v>3</v>
      </c>
      <c r="I16" s="497"/>
      <c r="J16" s="220">
        <v>340</v>
      </c>
      <c r="K16" s="497">
        <v>5</v>
      </c>
      <c r="L16" s="497"/>
      <c r="M16" s="221" t="s">
        <v>488</v>
      </c>
    </row>
    <row r="17" spans="1:13">
      <c r="A17" s="215" t="s">
        <v>493</v>
      </c>
      <c r="B17" s="502" t="s">
        <v>492</v>
      </c>
      <c r="C17" s="502"/>
      <c r="D17" s="502"/>
      <c r="E17" s="502"/>
      <c r="F17" s="503">
        <v>7</v>
      </c>
      <c r="G17" s="503"/>
      <c r="H17" s="497">
        <v>3</v>
      </c>
      <c r="I17" s="497"/>
      <c r="J17" s="220">
        <v>340</v>
      </c>
      <c r="K17" s="497">
        <v>5</v>
      </c>
      <c r="L17" s="497"/>
      <c r="M17" s="221" t="s">
        <v>488</v>
      </c>
    </row>
    <row r="18" spans="1:13">
      <c r="A18" s="214" t="s">
        <v>489</v>
      </c>
      <c r="B18" s="387" t="s">
        <v>494</v>
      </c>
      <c r="C18" s="387"/>
      <c r="D18" s="387"/>
      <c r="E18" s="387"/>
      <c r="F18" s="274">
        <v>4</v>
      </c>
      <c r="G18" s="274"/>
      <c r="H18" s="324">
        <v>3</v>
      </c>
      <c r="I18" s="324"/>
      <c r="J18" s="219">
        <v>100</v>
      </c>
      <c r="K18" s="324">
        <v>1</v>
      </c>
      <c r="L18" s="324"/>
      <c r="M18" s="173"/>
    </row>
    <row r="19" spans="1:13">
      <c r="A19" s="215" t="s">
        <v>491</v>
      </c>
      <c r="B19" s="502" t="s">
        <v>495</v>
      </c>
      <c r="C19" s="502"/>
      <c r="D19" s="502"/>
      <c r="E19" s="502"/>
      <c r="F19" s="503">
        <v>4</v>
      </c>
      <c r="G19" s="503"/>
      <c r="H19" s="497">
        <v>4</v>
      </c>
      <c r="I19" s="497"/>
      <c r="J19" s="220">
        <v>100</v>
      </c>
      <c r="K19" s="497">
        <v>2.5</v>
      </c>
      <c r="L19" s="497"/>
      <c r="M19" s="221"/>
    </row>
    <row r="20" spans="1:13">
      <c r="A20" s="214" t="s">
        <v>496</v>
      </c>
      <c r="B20" s="387" t="s">
        <v>497</v>
      </c>
      <c r="C20" s="387"/>
      <c r="D20" s="387"/>
      <c r="E20" s="387"/>
      <c r="F20" s="274" t="s">
        <v>498</v>
      </c>
      <c r="G20" s="274"/>
      <c r="H20" s="324"/>
      <c r="I20" s="324"/>
      <c r="J20" s="219">
        <v>25</v>
      </c>
      <c r="K20" s="324">
        <v>1</v>
      </c>
      <c r="L20" s="324"/>
      <c r="M20" s="173" t="s">
        <v>499</v>
      </c>
    </row>
    <row r="21" spans="1:13">
      <c r="A21" s="215" t="s">
        <v>500</v>
      </c>
      <c r="B21" s="502" t="s">
        <v>501</v>
      </c>
      <c r="C21" s="502"/>
      <c r="D21" s="502"/>
      <c r="E21" s="502"/>
      <c r="F21" s="503" t="s">
        <v>498</v>
      </c>
      <c r="G21" s="503"/>
      <c r="H21" s="497"/>
      <c r="I21" s="497"/>
      <c r="J21" s="220">
        <v>10</v>
      </c>
      <c r="K21" s="497">
        <v>0</v>
      </c>
      <c r="L21" s="497"/>
      <c r="M21" s="221" t="s">
        <v>499</v>
      </c>
    </row>
    <row r="22" spans="1:13">
      <c r="A22" s="214" t="s">
        <v>496</v>
      </c>
      <c r="B22" s="387" t="s">
        <v>502</v>
      </c>
      <c r="C22" s="387"/>
      <c r="D22" s="387"/>
      <c r="E22" s="387"/>
      <c r="F22" s="274">
        <v>2</v>
      </c>
      <c r="G22" s="274"/>
      <c r="H22" s="324">
        <v>4</v>
      </c>
      <c r="I22" s="324"/>
      <c r="J22" s="219">
        <v>100</v>
      </c>
      <c r="K22" s="324">
        <v>5</v>
      </c>
      <c r="L22" s="324"/>
      <c r="M22" s="173"/>
    </row>
    <row r="23" spans="1:13">
      <c r="A23" s="214" t="s">
        <v>500</v>
      </c>
      <c r="B23" s="387" t="s">
        <v>502</v>
      </c>
      <c r="C23" s="387"/>
      <c r="D23" s="387"/>
      <c r="E23" s="387"/>
      <c r="F23" s="274">
        <v>2</v>
      </c>
      <c r="G23" s="274"/>
      <c r="H23" s="324">
        <v>4</v>
      </c>
      <c r="I23" s="324"/>
      <c r="J23" s="219">
        <v>100</v>
      </c>
      <c r="K23" s="324">
        <v>5</v>
      </c>
      <c r="L23" s="324"/>
      <c r="M23" s="173"/>
    </row>
    <row r="24" spans="1:13">
      <c r="A24" s="215" t="s">
        <v>503</v>
      </c>
      <c r="B24" s="502" t="s">
        <v>504</v>
      </c>
      <c r="C24" s="502"/>
      <c r="D24" s="502"/>
      <c r="E24" s="502"/>
      <c r="F24" s="503" t="s">
        <v>498</v>
      </c>
      <c r="G24" s="503"/>
      <c r="H24" s="497"/>
      <c r="I24" s="497"/>
      <c r="J24" s="220">
        <v>50</v>
      </c>
      <c r="K24" s="497">
        <v>2</v>
      </c>
      <c r="L24" s="497"/>
      <c r="M24" s="221" t="s">
        <v>499</v>
      </c>
    </row>
    <row r="25" spans="1:13">
      <c r="A25" s="215" t="s">
        <v>496</v>
      </c>
      <c r="B25" s="502" t="s">
        <v>504</v>
      </c>
      <c r="C25" s="502"/>
      <c r="D25" s="502"/>
      <c r="E25" s="502"/>
      <c r="F25" s="503" t="s">
        <v>498</v>
      </c>
      <c r="G25" s="503"/>
      <c r="H25" s="497"/>
      <c r="I25" s="497"/>
      <c r="J25" s="220">
        <v>50</v>
      </c>
      <c r="K25" s="497">
        <v>2</v>
      </c>
      <c r="L25" s="497"/>
      <c r="M25" s="221" t="s">
        <v>499</v>
      </c>
    </row>
    <row r="26" spans="1:13">
      <c r="A26" s="214" t="s">
        <v>496</v>
      </c>
      <c r="B26" s="387" t="s">
        <v>505</v>
      </c>
      <c r="C26" s="387"/>
      <c r="D26" s="387"/>
      <c r="E26" s="387"/>
      <c r="F26" s="274" t="s">
        <v>498</v>
      </c>
      <c r="G26" s="274"/>
      <c r="H26" s="324"/>
      <c r="I26" s="324"/>
      <c r="J26" s="219">
        <v>30</v>
      </c>
      <c r="K26" s="324">
        <v>3</v>
      </c>
      <c r="L26" s="324"/>
      <c r="M26" s="173" t="s">
        <v>499</v>
      </c>
    </row>
    <row r="27" spans="1:13">
      <c r="A27" s="214" t="s">
        <v>500</v>
      </c>
      <c r="B27" s="387" t="s">
        <v>505</v>
      </c>
      <c r="C27" s="387"/>
      <c r="D27" s="387"/>
      <c r="E27" s="387"/>
      <c r="F27" s="274" t="s">
        <v>498</v>
      </c>
      <c r="G27" s="274"/>
      <c r="H27" s="324"/>
      <c r="I27" s="324"/>
      <c r="J27" s="219">
        <v>30</v>
      </c>
      <c r="K27" s="324">
        <v>3</v>
      </c>
      <c r="L27" s="324"/>
      <c r="M27" s="173" t="s">
        <v>499</v>
      </c>
    </row>
    <row r="28" spans="1:13">
      <c r="A28" s="215" t="s">
        <v>496</v>
      </c>
      <c r="B28" s="502" t="s">
        <v>506</v>
      </c>
      <c r="C28" s="502"/>
      <c r="D28" s="502"/>
      <c r="E28" s="502"/>
      <c r="F28" s="503">
        <v>5</v>
      </c>
      <c r="G28" s="503"/>
      <c r="H28" s="497">
        <v>3</v>
      </c>
      <c r="I28" s="497"/>
      <c r="J28" s="220">
        <v>1300</v>
      </c>
      <c r="K28" s="497">
        <v>20</v>
      </c>
      <c r="L28" s="497"/>
      <c r="M28" s="221"/>
    </row>
    <row r="29" spans="1:13">
      <c r="A29" s="215" t="s">
        <v>500</v>
      </c>
      <c r="B29" s="502" t="s">
        <v>506</v>
      </c>
      <c r="C29" s="502"/>
      <c r="D29" s="502"/>
      <c r="E29" s="502"/>
      <c r="F29" s="503">
        <v>5</v>
      </c>
      <c r="G29" s="503"/>
      <c r="H29" s="497">
        <v>3</v>
      </c>
      <c r="I29" s="497"/>
      <c r="J29" s="220">
        <v>1300</v>
      </c>
      <c r="K29" s="497">
        <v>20</v>
      </c>
      <c r="L29" s="497"/>
      <c r="M29" s="221"/>
    </row>
    <row r="30" spans="1:13">
      <c r="A30" s="214" t="s">
        <v>496</v>
      </c>
      <c r="B30" s="387" t="s">
        <v>507</v>
      </c>
      <c r="C30" s="387"/>
      <c r="D30" s="387"/>
      <c r="E30" s="387"/>
      <c r="F30" s="274" t="s">
        <v>508</v>
      </c>
      <c r="G30" s="274"/>
      <c r="H30" s="324">
        <v>3</v>
      </c>
      <c r="I30" s="324"/>
      <c r="J30" s="219">
        <v>400</v>
      </c>
      <c r="K30" s="324">
        <v>10</v>
      </c>
      <c r="L30" s="324"/>
      <c r="M30" s="173" t="s">
        <v>509</v>
      </c>
    </row>
    <row r="31" spans="1:13">
      <c r="A31" s="215" t="s">
        <v>496</v>
      </c>
      <c r="B31" s="502" t="s">
        <v>510</v>
      </c>
      <c r="C31" s="502"/>
      <c r="D31" s="502"/>
      <c r="E31" s="502"/>
      <c r="F31" s="503">
        <v>3</v>
      </c>
      <c r="G31" s="503"/>
      <c r="H31" s="497">
        <v>4</v>
      </c>
      <c r="I31" s="497"/>
      <c r="J31" s="220">
        <v>150</v>
      </c>
      <c r="K31" s="497">
        <v>7.5</v>
      </c>
      <c r="L31" s="497"/>
      <c r="M31" s="221"/>
    </row>
    <row r="32" spans="1:13">
      <c r="A32" s="214" t="s">
        <v>496</v>
      </c>
      <c r="B32" s="387" t="s">
        <v>511</v>
      </c>
      <c r="C32" s="387"/>
      <c r="D32" s="387"/>
      <c r="E32" s="387"/>
      <c r="F32" s="274">
        <v>5</v>
      </c>
      <c r="G32" s="274"/>
      <c r="H32" s="324">
        <v>3</v>
      </c>
      <c r="I32" s="324"/>
      <c r="J32" s="219">
        <v>680</v>
      </c>
      <c r="K32" s="324">
        <v>13</v>
      </c>
      <c r="L32" s="324"/>
      <c r="M32" s="173"/>
    </row>
    <row r="33" spans="1:13">
      <c r="A33" s="215" t="s">
        <v>496</v>
      </c>
      <c r="B33" s="502" t="s">
        <v>512</v>
      </c>
      <c r="C33" s="502"/>
      <c r="D33" s="502"/>
      <c r="E33" s="502"/>
      <c r="F33" s="503" t="s">
        <v>480</v>
      </c>
      <c r="G33" s="503"/>
      <c r="H33" s="497">
        <v>4</v>
      </c>
      <c r="I33" s="497"/>
      <c r="J33" s="220">
        <v>150</v>
      </c>
      <c r="K33" s="497">
        <v>8</v>
      </c>
      <c r="L33" s="497"/>
      <c r="M33" s="221" t="s">
        <v>513</v>
      </c>
    </row>
    <row r="34" spans="1:13">
      <c r="A34" s="214" t="s">
        <v>496</v>
      </c>
      <c r="B34" s="387" t="s">
        <v>514</v>
      </c>
      <c r="C34" s="387"/>
      <c r="D34" s="387"/>
      <c r="E34" s="387"/>
      <c r="F34" s="274" t="s">
        <v>480</v>
      </c>
      <c r="G34" s="274"/>
      <c r="H34" s="324">
        <v>3</v>
      </c>
      <c r="I34" s="324"/>
      <c r="J34" s="219">
        <v>230</v>
      </c>
      <c r="K34" s="324">
        <v>12.5</v>
      </c>
      <c r="L34" s="324"/>
      <c r="M34" s="173" t="s">
        <v>481</v>
      </c>
    </row>
    <row r="35" spans="1:13">
      <c r="A35" s="214" t="s">
        <v>500</v>
      </c>
      <c r="B35" s="387" t="s">
        <v>514</v>
      </c>
      <c r="C35" s="387"/>
      <c r="D35" s="387"/>
      <c r="E35" s="387"/>
      <c r="F35" s="274" t="s">
        <v>480</v>
      </c>
      <c r="G35" s="274"/>
      <c r="H35" s="324">
        <v>3</v>
      </c>
      <c r="I35" s="324"/>
      <c r="J35" s="219">
        <v>230</v>
      </c>
      <c r="K35" s="324">
        <v>12.5</v>
      </c>
      <c r="L35" s="324"/>
      <c r="M35" s="173" t="s">
        <v>481</v>
      </c>
    </row>
    <row r="36" spans="1:13">
      <c r="A36" s="215" t="s">
        <v>496</v>
      </c>
      <c r="B36" s="502" t="s">
        <v>515</v>
      </c>
      <c r="C36" s="502"/>
      <c r="D36" s="502"/>
      <c r="E36" s="502"/>
      <c r="F36" s="503">
        <v>4</v>
      </c>
      <c r="G36" s="503"/>
      <c r="H36" s="497">
        <v>3</v>
      </c>
      <c r="I36" s="497"/>
      <c r="J36" s="220">
        <v>420</v>
      </c>
      <c r="K36" s="497">
        <v>17.5</v>
      </c>
      <c r="L36" s="497"/>
      <c r="M36" s="221"/>
    </row>
    <row r="37" spans="1:13">
      <c r="A37" s="215" t="s">
        <v>500</v>
      </c>
      <c r="B37" s="502" t="s">
        <v>515</v>
      </c>
      <c r="C37" s="502"/>
      <c r="D37" s="502"/>
      <c r="E37" s="502"/>
      <c r="F37" s="503">
        <v>4</v>
      </c>
      <c r="G37" s="503"/>
      <c r="H37" s="497">
        <v>3</v>
      </c>
      <c r="I37" s="497"/>
      <c r="J37" s="220">
        <v>420</v>
      </c>
      <c r="K37" s="497">
        <v>17.5</v>
      </c>
      <c r="L37" s="497"/>
      <c r="M37" s="221"/>
    </row>
    <row r="38" spans="1:13">
      <c r="A38" s="214" t="s">
        <v>496</v>
      </c>
      <c r="B38" s="387" t="s">
        <v>516</v>
      </c>
      <c r="C38" s="387"/>
      <c r="D38" s="387"/>
      <c r="E38" s="387"/>
      <c r="F38" s="274">
        <v>7</v>
      </c>
      <c r="G38" s="274"/>
      <c r="H38" s="324">
        <v>3</v>
      </c>
      <c r="I38" s="324"/>
      <c r="J38" s="219">
        <v>2300</v>
      </c>
      <c r="K38" s="324">
        <v>22.5</v>
      </c>
      <c r="L38" s="324"/>
      <c r="M38" s="173"/>
    </row>
    <row r="39" spans="1:13">
      <c r="A39" s="214" t="s">
        <v>500</v>
      </c>
      <c r="B39" s="387" t="s">
        <v>516</v>
      </c>
      <c r="C39" s="387"/>
      <c r="D39" s="387"/>
      <c r="E39" s="387"/>
      <c r="F39" s="274">
        <v>7</v>
      </c>
      <c r="G39" s="274"/>
      <c r="H39" s="324">
        <v>3</v>
      </c>
      <c r="I39" s="324"/>
      <c r="J39" s="219">
        <v>2300</v>
      </c>
      <c r="K39" s="324">
        <v>22.5</v>
      </c>
      <c r="L39" s="324"/>
      <c r="M39" s="173"/>
    </row>
    <row r="40" spans="1:13">
      <c r="A40" s="215" t="s">
        <v>496</v>
      </c>
      <c r="B40" s="502" t="s">
        <v>517</v>
      </c>
      <c r="C40" s="502"/>
      <c r="D40" s="502"/>
      <c r="E40" s="502"/>
      <c r="F40" s="503">
        <v>6</v>
      </c>
      <c r="G40" s="503"/>
      <c r="H40" s="497">
        <v>3</v>
      </c>
      <c r="I40" s="497"/>
      <c r="J40" s="220">
        <v>1300</v>
      </c>
      <c r="K40" s="497">
        <v>17.5</v>
      </c>
      <c r="L40" s="497"/>
      <c r="M40" s="221"/>
    </row>
    <row r="41" spans="1:13">
      <c r="A41" s="215" t="s">
        <v>500</v>
      </c>
      <c r="B41" s="502" t="s">
        <v>517</v>
      </c>
      <c r="C41" s="502"/>
      <c r="D41" s="502"/>
      <c r="E41" s="502"/>
      <c r="F41" s="503">
        <v>6</v>
      </c>
      <c r="G41" s="503"/>
      <c r="H41" s="497">
        <v>3</v>
      </c>
      <c r="I41" s="497"/>
      <c r="J41" s="220">
        <v>1300</v>
      </c>
      <c r="K41" s="497">
        <v>17.5</v>
      </c>
      <c r="L41" s="497"/>
      <c r="M41" s="221"/>
    </row>
    <row r="42" spans="1:13">
      <c r="A42" s="214" t="s">
        <v>496</v>
      </c>
      <c r="B42" s="387" t="s">
        <v>518</v>
      </c>
      <c r="C42" s="387"/>
      <c r="D42" s="387"/>
      <c r="E42" s="387"/>
      <c r="F42" s="274" t="s">
        <v>519</v>
      </c>
      <c r="G42" s="274"/>
      <c r="H42" s="324">
        <v>3</v>
      </c>
      <c r="I42" s="324"/>
      <c r="J42" s="219">
        <v>500</v>
      </c>
      <c r="K42" s="324">
        <v>9</v>
      </c>
      <c r="L42" s="324"/>
      <c r="M42" s="173" t="s">
        <v>509</v>
      </c>
    </row>
    <row r="43" spans="1:13">
      <c r="A43" s="215" t="s">
        <v>496</v>
      </c>
      <c r="B43" s="502" t="s">
        <v>520</v>
      </c>
      <c r="C43" s="502"/>
      <c r="D43" s="502"/>
      <c r="E43" s="502"/>
      <c r="F43" s="503" t="s">
        <v>521</v>
      </c>
      <c r="G43" s="503"/>
      <c r="H43" s="497">
        <v>3</v>
      </c>
      <c r="I43" s="497"/>
      <c r="J43" s="220">
        <v>520</v>
      </c>
      <c r="K43" s="497">
        <v>22</v>
      </c>
      <c r="L43" s="497"/>
      <c r="M43" s="221" t="s">
        <v>481</v>
      </c>
    </row>
    <row r="44" spans="1:13">
      <c r="A44" s="215" t="s">
        <v>500</v>
      </c>
      <c r="B44" s="502" t="s">
        <v>520</v>
      </c>
      <c r="C44" s="502"/>
      <c r="D44" s="502"/>
      <c r="E44" s="502"/>
      <c r="F44" s="503" t="s">
        <v>521</v>
      </c>
      <c r="G44" s="503"/>
      <c r="H44" s="497">
        <v>3</v>
      </c>
      <c r="I44" s="497"/>
      <c r="J44" s="220">
        <v>520</v>
      </c>
      <c r="K44" s="497">
        <v>22</v>
      </c>
      <c r="L44" s="497"/>
      <c r="M44" s="221" t="s">
        <v>481</v>
      </c>
    </row>
    <row r="45" spans="1:13">
      <c r="A45" s="214" t="s">
        <v>496</v>
      </c>
      <c r="B45" s="387" t="s">
        <v>522</v>
      </c>
      <c r="C45" s="387"/>
      <c r="D45" s="387"/>
      <c r="E45" s="387"/>
      <c r="F45" s="274">
        <v>5</v>
      </c>
      <c r="G45" s="274"/>
      <c r="H45" s="324">
        <v>3</v>
      </c>
      <c r="I45" s="324"/>
      <c r="J45" s="219">
        <v>900</v>
      </c>
      <c r="K45" s="324">
        <v>15</v>
      </c>
      <c r="L45" s="324"/>
      <c r="M45" s="173"/>
    </row>
    <row r="46" spans="1:13">
      <c r="A46" s="214" t="s">
        <v>500</v>
      </c>
      <c r="B46" s="387" t="s">
        <v>522</v>
      </c>
      <c r="C46" s="387"/>
      <c r="D46" s="387"/>
      <c r="E46" s="387"/>
      <c r="F46" s="274">
        <v>5</v>
      </c>
      <c r="G46" s="274"/>
      <c r="H46" s="324">
        <v>3</v>
      </c>
      <c r="I46" s="324"/>
      <c r="J46" s="219">
        <v>900</v>
      </c>
      <c r="K46" s="324">
        <v>15</v>
      </c>
      <c r="L46" s="324"/>
      <c r="M46" s="173"/>
    </row>
    <row r="47" spans="1:13">
      <c r="A47" s="215" t="s">
        <v>496</v>
      </c>
      <c r="B47" s="502" t="s">
        <v>523</v>
      </c>
      <c r="C47" s="502"/>
      <c r="D47" s="502"/>
      <c r="E47" s="502"/>
      <c r="F47" s="503" t="s">
        <v>524</v>
      </c>
      <c r="G47" s="503"/>
      <c r="H47" s="497">
        <v>4</v>
      </c>
      <c r="I47" s="497"/>
      <c r="J47" s="220">
        <v>210</v>
      </c>
      <c r="K47" s="497">
        <v>8</v>
      </c>
      <c r="L47" s="497"/>
      <c r="M47" s="221"/>
    </row>
    <row r="48" spans="1:13">
      <c r="A48" s="215" t="s">
        <v>500</v>
      </c>
      <c r="B48" s="502" t="s">
        <v>523</v>
      </c>
      <c r="C48" s="502"/>
      <c r="D48" s="502"/>
      <c r="E48" s="502"/>
      <c r="F48" s="503" t="s">
        <v>524</v>
      </c>
      <c r="G48" s="503"/>
      <c r="H48" s="497">
        <v>4</v>
      </c>
      <c r="I48" s="497"/>
      <c r="J48" s="220">
        <v>210</v>
      </c>
      <c r="K48" s="497">
        <v>8</v>
      </c>
      <c r="L48" s="497"/>
      <c r="M48" s="221"/>
    </row>
    <row r="49" spans="1:13">
      <c r="A49" s="215" t="s">
        <v>503</v>
      </c>
      <c r="B49" s="502" t="s">
        <v>523</v>
      </c>
      <c r="C49" s="502"/>
      <c r="D49" s="502"/>
      <c r="E49" s="502"/>
      <c r="F49" s="503" t="s">
        <v>524</v>
      </c>
      <c r="G49" s="503"/>
      <c r="H49" s="497">
        <v>4</v>
      </c>
      <c r="I49" s="497"/>
      <c r="J49" s="220">
        <v>210</v>
      </c>
      <c r="K49" s="497">
        <v>8</v>
      </c>
      <c r="L49" s="497"/>
      <c r="M49" s="221"/>
    </row>
    <row r="50" spans="1:13">
      <c r="A50" s="215" t="s">
        <v>525</v>
      </c>
      <c r="B50" s="502" t="s">
        <v>523</v>
      </c>
      <c r="C50" s="502"/>
      <c r="D50" s="502"/>
      <c r="E50" s="502"/>
      <c r="F50" s="503" t="s">
        <v>524</v>
      </c>
      <c r="G50" s="503"/>
      <c r="H50" s="497">
        <v>4</v>
      </c>
      <c r="I50" s="497"/>
      <c r="J50" s="220">
        <v>210</v>
      </c>
      <c r="K50" s="497">
        <v>8</v>
      </c>
      <c r="L50" s="497"/>
      <c r="M50" s="221"/>
    </row>
    <row r="51" spans="1:13">
      <c r="A51" s="214" t="s">
        <v>525</v>
      </c>
      <c r="B51" s="387" t="s">
        <v>526</v>
      </c>
      <c r="C51" s="387"/>
      <c r="D51" s="387"/>
      <c r="E51" s="387"/>
      <c r="F51" s="274" t="s">
        <v>498</v>
      </c>
      <c r="G51" s="274"/>
      <c r="H51" s="324"/>
      <c r="I51" s="324"/>
      <c r="J51" s="219">
        <v>40</v>
      </c>
      <c r="K51" s="324">
        <v>1</v>
      </c>
      <c r="L51" s="324"/>
      <c r="M51" s="173" t="s">
        <v>499</v>
      </c>
    </row>
    <row r="52" spans="1:13">
      <c r="A52" s="215" t="s">
        <v>525</v>
      </c>
      <c r="B52" s="502" t="s">
        <v>527</v>
      </c>
      <c r="C52" s="502"/>
      <c r="D52" s="502"/>
      <c r="E52" s="502"/>
      <c r="F52" s="503">
        <v>2</v>
      </c>
      <c r="G52" s="503"/>
      <c r="H52" s="497">
        <v>4</v>
      </c>
      <c r="I52" s="497"/>
      <c r="J52" s="220">
        <v>60</v>
      </c>
      <c r="K52" s="497">
        <v>2</v>
      </c>
      <c r="L52" s="497"/>
      <c r="M52" s="221"/>
    </row>
    <row r="53" spans="1:13">
      <c r="A53" s="214" t="s">
        <v>525</v>
      </c>
      <c r="B53" s="387" t="s">
        <v>528</v>
      </c>
      <c r="C53" s="387"/>
      <c r="D53" s="387"/>
      <c r="E53" s="387"/>
      <c r="F53" s="274" t="s">
        <v>498</v>
      </c>
      <c r="G53" s="274"/>
      <c r="H53" s="324"/>
      <c r="I53" s="324"/>
      <c r="J53" s="219">
        <v>40</v>
      </c>
      <c r="K53" s="324">
        <v>1.5</v>
      </c>
      <c r="L53" s="324"/>
      <c r="M53" s="173" t="s">
        <v>499</v>
      </c>
    </row>
    <row r="54" spans="1:13">
      <c r="A54" s="214" t="s">
        <v>500</v>
      </c>
      <c r="B54" s="387" t="s">
        <v>528</v>
      </c>
      <c r="C54" s="387"/>
      <c r="D54" s="387"/>
      <c r="E54" s="387"/>
      <c r="F54" s="274" t="s">
        <v>498</v>
      </c>
      <c r="G54" s="274"/>
      <c r="H54" s="324"/>
      <c r="I54" s="324"/>
      <c r="J54" s="219">
        <v>40</v>
      </c>
      <c r="K54" s="324">
        <v>1.5</v>
      </c>
      <c r="L54" s="324"/>
      <c r="M54" s="173" t="s">
        <v>499</v>
      </c>
    </row>
    <row r="55" spans="1:13">
      <c r="A55" s="215" t="s">
        <v>503</v>
      </c>
      <c r="B55" s="502" t="s">
        <v>529</v>
      </c>
      <c r="C55" s="502"/>
      <c r="D55" s="502"/>
      <c r="E55" s="502"/>
      <c r="F55" s="503">
        <v>2</v>
      </c>
      <c r="G55" s="503"/>
      <c r="H55" s="497">
        <v>4</v>
      </c>
      <c r="I55" s="497"/>
      <c r="J55" s="220">
        <v>50</v>
      </c>
      <c r="K55" s="497">
        <v>1</v>
      </c>
      <c r="L55" s="497"/>
      <c r="M55" s="221"/>
    </row>
    <row r="56" spans="1:13">
      <c r="A56" s="214" t="s">
        <v>525</v>
      </c>
      <c r="B56" s="387" t="s">
        <v>530</v>
      </c>
      <c r="C56" s="387"/>
      <c r="D56" s="387"/>
      <c r="E56" s="387"/>
      <c r="F56" s="274" t="s">
        <v>531</v>
      </c>
      <c r="G56" s="274"/>
      <c r="H56" s="324"/>
      <c r="I56" s="324"/>
      <c r="J56" s="219">
        <v>60</v>
      </c>
      <c r="K56" s="324">
        <v>2</v>
      </c>
      <c r="L56" s="324"/>
      <c r="M56" s="173" t="s">
        <v>481</v>
      </c>
    </row>
    <row r="57" spans="1:13">
      <c r="A57" s="214" t="s">
        <v>500</v>
      </c>
      <c r="B57" s="387" t="s">
        <v>530</v>
      </c>
      <c r="C57" s="387"/>
      <c r="D57" s="387"/>
      <c r="E57" s="387"/>
      <c r="F57" s="274" t="s">
        <v>531</v>
      </c>
      <c r="G57" s="274"/>
      <c r="H57" s="324"/>
      <c r="I57" s="324"/>
      <c r="J57" s="219">
        <v>60</v>
      </c>
      <c r="K57" s="324">
        <v>2</v>
      </c>
      <c r="L57" s="324"/>
      <c r="M57" s="173" t="s">
        <v>481</v>
      </c>
    </row>
    <row r="58" spans="1:13">
      <c r="A58" s="215" t="s">
        <v>503</v>
      </c>
      <c r="B58" s="502" t="s">
        <v>532</v>
      </c>
      <c r="C58" s="502"/>
      <c r="D58" s="502"/>
      <c r="E58" s="502"/>
      <c r="F58" s="503" t="s">
        <v>498</v>
      </c>
      <c r="G58" s="503"/>
      <c r="H58" s="497"/>
      <c r="I58" s="497"/>
      <c r="J58" s="220">
        <v>20</v>
      </c>
      <c r="K58" s="497">
        <v>1</v>
      </c>
      <c r="L58" s="497"/>
      <c r="M58" s="221" t="s">
        <v>499</v>
      </c>
    </row>
    <row r="59" spans="1:13">
      <c r="A59" s="214" t="s">
        <v>525</v>
      </c>
      <c r="B59" s="387" t="s">
        <v>533</v>
      </c>
      <c r="C59" s="387"/>
      <c r="D59" s="387"/>
      <c r="E59" s="387"/>
      <c r="F59" s="274">
        <v>3</v>
      </c>
      <c r="G59" s="274"/>
      <c r="H59" s="324">
        <v>4</v>
      </c>
      <c r="I59" s="324"/>
      <c r="J59" s="219">
        <v>270</v>
      </c>
      <c r="K59" s="324">
        <v>8.5</v>
      </c>
      <c r="L59" s="324"/>
      <c r="M59" s="173"/>
    </row>
    <row r="60" spans="1:13">
      <c r="A60" s="215" t="s">
        <v>503</v>
      </c>
      <c r="B60" s="502" t="s">
        <v>534</v>
      </c>
      <c r="C60" s="502"/>
      <c r="D60" s="502"/>
      <c r="E60" s="502"/>
      <c r="F60" s="503">
        <v>3</v>
      </c>
      <c r="G60" s="503"/>
      <c r="H60" s="497">
        <v>4</v>
      </c>
      <c r="I60" s="497"/>
      <c r="J60" s="220">
        <v>180</v>
      </c>
      <c r="K60" s="497">
        <v>4.5</v>
      </c>
      <c r="L60" s="497"/>
      <c r="M60" s="221"/>
    </row>
    <row r="61" spans="1:13">
      <c r="A61" s="214" t="s">
        <v>525</v>
      </c>
      <c r="B61" s="387" t="s">
        <v>535</v>
      </c>
      <c r="C61" s="387"/>
      <c r="D61" s="387"/>
      <c r="E61" s="387"/>
      <c r="F61" s="274" t="s">
        <v>480</v>
      </c>
      <c r="G61" s="274"/>
      <c r="H61" s="324">
        <v>3</v>
      </c>
      <c r="I61" s="324"/>
      <c r="J61" s="219">
        <v>110</v>
      </c>
      <c r="K61" s="324">
        <v>7.5</v>
      </c>
      <c r="L61" s="324"/>
      <c r="M61" s="173" t="s">
        <v>481</v>
      </c>
    </row>
    <row r="62" spans="1:13">
      <c r="A62" s="215" t="s">
        <v>503</v>
      </c>
      <c r="B62" s="502" t="s">
        <v>536</v>
      </c>
      <c r="C62" s="502"/>
      <c r="D62" s="502"/>
      <c r="E62" s="502"/>
      <c r="F62" s="503" t="s">
        <v>480</v>
      </c>
      <c r="G62" s="503"/>
      <c r="H62" s="497">
        <v>3</v>
      </c>
      <c r="I62" s="497"/>
      <c r="J62" s="220">
        <v>70</v>
      </c>
      <c r="K62" s="497">
        <v>4.5</v>
      </c>
      <c r="L62" s="497"/>
      <c r="M62" s="221" t="s">
        <v>481</v>
      </c>
    </row>
    <row r="63" spans="1:13">
      <c r="A63" s="214" t="s">
        <v>525</v>
      </c>
      <c r="B63" s="387" t="s">
        <v>537</v>
      </c>
      <c r="C63" s="387"/>
      <c r="D63" s="387"/>
      <c r="E63" s="387"/>
      <c r="F63" s="274">
        <v>4</v>
      </c>
      <c r="G63" s="274"/>
      <c r="H63" s="324">
        <v>3</v>
      </c>
      <c r="I63" s="324"/>
      <c r="J63" s="219">
        <v>250</v>
      </c>
      <c r="K63" s="324">
        <v>10.5</v>
      </c>
      <c r="L63" s="324"/>
      <c r="M63" s="173"/>
    </row>
    <row r="64" spans="1:13">
      <c r="A64" s="215" t="s">
        <v>503</v>
      </c>
      <c r="B64" s="502" t="s">
        <v>538</v>
      </c>
      <c r="C64" s="502"/>
      <c r="D64" s="502"/>
      <c r="E64" s="502"/>
      <c r="F64" s="503">
        <v>4</v>
      </c>
      <c r="G64" s="503"/>
      <c r="H64" s="497">
        <v>3</v>
      </c>
      <c r="I64" s="497"/>
      <c r="J64" s="220">
        <v>210</v>
      </c>
      <c r="K64" s="497">
        <v>7</v>
      </c>
      <c r="L64" s="497"/>
      <c r="M64" s="221"/>
    </row>
    <row r="65" spans="1:13">
      <c r="A65" s="214" t="s">
        <v>525</v>
      </c>
      <c r="B65" s="387" t="s">
        <v>539</v>
      </c>
      <c r="C65" s="387"/>
      <c r="D65" s="387"/>
      <c r="E65" s="387"/>
      <c r="F65" s="274">
        <v>7</v>
      </c>
      <c r="G65" s="274"/>
      <c r="H65" s="324">
        <v>3</v>
      </c>
      <c r="I65" s="324"/>
      <c r="J65" s="219">
        <v>1600</v>
      </c>
      <c r="K65" s="324">
        <v>12.5</v>
      </c>
      <c r="L65" s="324"/>
      <c r="M65" s="173"/>
    </row>
    <row r="66" spans="1:13">
      <c r="A66" s="215" t="s">
        <v>503</v>
      </c>
      <c r="B66" s="502" t="s">
        <v>540</v>
      </c>
      <c r="C66" s="502"/>
      <c r="D66" s="502"/>
      <c r="E66" s="502"/>
      <c r="F66" s="503">
        <v>7</v>
      </c>
      <c r="G66" s="503"/>
      <c r="H66" s="497">
        <v>3</v>
      </c>
      <c r="I66" s="497"/>
      <c r="J66" s="220">
        <v>1500</v>
      </c>
      <c r="K66" s="497">
        <v>10</v>
      </c>
      <c r="L66" s="497"/>
      <c r="M66" s="221"/>
    </row>
    <row r="67" spans="1:13">
      <c r="A67" s="214" t="s">
        <v>525</v>
      </c>
      <c r="B67" s="387" t="s">
        <v>541</v>
      </c>
      <c r="C67" s="387"/>
      <c r="D67" s="387"/>
      <c r="E67" s="387"/>
      <c r="F67" s="274">
        <v>6</v>
      </c>
      <c r="G67" s="274"/>
      <c r="H67" s="324">
        <v>3</v>
      </c>
      <c r="I67" s="324"/>
      <c r="J67" s="219">
        <v>1100</v>
      </c>
      <c r="K67" s="324">
        <v>10</v>
      </c>
      <c r="L67" s="324"/>
      <c r="M67" s="173"/>
    </row>
    <row r="68" spans="1:13">
      <c r="A68" s="215" t="s">
        <v>503</v>
      </c>
      <c r="B68" s="502" t="s">
        <v>542</v>
      </c>
      <c r="C68" s="502"/>
      <c r="D68" s="502"/>
      <c r="E68" s="502"/>
      <c r="F68" s="503">
        <v>6</v>
      </c>
      <c r="G68" s="503"/>
      <c r="H68" s="497">
        <v>3</v>
      </c>
      <c r="I68" s="497"/>
      <c r="J68" s="220">
        <v>1000</v>
      </c>
      <c r="K68" s="497">
        <v>7.5</v>
      </c>
      <c r="L68" s="497"/>
      <c r="M68" s="221"/>
    </row>
    <row r="69" spans="1:13">
      <c r="A69" s="214" t="s">
        <v>543</v>
      </c>
      <c r="B69" s="387" t="s">
        <v>544</v>
      </c>
      <c r="C69" s="387"/>
      <c r="D69" s="387"/>
      <c r="E69" s="387"/>
      <c r="F69" s="274" t="s">
        <v>524</v>
      </c>
      <c r="G69" s="274"/>
      <c r="H69" s="324"/>
      <c r="I69" s="324"/>
      <c r="J69" s="219">
        <v>30</v>
      </c>
      <c r="K69" s="324">
        <v>0</v>
      </c>
      <c r="L69" s="324"/>
      <c r="M69" s="173"/>
    </row>
    <row r="70" spans="1:13">
      <c r="A70" s="215" t="s">
        <v>543</v>
      </c>
      <c r="B70" s="502" t="s">
        <v>545</v>
      </c>
      <c r="C70" s="502"/>
      <c r="D70" s="502"/>
      <c r="E70" s="502"/>
      <c r="F70" s="503" t="s">
        <v>498</v>
      </c>
      <c r="G70" s="503"/>
      <c r="H70" s="497"/>
      <c r="I70" s="497"/>
      <c r="J70" s="220">
        <v>15</v>
      </c>
      <c r="K70" s="497">
        <v>0</v>
      </c>
      <c r="L70" s="497"/>
      <c r="M70" s="221" t="s">
        <v>499</v>
      </c>
    </row>
    <row r="71" spans="1:13">
      <c r="A71" s="214" t="s">
        <v>543</v>
      </c>
      <c r="B71" s="387" t="s">
        <v>546</v>
      </c>
      <c r="C71" s="387"/>
      <c r="D71" s="387"/>
      <c r="E71" s="387"/>
      <c r="F71" s="274">
        <v>4</v>
      </c>
      <c r="G71" s="274"/>
      <c r="H71" s="324">
        <v>4</v>
      </c>
      <c r="I71" s="324"/>
      <c r="J71" s="219">
        <v>100</v>
      </c>
      <c r="K71" s="324">
        <v>1</v>
      </c>
      <c r="L71" s="324"/>
      <c r="M71" s="173"/>
    </row>
    <row r="72" spans="1:13">
      <c r="A72" s="215" t="s">
        <v>543</v>
      </c>
      <c r="B72" s="502" t="s">
        <v>547</v>
      </c>
      <c r="C72" s="502"/>
      <c r="D72" s="502"/>
      <c r="E72" s="502"/>
      <c r="F72" s="503">
        <v>5</v>
      </c>
      <c r="G72" s="503"/>
      <c r="H72" s="497">
        <v>3</v>
      </c>
      <c r="I72" s="497"/>
      <c r="J72" s="220">
        <v>250</v>
      </c>
      <c r="K72" s="497">
        <v>1.2</v>
      </c>
      <c r="L72" s="497"/>
      <c r="M72" s="221"/>
    </row>
    <row r="73" spans="1:13">
      <c r="A73" s="214" t="s">
        <v>548</v>
      </c>
      <c r="B73" s="387" t="s">
        <v>549</v>
      </c>
      <c r="C73" s="387"/>
      <c r="D73" s="387"/>
      <c r="E73" s="387"/>
      <c r="F73" s="274">
        <v>0</v>
      </c>
      <c r="G73" s="274"/>
      <c r="H73" s="324"/>
      <c r="I73" s="324"/>
      <c r="J73" s="219">
        <v>25</v>
      </c>
      <c r="K73" s="324">
        <v>0.2</v>
      </c>
      <c r="L73" s="324"/>
      <c r="M73" s="173" t="s">
        <v>550</v>
      </c>
    </row>
    <row r="74" spans="1:13">
      <c r="A74" s="215" t="s">
        <v>548</v>
      </c>
      <c r="B74" s="502" t="s">
        <v>551</v>
      </c>
      <c r="C74" s="502"/>
      <c r="D74" s="502"/>
      <c r="E74" s="502"/>
      <c r="F74" s="503" t="s">
        <v>552</v>
      </c>
      <c r="G74" s="503"/>
      <c r="H74" s="497"/>
      <c r="I74" s="497"/>
      <c r="J74" s="220">
        <v>40</v>
      </c>
      <c r="K74" s="497">
        <v>1</v>
      </c>
      <c r="L74" s="497"/>
      <c r="M74" s="221" t="s">
        <v>553</v>
      </c>
    </row>
    <row r="75" spans="1:13">
      <c r="A75" s="214" t="s">
        <v>548</v>
      </c>
      <c r="B75" s="387" t="s">
        <v>554</v>
      </c>
      <c r="C75" s="387"/>
      <c r="D75" s="387"/>
      <c r="E75" s="387"/>
      <c r="F75" s="274" t="s">
        <v>555</v>
      </c>
      <c r="G75" s="274"/>
      <c r="H75" s="324"/>
      <c r="I75" s="324"/>
      <c r="J75" s="219">
        <v>80</v>
      </c>
      <c r="K75" s="324">
        <v>1.5</v>
      </c>
      <c r="L75" s="324"/>
      <c r="M75" s="173" t="s">
        <v>553</v>
      </c>
    </row>
    <row r="76" spans="1:13" ht="17.25" thickBot="1">
      <c r="A76" s="216" t="s">
        <v>548</v>
      </c>
      <c r="B76" s="499" t="s">
        <v>556</v>
      </c>
      <c r="C76" s="499"/>
      <c r="D76" s="499"/>
      <c r="E76" s="499"/>
      <c r="F76" s="500">
        <v>4</v>
      </c>
      <c r="G76" s="500"/>
      <c r="H76" s="501">
        <v>3</v>
      </c>
      <c r="I76" s="501"/>
      <c r="J76" s="217">
        <v>150</v>
      </c>
      <c r="K76" s="501">
        <v>3.5</v>
      </c>
      <c r="L76" s="501"/>
      <c r="M76" s="218"/>
    </row>
  </sheetData>
  <mergeCells count="304">
    <mergeCell ref="B67:E67"/>
    <mergeCell ref="F67:G67"/>
    <mergeCell ref="H67:I67"/>
    <mergeCell ref="K67:L67"/>
    <mergeCell ref="B68:E68"/>
    <mergeCell ref="F68:G68"/>
    <mergeCell ref="H68:I68"/>
    <mergeCell ref="K68:L68"/>
    <mergeCell ref="B65:E65"/>
    <mergeCell ref="F65:G65"/>
    <mergeCell ref="H65:I65"/>
    <mergeCell ref="K65:L65"/>
    <mergeCell ref="B66:E66"/>
    <mergeCell ref="F66:G66"/>
    <mergeCell ref="H66:I66"/>
    <mergeCell ref="K66:L66"/>
    <mergeCell ref="B63:E63"/>
    <mergeCell ref="F63:G63"/>
    <mergeCell ref="H63:I63"/>
    <mergeCell ref="K63:L63"/>
    <mergeCell ref="B64:E64"/>
    <mergeCell ref="F64:G64"/>
    <mergeCell ref="H64:I64"/>
    <mergeCell ref="K64:L64"/>
    <mergeCell ref="B61:E61"/>
    <mergeCell ref="F61:G61"/>
    <mergeCell ref="H61:I61"/>
    <mergeCell ref="K61:L61"/>
    <mergeCell ref="B62:E62"/>
    <mergeCell ref="F62:G62"/>
    <mergeCell ref="H62:I62"/>
    <mergeCell ref="K62:L62"/>
    <mergeCell ref="B59:E59"/>
    <mergeCell ref="F59:G59"/>
    <mergeCell ref="H59:I59"/>
    <mergeCell ref="K59:L59"/>
    <mergeCell ref="B60:E60"/>
    <mergeCell ref="F60:G60"/>
    <mergeCell ref="H60:I60"/>
    <mergeCell ref="K60:L60"/>
    <mergeCell ref="K55:L55"/>
    <mergeCell ref="K56:L56"/>
    <mergeCell ref="K57:L57"/>
    <mergeCell ref="B58:E58"/>
    <mergeCell ref="F58:G58"/>
    <mergeCell ref="H58:I58"/>
    <mergeCell ref="K58:L58"/>
    <mergeCell ref="B57:E57"/>
    <mergeCell ref="F57:G57"/>
    <mergeCell ref="H57:I57"/>
    <mergeCell ref="K49:L49"/>
    <mergeCell ref="K50:L50"/>
    <mergeCell ref="K51:L51"/>
    <mergeCell ref="K52:L52"/>
    <mergeCell ref="K53:L53"/>
    <mergeCell ref="K54:L54"/>
    <mergeCell ref="B56:E56"/>
    <mergeCell ref="F56:G56"/>
    <mergeCell ref="H56:I56"/>
    <mergeCell ref="B54:E54"/>
    <mergeCell ref="F54:G54"/>
    <mergeCell ref="H54:I54"/>
    <mergeCell ref="B55:E55"/>
    <mergeCell ref="F55:G55"/>
    <mergeCell ref="H55:I55"/>
    <mergeCell ref="B52:E52"/>
    <mergeCell ref="F52:G52"/>
    <mergeCell ref="H52:I52"/>
    <mergeCell ref="B53:E53"/>
    <mergeCell ref="F53:G53"/>
    <mergeCell ref="H53:I53"/>
    <mergeCell ref="B50:E50"/>
    <mergeCell ref="F50:G50"/>
    <mergeCell ref="H50:I50"/>
    <mergeCell ref="K43:L43"/>
    <mergeCell ref="K44:L44"/>
    <mergeCell ref="K45:L45"/>
    <mergeCell ref="K46:L46"/>
    <mergeCell ref="K47:L47"/>
    <mergeCell ref="K48:L48"/>
    <mergeCell ref="K37:L37"/>
    <mergeCell ref="K38:L38"/>
    <mergeCell ref="K39:L39"/>
    <mergeCell ref="K40:L40"/>
    <mergeCell ref="K41:L41"/>
    <mergeCell ref="K42:L42"/>
    <mergeCell ref="K31:L31"/>
    <mergeCell ref="K32:L32"/>
    <mergeCell ref="K33:L33"/>
    <mergeCell ref="K34:L34"/>
    <mergeCell ref="K35:L35"/>
    <mergeCell ref="K36:L36"/>
    <mergeCell ref="K25:L25"/>
    <mergeCell ref="K26:L26"/>
    <mergeCell ref="K27:L27"/>
    <mergeCell ref="K28:L28"/>
    <mergeCell ref="K29:L29"/>
    <mergeCell ref="K30:L30"/>
    <mergeCell ref="K19:L19"/>
    <mergeCell ref="K20:L20"/>
    <mergeCell ref="K21:L21"/>
    <mergeCell ref="K22:L22"/>
    <mergeCell ref="K23:L23"/>
    <mergeCell ref="K24:L24"/>
    <mergeCell ref="K13:L13"/>
    <mergeCell ref="K14:L14"/>
    <mergeCell ref="K15:L15"/>
    <mergeCell ref="K16:L16"/>
    <mergeCell ref="K17:L17"/>
    <mergeCell ref="K18:L18"/>
    <mergeCell ref="K7:L7"/>
    <mergeCell ref="K8:L8"/>
    <mergeCell ref="K9:L9"/>
    <mergeCell ref="K10:L10"/>
    <mergeCell ref="K11:L11"/>
    <mergeCell ref="K12:L12"/>
    <mergeCell ref="K1:L1"/>
    <mergeCell ref="K2:L2"/>
    <mergeCell ref="K3:L3"/>
    <mergeCell ref="K4:L4"/>
    <mergeCell ref="K5:L5"/>
    <mergeCell ref="K6:L6"/>
    <mergeCell ref="B51:E51"/>
    <mergeCell ref="F51:G51"/>
    <mergeCell ref="H51:I51"/>
    <mergeCell ref="B48:E48"/>
    <mergeCell ref="F48:G48"/>
    <mergeCell ref="H48:I48"/>
    <mergeCell ref="B49:E49"/>
    <mergeCell ref="F49:G49"/>
    <mergeCell ref="H49:I49"/>
    <mergeCell ref="B46:E46"/>
    <mergeCell ref="F46:G46"/>
    <mergeCell ref="H46:I46"/>
    <mergeCell ref="B47:E47"/>
    <mergeCell ref="F47:G47"/>
    <mergeCell ref="H47:I47"/>
    <mergeCell ref="B44:E44"/>
    <mergeCell ref="F44:G44"/>
    <mergeCell ref="H44:I44"/>
    <mergeCell ref="B45:E45"/>
    <mergeCell ref="F45:G45"/>
    <mergeCell ref="H45:I45"/>
    <mergeCell ref="B42:E42"/>
    <mergeCell ref="F42:G42"/>
    <mergeCell ref="H42:I42"/>
    <mergeCell ref="B43:E43"/>
    <mergeCell ref="F43:G43"/>
    <mergeCell ref="H43:I43"/>
    <mergeCell ref="B40:E40"/>
    <mergeCell ref="F40:G40"/>
    <mergeCell ref="H40:I40"/>
    <mergeCell ref="B41:E41"/>
    <mergeCell ref="F41:G41"/>
    <mergeCell ref="H41:I41"/>
    <mergeCell ref="B38:E38"/>
    <mergeCell ref="F38:G38"/>
    <mergeCell ref="H38:I38"/>
    <mergeCell ref="B39:E39"/>
    <mergeCell ref="F39:G39"/>
    <mergeCell ref="H39:I39"/>
    <mergeCell ref="B36:E36"/>
    <mergeCell ref="F36:G36"/>
    <mergeCell ref="H36:I36"/>
    <mergeCell ref="B37:E37"/>
    <mergeCell ref="F37:G37"/>
    <mergeCell ref="H37:I37"/>
    <mergeCell ref="B34:E34"/>
    <mergeCell ref="F34:G34"/>
    <mergeCell ref="H34:I34"/>
    <mergeCell ref="B35:E35"/>
    <mergeCell ref="F35:G35"/>
    <mergeCell ref="H35:I35"/>
    <mergeCell ref="B32:E32"/>
    <mergeCell ref="F32:G32"/>
    <mergeCell ref="H32:I32"/>
    <mergeCell ref="B33:E33"/>
    <mergeCell ref="F33:G33"/>
    <mergeCell ref="H33:I33"/>
    <mergeCell ref="B30:E30"/>
    <mergeCell ref="F30:G30"/>
    <mergeCell ref="H30:I30"/>
    <mergeCell ref="B31:E31"/>
    <mergeCell ref="F31:G31"/>
    <mergeCell ref="H31:I31"/>
    <mergeCell ref="B28:E28"/>
    <mergeCell ref="F28:G28"/>
    <mergeCell ref="H28:I28"/>
    <mergeCell ref="B29:E29"/>
    <mergeCell ref="F29:G29"/>
    <mergeCell ref="H29:I29"/>
    <mergeCell ref="B26:E26"/>
    <mergeCell ref="F26:G26"/>
    <mergeCell ref="H26:I26"/>
    <mergeCell ref="B27:E27"/>
    <mergeCell ref="F27:G27"/>
    <mergeCell ref="H27:I27"/>
    <mergeCell ref="B24:E24"/>
    <mergeCell ref="F24:G24"/>
    <mergeCell ref="H24:I24"/>
    <mergeCell ref="B25:E25"/>
    <mergeCell ref="F25:G25"/>
    <mergeCell ref="H25:I25"/>
    <mergeCell ref="B22:E22"/>
    <mergeCell ref="F22:G22"/>
    <mergeCell ref="H22:I22"/>
    <mergeCell ref="B23:E23"/>
    <mergeCell ref="F23:G23"/>
    <mergeCell ref="H23:I23"/>
    <mergeCell ref="B20:E20"/>
    <mergeCell ref="F20:G20"/>
    <mergeCell ref="H20:I20"/>
    <mergeCell ref="B21:E21"/>
    <mergeCell ref="F21:G21"/>
    <mergeCell ref="H21:I21"/>
    <mergeCell ref="B18:E18"/>
    <mergeCell ref="F18:G18"/>
    <mergeCell ref="H18:I18"/>
    <mergeCell ref="B19:E19"/>
    <mergeCell ref="F19:G19"/>
    <mergeCell ref="H19:I19"/>
    <mergeCell ref="H12:I12"/>
    <mergeCell ref="H13:I13"/>
    <mergeCell ref="H14:I14"/>
    <mergeCell ref="H15:I15"/>
    <mergeCell ref="H16:I16"/>
    <mergeCell ref="F1:G1"/>
    <mergeCell ref="F2:G2"/>
    <mergeCell ref="F3:G3"/>
    <mergeCell ref="F4:G4"/>
    <mergeCell ref="F5:G5"/>
    <mergeCell ref="F6:G6"/>
    <mergeCell ref="H5:I5"/>
    <mergeCell ref="H6:I6"/>
    <mergeCell ref="H7:I7"/>
    <mergeCell ref="H1:I1"/>
    <mergeCell ref="H2:I2"/>
    <mergeCell ref="H3:I3"/>
    <mergeCell ref="H4:I4"/>
    <mergeCell ref="H11:I11"/>
    <mergeCell ref="B15:E15"/>
    <mergeCell ref="B13:E13"/>
    <mergeCell ref="B16:E16"/>
    <mergeCell ref="B17:E17"/>
    <mergeCell ref="B6:E6"/>
    <mergeCell ref="B7:E7"/>
    <mergeCell ref="B8:E8"/>
    <mergeCell ref="B9:E9"/>
    <mergeCell ref="F13:G13"/>
    <mergeCell ref="F14:G14"/>
    <mergeCell ref="F15:G15"/>
    <mergeCell ref="F16:G16"/>
    <mergeCell ref="F17:G17"/>
    <mergeCell ref="F12:G12"/>
    <mergeCell ref="F7:G7"/>
    <mergeCell ref="F8:G8"/>
    <mergeCell ref="F9:G9"/>
    <mergeCell ref="F10:G10"/>
    <mergeCell ref="F11:G11"/>
    <mergeCell ref="H8:I8"/>
    <mergeCell ref="H9:I9"/>
    <mergeCell ref="H10:I10"/>
    <mergeCell ref="H17:I17"/>
    <mergeCell ref="A1:E1"/>
    <mergeCell ref="B2:E2"/>
    <mergeCell ref="B3:E3"/>
    <mergeCell ref="B5:E5"/>
    <mergeCell ref="B4:E4"/>
    <mergeCell ref="B10:E10"/>
    <mergeCell ref="B11:E11"/>
    <mergeCell ref="B12:E12"/>
    <mergeCell ref="B14:E14"/>
    <mergeCell ref="B69:E69"/>
    <mergeCell ref="F69:G69"/>
    <mergeCell ref="H69:I69"/>
    <mergeCell ref="K69:L69"/>
    <mergeCell ref="B70:E70"/>
    <mergeCell ref="F70:G70"/>
    <mergeCell ref="H70:I70"/>
    <mergeCell ref="K70:L70"/>
    <mergeCell ref="B71:E71"/>
    <mergeCell ref="F71:G71"/>
    <mergeCell ref="H71:I71"/>
    <mergeCell ref="K71:L71"/>
    <mergeCell ref="B75:E75"/>
    <mergeCell ref="F75:G75"/>
    <mergeCell ref="H75:I75"/>
    <mergeCell ref="K75:L75"/>
    <mergeCell ref="B76:E76"/>
    <mergeCell ref="F76:G76"/>
    <mergeCell ref="H76:I76"/>
    <mergeCell ref="K76:L76"/>
    <mergeCell ref="B72:E72"/>
    <mergeCell ref="F72:G72"/>
    <mergeCell ref="H72:I72"/>
    <mergeCell ref="K72:L72"/>
    <mergeCell ref="B73:E73"/>
    <mergeCell ref="F73:G73"/>
    <mergeCell ref="H73:I73"/>
    <mergeCell ref="K73:L73"/>
    <mergeCell ref="B74:E74"/>
    <mergeCell ref="F74:G74"/>
    <mergeCell ref="H74:I74"/>
    <mergeCell ref="K74:L74"/>
  </mergeCells>
  <phoneticPr fontId="4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2"/>
  <sheetViews>
    <sheetView tabSelected="1" zoomScale="130" zoomScaleNormal="130" workbookViewId="0">
      <selection activeCell="U17" sqref="U17"/>
    </sheetView>
  </sheetViews>
  <sheetFormatPr defaultColWidth="15.125" defaultRowHeight="15" customHeight="1"/>
  <cols>
    <col min="2" max="2" width="5.625" customWidth="1"/>
    <col min="3" max="3" width="3.625" customWidth="1"/>
    <col min="4" max="4" width="5.625" customWidth="1"/>
    <col min="5" max="5" width="3.625" customWidth="1"/>
    <col min="6" max="6" width="5.625" customWidth="1"/>
    <col min="7" max="7" width="3.625" customWidth="1"/>
    <col min="8" max="8" width="5.625" customWidth="1"/>
    <col min="9" max="9" width="3.625" customWidth="1"/>
    <col min="10" max="10" width="3.125" customWidth="1"/>
    <col min="11" max="11" width="4.625" customWidth="1"/>
    <col min="12" max="12" width="3.125" customWidth="1"/>
    <col min="13" max="13" width="4.625" customWidth="1"/>
    <col min="14" max="14" width="3.125" customWidth="1"/>
    <col min="15" max="15" width="4.625" customWidth="1"/>
    <col min="16" max="16" width="6.875" customWidth="1"/>
    <col min="17" max="17" width="9.625" customWidth="1"/>
    <col min="18" max="18" width="8.5" customWidth="1"/>
    <col min="20" max="20" width="0" hidden="1" customWidth="1"/>
  </cols>
  <sheetData>
    <row r="1" spans="2:20" ht="17.25" thickBot="1">
      <c r="H1" s="92"/>
      <c r="P1" s="99"/>
      <c r="Q1" s="99"/>
      <c r="R1" s="99"/>
      <c r="T1" s="94" t="s">
        <v>189</v>
      </c>
    </row>
    <row r="2" spans="2:20" ht="21.75" thickTop="1" thickBot="1">
      <c r="B2" s="535" t="str">
        <f>Sheet1!C1</f>
        <v>바위 골렘</v>
      </c>
      <c r="C2" s="536"/>
      <c r="D2" s="536"/>
      <c r="E2" s="537"/>
      <c r="F2" s="129">
        <f>Sheet1!G20</f>
        <v>7</v>
      </c>
      <c r="G2" s="100"/>
      <c r="H2" s="128">
        <f>IF(Sheet1!T64&lt;=Sheet1!D24,Sheet1!E24,IF(Sheet1!T64&lt;=Sheet1!D25,Sheet1!E25,IF(Sheet1!T64&lt;=Sheet1!D26,Sheet1!E26,IF(Sheet1!T64&lt;=Sheet1!D27,Sheet1!E27,IF(Sheet1!T64&lt;=Sheet1!D28,Sheet1!E28,)))))</f>
        <v>7</v>
      </c>
      <c r="I2" s="109"/>
      <c r="J2" s="100"/>
      <c r="K2" s="110">
        <f>Sheet1!AD15</f>
        <v>12</v>
      </c>
      <c r="L2" s="100"/>
      <c r="M2" s="110">
        <f>Sheet1!Y21</f>
        <v>0</v>
      </c>
      <c r="N2" s="100"/>
      <c r="O2" s="112">
        <f>Sheet1!AC21</f>
        <v>13</v>
      </c>
      <c r="P2" s="511" t="s">
        <v>188</v>
      </c>
      <c r="Q2" s="512"/>
      <c r="R2" s="513"/>
      <c r="T2" s="126" t="str">
        <f>IF(M2=3,0,CONCATENATE(Sheet1!D71,"/",Sheet1!G71,"/",Sheet1!H71))</f>
        <v>//</v>
      </c>
    </row>
    <row r="3" spans="2:20" ht="33.75" customHeight="1" thickTop="1">
      <c r="B3" s="101"/>
      <c r="C3" s="102">
        <f>Sheet1!A6</f>
        <v>40</v>
      </c>
      <c r="D3" s="103"/>
      <c r="E3" s="104">
        <f>Sheet1!C6</f>
        <v>12</v>
      </c>
      <c r="F3" s="111"/>
      <c r="G3" s="105">
        <f>Sheet1!E6</f>
        <v>0</v>
      </c>
      <c r="H3" s="103"/>
      <c r="I3" s="116">
        <f>Sheet1!G6</f>
        <v>15</v>
      </c>
      <c r="J3" s="117"/>
      <c r="K3" s="118"/>
      <c r="L3" s="118"/>
      <c r="M3" s="118"/>
      <c r="N3" s="118"/>
      <c r="O3" s="119"/>
      <c r="P3" s="514" t="s">
        <v>638</v>
      </c>
      <c r="Q3" s="515"/>
      <c r="R3" s="516"/>
    </row>
    <row r="4" spans="2:20" ht="33.75" customHeight="1" thickBot="1">
      <c r="B4" s="106"/>
      <c r="C4" s="107">
        <f>Sheet1!A10</f>
        <v>60</v>
      </c>
      <c r="D4" s="108"/>
      <c r="E4" s="107">
        <f>Sheet1!C10</f>
        <v>0</v>
      </c>
      <c r="F4" s="108"/>
      <c r="G4" s="107">
        <f>Sheet1!E10</f>
        <v>13</v>
      </c>
      <c r="H4" s="108"/>
      <c r="I4" s="107">
        <f>Sheet1!G10</f>
        <v>15</v>
      </c>
      <c r="J4" s="113"/>
      <c r="K4" s="114"/>
      <c r="L4" s="114"/>
      <c r="M4" s="114"/>
      <c r="N4" s="114"/>
      <c r="O4" s="115"/>
      <c r="P4" s="517"/>
      <c r="Q4" s="518"/>
      <c r="R4" s="519"/>
    </row>
    <row r="5" spans="2:20" ht="15" customHeight="1" thickTop="1">
      <c r="B5" s="98"/>
      <c r="C5" s="95"/>
      <c r="D5" s="95"/>
      <c r="E5" s="95"/>
      <c r="F5" s="95"/>
      <c r="G5" s="95"/>
      <c r="H5" s="95"/>
      <c r="I5" s="95"/>
      <c r="J5" s="113"/>
      <c r="K5" s="114"/>
      <c r="L5" s="114"/>
      <c r="M5" s="114"/>
      <c r="N5" s="114"/>
      <c r="O5" s="115"/>
      <c r="P5" s="517"/>
      <c r="Q5" s="518"/>
      <c r="R5" s="519"/>
    </row>
    <row r="6" spans="2:20" ht="15" customHeight="1">
      <c r="B6" s="98"/>
      <c r="C6" s="95"/>
      <c r="D6" s="95"/>
      <c r="E6" s="95"/>
      <c r="F6" s="95"/>
      <c r="G6" s="95"/>
      <c r="H6" s="95"/>
      <c r="I6" s="95"/>
      <c r="J6" s="113"/>
      <c r="K6" s="114"/>
      <c r="L6" s="114"/>
      <c r="M6" s="114"/>
      <c r="N6" s="114"/>
      <c r="O6" s="115"/>
      <c r="P6" s="517"/>
      <c r="Q6" s="518"/>
      <c r="R6" s="519"/>
    </row>
    <row r="7" spans="2:20" ht="15" customHeight="1">
      <c r="B7" s="98"/>
      <c r="C7" s="95"/>
      <c r="D7" s="95"/>
      <c r="E7" s="96"/>
      <c r="F7" s="95"/>
      <c r="G7" s="96"/>
      <c r="H7" s="95"/>
      <c r="I7" s="96"/>
      <c r="J7" s="113"/>
      <c r="K7" s="114"/>
      <c r="L7" s="114"/>
      <c r="M7" s="114"/>
      <c r="N7" s="114"/>
      <c r="O7" s="115"/>
      <c r="P7" s="517"/>
      <c r="Q7" s="518"/>
      <c r="R7" s="519"/>
    </row>
    <row r="8" spans="2:20" ht="15" customHeight="1">
      <c r="B8" s="98"/>
      <c r="C8" s="95"/>
      <c r="D8" s="95"/>
      <c r="E8" s="95"/>
      <c r="F8" s="95"/>
      <c r="G8" s="95"/>
      <c r="H8" s="95"/>
      <c r="I8" s="95"/>
      <c r="J8" s="113"/>
      <c r="K8" s="114"/>
      <c r="L8" s="114"/>
      <c r="M8" s="114"/>
      <c r="N8" s="114"/>
      <c r="O8" s="115"/>
      <c r="P8" s="517"/>
      <c r="Q8" s="518"/>
      <c r="R8" s="519"/>
    </row>
    <row r="9" spans="2:20" ht="15" customHeight="1" thickBot="1">
      <c r="B9" s="98"/>
      <c r="C9" s="97"/>
      <c r="D9" s="95"/>
      <c r="E9" s="95"/>
      <c r="F9" s="95"/>
      <c r="G9" s="95"/>
      <c r="H9" s="95"/>
      <c r="I9" s="95"/>
      <c r="J9" s="120"/>
      <c r="K9" s="121"/>
      <c r="L9" s="121"/>
      <c r="M9" s="121"/>
      <c r="N9" s="121"/>
      <c r="O9" s="122"/>
      <c r="P9" s="520"/>
      <c r="Q9" s="521"/>
      <c r="R9" s="522"/>
    </row>
    <row r="10" spans="2:20" ht="15" customHeight="1" thickTop="1" thickBot="1">
      <c r="B10" s="98"/>
      <c r="C10" s="95"/>
      <c r="D10" s="95"/>
      <c r="E10" s="97"/>
      <c r="F10" s="95"/>
      <c r="G10" s="95"/>
      <c r="H10" s="95"/>
      <c r="I10" s="95"/>
      <c r="J10" s="525" t="s">
        <v>187</v>
      </c>
      <c r="K10" s="526"/>
      <c r="L10" s="182"/>
      <c r="M10" s="182"/>
      <c r="N10" s="183"/>
      <c r="O10" s="183"/>
      <c r="P10" s="183"/>
      <c r="Q10" s="184"/>
      <c r="R10" s="557" t="str">
        <f>Sheet1!E18</f>
        <v>4d+1</v>
      </c>
    </row>
    <row r="11" spans="2:20" ht="15" customHeight="1" thickTop="1" thickBot="1">
      <c r="B11" s="98"/>
      <c r="C11" s="95"/>
      <c r="D11" s="95"/>
      <c r="E11" s="95"/>
      <c r="F11" s="95"/>
      <c r="G11" s="95"/>
      <c r="H11" s="95"/>
      <c r="I11" s="95"/>
      <c r="J11" s="538" t="str">
        <f>IF(Sheet1!W8=" ",IF(Sheet1!$W$3=" "," ",CONCATENATE(Sheet1!$W$3)),CONCATENATE(Sheet1!W8," ",Sheet1!Y8))</f>
        <v>비무장 공격 찌르기</v>
      </c>
      <c r="K11" s="539"/>
      <c r="L11" s="539"/>
      <c r="M11" s="539"/>
      <c r="N11" s="564" t="str">
        <f>IF(OR(RIGHT(J11,3)="두르기",RIGHT(J11,3)="찌르기"),CONCATENATE("(",Sheet1!AE8,")","R:",Sheet1!AD8,"/",Sheet1!Z8,IF(Sheet1!AA8&gt;=0,CONCATENATE("+",Sheet1!AA8),Sheet1!AA8)," ",Sheet1!AB8,"/","P:",Sheet1!N64),CONCATENATE("(",Sheet1!$AF$3,")","R:",CONCATENATE("(",Sheet1!$AD$3,"/",Sheet1!$AE$3,")"),"/",Sheet1!$Z$3,IF(Sheet1!$AA$3&gt;=0,CONCATENATE("+",Sheet1!$AA$3),Sheet1!$AA$3)," ",Sheet1!$AB$3,"/","정",Sheet1!$M$75,"/","연",Sheet1!$N$75,"/","장",Sheet1!$O$75))</f>
        <v>(20)R:C,1,2/4d+5 때리기/P:0</v>
      </c>
      <c r="O11" s="564"/>
      <c r="P11" s="564"/>
      <c r="Q11" s="565"/>
      <c r="R11" s="558"/>
    </row>
    <row r="12" spans="2:20" ht="15" customHeight="1" thickTop="1">
      <c r="B12" s="98"/>
      <c r="C12" s="95"/>
      <c r="D12" s="95"/>
      <c r="E12" s="95"/>
      <c r="F12" s="95"/>
      <c r="G12" s="95"/>
      <c r="H12" s="95"/>
      <c r="I12" s="95"/>
      <c r="J12" s="533" t="s">
        <v>640</v>
      </c>
      <c r="K12" s="534"/>
      <c r="L12" s="534"/>
      <c r="M12" s="534"/>
      <c r="N12" s="570" t="s">
        <v>641</v>
      </c>
      <c r="O12" s="570"/>
      <c r="P12" s="570"/>
      <c r="Q12" s="571"/>
      <c r="R12" s="559" t="str">
        <f>Sheet1!G18</f>
        <v>7d-1</v>
      </c>
      <c r="S12" s="144"/>
    </row>
    <row r="13" spans="2:20" ht="15" customHeight="1" thickBot="1">
      <c r="B13" s="98"/>
      <c r="C13" s="95"/>
      <c r="D13" s="95"/>
      <c r="E13" s="95"/>
      <c r="F13" s="95"/>
      <c r="G13" s="95"/>
      <c r="H13" s="95"/>
      <c r="I13" s="95"/>
      <c r="J13" s="531" t="str">
        <f>IF(Sheet1!W10=" ",IF(Sheet1!$W$3=" "," ",CONCATENATE(Sheet1!$W$3)),CONCATENATE(Sheet1!W10," ",Sheet1!Y10))</f>
        <v>바위 던지기</v>
      </c>
      <c r="K13" s="532"/>
      <c r="L13" s="532"/>
      <c r="M13" s="532"/>
      <c r="N13" s="566" t="str">
        <f>IF(OR(RIGHT(J13,3)="두르기",RIGHT(J13,3)="찌르기"),CONCATENATE("(",Sheet1!AE10,")","R:",Sheet1!AD10,"/",Sheet1!Z10,IF(Sheet1!AA10&gt;=0,CONCATENATE("+",Sheet1!AA10),Sheet1!AA10)," ",Sheet1!AB10,"/","P:",Sheet1!N66),CONCATENATE("(",Sheet1!$AF$3,")","R:",CONCATENATE("(",Sheet1!$AD$3,"/",Sheet1!$AE$3,")"),"/",Sheet1!$Z$3,IF(Sheet1!$AA$3&gt;=0,CONCATENATE("+",Sheet1!$AA$3),Sheet1!$AA$3)," ",Sheet1!$AB$3,"/","정",Sheet1!$M$75,"/","연",Sheet1!$N$75,"/","장",Sheet1!$O$75))</f>
        <v>(21)R:(1200/2000)/4d+11 때리기/정3/연1/장T</v>
      </c>
      <c r="O13" s="566"/>
      <c r="P13" s="566"/>
      <c r="Q13" s="567"/>
      <c r="R13" s="558"/>
    </row>
    <row r="14" spans="2:20" ht="15" customHeight="1" thickTop="1">
      <c r="B14" s="98"/>
      <c r="C14" s="95"/>
      <c r="D14" s="95"/>
      <c r="E14" s="95"/>
      <c r="F14" s="95"/>
      <c r="G14" s="95"/>
      <c r="H14" s="95"/>
      <c r="I14" s="95"/>
      <c r="J14" s="550" t="s">
        <v>606</v>
      </c>
      <c r="K14" s="551"/>
      <c r="L14" s="551"/>
      <c r="M14" s="551"/>
      <c r="N14" s="552" t="s">
        <v>622</v>
      </c>
      <c r="O14" s="552"/>
      <c r="P14" s="552"/>
      <c r="Q14" s="553"/>
      <c r="R14" s="523" t="str">
        <f>Sheet1!N25</f>
        <v>+12</v>
      </c>
    </row>
    <row r="15" spans="2:20" ht="15" customHeight="1" thickBot="1">
      <c r="B15" s="98"/>
      <c r="C15" s="95"/>
      <c r="D15" s="95"/>
      <c r="E15" s="95"/>
      <c r="F15" s="95"/>
      <c r="G15" s="95"/>
      <c r="H15" s="95"/>
      <c r="I15" s="95"/>
      <c r="J15" s="550"/>
      <c r="K15" s="551"/>
      <c r="L15" s="551"/>
      <c r="M15" s="551"/>
      <c r="N15" s="552"/>
      <c r="O15" s="552"/>
      <c r="P15" s="552"/>
      <c r="Q15" s="553"/>
      <c r="R15" s="524"/>
      <c r="T15" s="126"/>
    </row>
    <row r="16" spans="2:20" ht="15" customHeight="1" thickTop="1">
      <c r="B16" s="540" t="str">
        <f>CONCATENATE("특성 : ",IF(Sheet1!J31=0,"",CONCATENATE(Sheet1!A31)),IF(Sheet1!J32=0,"",CONCATENATE(", ",Sheet1!A32)),IF(Sheet1!J33=0,"",CONCATENATE(", ",Sheet1!A33)),IF(Sheet1!J34=0,"",CONCATENATE(", ",Sheet1!A34)),IF(Sheet1!J35=0,"",CONCATENATE(", ",Sheet1!A35)),IF(Sheet1!J36=0,"",CONCATENATE(", ",Sheet1!A36)),IF(Sheet1!J37=0,"",CONCATENATE(", ",Sheet1!A37)),IF(Sheet1!J38=0,"",CONCATENATE(", ",Sheet1!A38)),IF(Sheet1!J39=0,"",CONCATENATE(", ",Sheet1!A39)),IF(Sheet1!J40=0,"",CONCATENATE(", ",Sheet1!A40)),IF(Sheet1!J41=0,"",CONCATENATE(", ",Sheet1!A41)),IF(Sheet1!J42=0,"",CONCATENATE(", ",Sheet1!A42)),IF(Sheet1!J43=0,"",CONCATENATE(", ",Sheet1!A43)),IF(Sheet1!J45=0,"",CONCATENATE(", ",Sheet1!A45)),IF(Sheet1!J46=0,"",CONCATENATE(", ",Sheet1!A46)),IF(Sheet1!J47=0,"",CONCATENATE(", ",Sheet1!A47)),IF(Sheet1!J48=0,"",CONCATENATE(", ",Sheet1!A48)),IF(Sheet1!J49=0,"",CONCATENATE(", ",Sheet1!A49)),IF(Sheet1!J50=0,"",CONCATENATE(", ",Sheet1!A50)),IF(Sheet1!J51=0,"",CONCATENATE(", ",Sheet1!A51)),IF(Sheet1!J52=0,"",CONCATENATE(", ",Sheet1!A52)),IF(Sheet1!J53=0,"",CONCATENATE(", ",Sheet1!A53)),IF(Sheet1!J54=0,"",CONCATENATE(", ",Sheet1!A54)),IF(Sheet1!J55=0,"",CONCATENATE(", ",Sheet1!A55)),IF(Sheet1!J56=0,"",CONCATENATE(", ",Sheet1!A56)),IF(Sheet1!J57=0,"",CONCATENATE(", ",Sheet1!A57)),IF(Sheet1!J58=0,"",CONCATENATE(", ",Sheet1!A58)))</f>
        <v>특성 : 고통에 강함, 면역(생물학적 유해 요소), 부상 내성(균질), 수작업 불가, 수면 불필요, 호흡 불필요, 진동 감각(공기), 부상 취약(부자연적), 음식 불필요, 자연치유 불가(완전), 피하기 향상 2단계, 전투 숙달 4단계, 괴물 4 단계, 바위 던지기, 바닥 후려치기, 구르기, 능숙한 받아내기(격투)*, 약점 부위(마법학 -8, -3, x2)**, 추가 공격(다중공격 가능) 1단계</v>
      </c>
      <c r="C16" s="541"/>
      <c r="D16" s="541"/>
      <c r="E16" s="541"/>
      <c r="F16" s="541"/>
      <c r="G16" s="541"/>
      <c r="H16" s="541"/>
      <c r="I16" s="541"/>
      <c r="J16" s="554" t="s">
        <v>639</v>
      </c>
      <c r="K16" s="555"/>
      <c r="L16" s="555"/>
      <c r="M16" s="555"/>
      <c r="N16" s="555"/>
      <c r="O16" s="555"/>
      <c r="P16" s="555"/>
      <c r="Q16" s="556"/>
      <c r="R16" s="123"/>
    </row>
    <row r="17" spans="2:18" ht="15" customHeight="1">
      <c r="B17" s="542"/>
      <c r="C17" s="543"/>
      <c r="D17" s="543"/>
      <c r="E17" s="543"/>
      <c r="F17" s="543"/>
      <c r="G17" s="543"/>
      <c r="H17" s="543"/>
      <c r="I17" s="543"/>
      <c r="J17" s="531"/>
      <c r="K17" s="532"/>
      <c r="L17" s="532"/>
      <c r="M17" s="532"/>
      <c r="N17" s="546"/>
      <c r="O17" s="546"/>
      <c r="P17" s="546"/>
      <c r="Q17" s="547"/>
      <c r="R17" s="123"/>
    </row>
    <row r="18" spans="2:18" ht="15" customHeight="1">
      <c r="B18" s="542"/>
      <c r="C18" s="543"/>
      <c r="D18" s="543"/>
      <c r="E18" s="543"/>
      <c r="F18" s="543"/>
      <c r="G18" s="543"/>
      <c r="H18" s="543"/>
      <c r="I18" s="543"/>
      <c r="J18" s="529"/>
      <c r="K18" s="530"/>
      <c r="L18" s="530"/>
      <c r="M18" s="530"/>
      <c r="N18" s="562"/>
      <c r="O18" s="562"/>
      <c r="P18" s="562"/>
      <c r="Q18" s="563"/>
      <c r="R18" s="123"/>
    </row>
    <row r="19" spans="2:18" ht="15" customHeight="1" thickBot="1">
      <c r="B19" s="544"/>
      <c r="C19" s="545"/>
      <c r="D19" s="545"/>
      <c r="E19" s="545"/>
      <c r="F19" s="545"/>
      <c r="G19" s="545"/>
      <c r="H19" s="545"/>
      <c r="I19" s="545"/>
      <c r="J19" s="531"/>
      <c r="K19" s="532"/>
      <c r="L19" s="532"/>
      <c r="M19" s="532"/>
      <c r="N19" s="546"/>
      <c r="O19" s="546"/>
      <c r="P19" s="546"/>
      <c r="Q19" s="547"/>
      <c r="R19" s="123"/>
    </row>
    <row r="20" spans="2:18" ht="15" customHeight="1" thickTop="1">
      <c r="B20" s="540" t="str">
        <f>CONCATENATE("기능 : ",IF(Sheet1!R31=0,"",CONCATENATE(Sheet1!M31,"(",Sheet1!R31,")")),IF(Sheet1!R32=0,"",CONCATENATE(", ",Sheet1!M32,"(",Sheet1!R32,")")),IF(Sheet1!R33=0,"",CONCATENATE(", ",Sheet1!M33,"(",Sheet1!R33,")")),IF(Sheet1!R34=0,"",CONCATENATE(", ",Sheet1!M34,"(",Sheet1!R34,")")),IF(Sheet1!R35=0,"",CONCATENATE(", ",Sheet1!M35,"(",Sheet1!R35,")")),IF(Sheet1!R36=0,"",CONCATENATE(", ",Sheet1!M36,"(",Sheet1!R36,")")),IF(Sheet1!R37=0,"",CONCATENATE(", ",Sheet1!M37,"(",Sheet1!R37,")")),IF(Sheet1!R38=0,"",CONCATENATE(", ",Sheet1!M38,"(",Sheet1!R38,")")),IF(Sheet1!R39=0,"",CONCATENATE(", ",Sheet1!M39,"(",Sheet1!R39,")")),IF(Sheet1!R40=0,"",CONCATENATE(", ",Sheet1!M40,"(",Sheet1!R40,")")),IF(Sheet1!R41=0,"",CONCATENATE(", ",Sheet1!M41,"(",Sheet1!R41,")")),IF(Sheet1!R42=0,"",CONCATENATE(", ",Sheet1!M42,"(",Sheet1!R42,")")),IF(Sheet1!R43=0,"",CONCATENATE(", ",Sheet1!M43,"(",Sheet1!R43,")")),IF(Sheet1!R44=0,"",CONCATENATE(", ",Sheet1!M44,"(",Sheet1!R44,")")),IF(Sheet1!R45=0,"",CONCATENATE(", ",Sheet1!M45,"(",Sheet1!R45,")")),IF(Sheet1!R46=0,"",CONCATENATE(", ",Sheet1!M46,"(",Sheet1!R46,")")),IF(Sheet1!R47=0,"",CONCATENATE(", ",Sheet1!M47,"(",Sheet1!R47,")")),IF(Sheet1!R48=0,"",CONCATENATE(", ",Sheet1!M48,"(",Sheet1!R48,")")),IF(Sheet1!R49=0,"",CONCATENATE(", ",Sheet1!M49,"(",Sheet1!R49,")")),IF(Sheet1!R50=0,"",CONCATENATE(", ",Sheet1!M50,"(",Sheet1!R50,")")),IF(Sheet1!R51=0,"",CONCATENATE(", ",Sheet1!M51,"(",Sheet1!R51,")")),IF(Sheet1!R52=0,"",CONCATENATE(", ",Sheet1!M52,"(",Sheet1!R52,")")),IF(Sheet1!R53=0,"",CONCATENATE(", ",Sheet1!M53,"(",Sheet1!R53,")")),IF(Sheet1!R54=0,"",CONCATENATE(", ",Sheet1!M54,"(",Sheet1!R54,")")),IF(Sheet1!R55=0,"",CONCATENATE(", ",Sheet1!M55,"(",Sheet1!R55,")")),IF(Sheet1!R56=0,"",CONCATENATE(", ",Sheet1!M56,"(",Sheet1!R56,")")),IF(Sheet1!R57=0,"",CONCATENATE(", ",Sheet1!M57,"(",Sheet1!R57,")")),IF(Sheet1!R58=0,"",CONCATENATE(", ",Sheet1!M58,"(",Sheet1!R58,")")),IF(Sheet1!AD41=0,"",CONCATENATE(", ",Sheet1!W41,"(",Sheet1!AC41,")")),IF(Sheet1!AD42=0,"",CONCATENATE(", ",Sheet1!W42,"(",Sheet1!AC42,")")),IF(Sheet1!AD43=0,"",CONCATENATE(", ",Sheet1!W43,"(",Sheet1!AC43,")")),IF(Sheet1!AD44=0,"",CONCATENATE(", ",Sheet1!W44,"(",Sheet1!AC44,")")),IF(Sheet1!AD45=0,"",CONCATENATE(", ",Sheet1!W45,"(",Sheet1!AC45,")")),IF(Sheet1!AD46=0,"",CONCATENATE(", ",Sheet1!W46,"(",Sheet1!AC46,")")),IF(Sheet1!AD47=0,"",CONCATENATE(", ",Sheet1!W47,"(",Sheet1!AC47,")")))</f>
        <v>기능 : 비무장 전투!(20), 고유공격(발사)(21), 육신 방어(20)</v>
      </c>
      <c r="C20" s="541"/>
      <c r="D20" s="541"/>
      <c r="E20" s="541"/>
      <c r="F20" s="541"/>
      <c r="G20" s="541"/>
      <c r="H20" s="541"/>
      <c r="I20" s="541"/>
      <c r="J20" s="529"/>
      <c r="K20" s="530"/>
      <c r="L20" s="530"/>
      <c r="M20" s="530"/>
      <c r="N20" s="562"/>
      <c r="O20" s="562"/>
      <c r="P20" s="562"/>
      <c r="Q20" s="563"/>
      <c r="R20" s="123"/>
    </row>
    <row r="21" spans="2:18" ht="15" customHeight="1" thickBot="1">
      <c r="B21" s="542"/>
      <c r="C21" s="543"/>
      <c r="D21" s="543"/>
      <c r="E21" s="543"/>
      <c r="F21" s="543"/>
      <c r="G21" s="543"/>
      <c r="H21" s="543"/>
      <c r="I21" s="543"/>
      <c r="J21" s="531"/>
      <c r="K21" s="532"/>
      <c r="L21" s="532"/>
      <c r="M21" s="532"/>
      <c r="N21" s="546"/>
      <c r="O21" s="546"/>
      <c r="P21" s="546"/>
      <c r="Q21" s="547"/>
      <c r="R21" s="124"/>
    </row>
    <row r="22" spans="2:18" ht="15" customHeight="1" thickTop="1" thickBot="1">
      <c r="B22" s="542"/>
      <c r="C22" s="543"/>
      <c r="D22" s="543"/>
      <c r="E22" s="543"/>
      <c r="F22" s="543"/>
      <c r="G22" s="543"/>
      <c r="H22" s="543"/>
      <c r="I22" s="543"/>
      <c r="J22" s="527"/>
      <c r="K22" s="528"/>
      <c r="L22" s="528"/>
      <c r="M22" s="528"/>
      <c r="N22" s="548"/>
      <c r="O22" s="548"/>
      <c r="P22" s="548"/>
      <c r="Q22" s="549"/>
      <c r="R22" s="560">
        <f>Sheet1!J2</f>
        <v>2</v>
      </c>
    </row>
    <row r="23" spans="2:18" ht="15" customHeight="1" thickTop="1" thickBot="1">
      <c r="B23" s="544"/>
      <c r="C23" s="545"/>
      <c r="D23" s="545"/>
      <c r="E23" s="545"/>
      <c r="F23" s="545"/>
      <c r="G23" s="545"/>
      <c r="H23" s="545"/>
      <c r="I23" s="572"/>
      <c r="J23" s="125"/>
      <c r="K23" s="125"/>
      <c r="L23" s="125"/>
      <c r="M23" s="125"/>
      <c r="N23" s="125"/>
      <c r="O23" s="125"/>
      <c r="P23" s="125"/>
      <c r="Q23" s="124"/>
      <c r="R23" s="561"/>
    </row>
    <row r="24" spans="2:18" ht="15" customHeight="1" thickTop="1">
      <c r="B24" s="94"/>
    </row>
    <row r="27" spans="2:18" ht="15" customHeight="1">
      <c r="B27" s="94"/>
    </row>
    <row r="28" spans="2:18" ht="15" customHeight="1">
      <c r="B28" s="94"/>
    </row>
    <row r="29" spans="2:18" ht="15" customHeight="1">
      <c r="B29" s="94"/>
    </row>
    <row r="30" spans="2:18" ht="15" customHeight="1">
      <c r="B30" s="94"/>
    </row>
    <row r="31" spans="2:18" ht="15" customHeight="1">
      <c r="B31" s="94"/>
    </row>
    <row r="32" spans="2:18" ht="15" customHeight="1">
      <c r="B32" s="94"/>
    </row>
  </sheetData>
  <mergeCells count="31">
    <mergeCell ref="R10:R11"/>
    <mergeCell ref="R12:R13"/>
    <mergeCell ref="R22:R23"/>
    <mergeCell ref="N17:Q17"/>
    <mergeCell ref="N18:Q18"/>
    <mergeCell ref="N19:Q19"/>
    <mergeCell ref="N20:Q20"/>
    <mergeCell ref="N11:Q11"/>
    <mergeCell ref="N12:Q12"/>
    <mergeCell ref="N13:Q13"/>
    <mergeCell ref="N21:Q21"/>
    <mergeCell ref="N22:Q22"/>
    <mergeCell ref="J14:M15"/>
    <mergeCell ref="N14:Q15"/>
    <mergeCell ref="J16:Q16"/>
    <mergeCell ref="P2:R2"/>
    <mergeCell ref="P3:R9"/>
    <mergeCell ref="R14:R15"/>
    <mergeCell ref="B20:I23"/>
    <mergeCell ref="J10:K10"/>
    <mergeCell ref="J22:M22"/>
    <mergeCell ref="J20:M20"/>
    <mergeCell ref="J21:M21"/>
    <mergeCell ref="J12:M12"/>
    <mergeCell ref="J13:M13"/>
    <mergeCell ref="J17:M17"/>
    <mergeCell ref="B2:E2"/>
    <mergeCell ref="J18:M18"/>
    <mergeCell ref="J19:M19"/>
    <mergeCell ref="J11:M11"/>
    <mergeCell ref="B16:I19"/>
  </mergeCells>
  <phoneticPr fontId="40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workbookViewId="0">
      <selection activeCell="C29" sqref="C29"/>
    </sheetView>
  </sheetViews>
  <sheetFormatPr defaultColWidth="15.125" defaultRowHeight="15" customHeight="1"/>
  <cols>
    <col min="1" max="1" width="6.25" customWidth="1"/>
    <col min="2" max="12" width="7.625" customWidth="1"/>
    <col min="13" max="13" width="3.375" customWidth="1"/>
    <col min="14" max="14" width="4.5" customWidth="1"/>
    <col min="15" max="15" width="3.25" customWidth="1"/>
    <col min="16" max="16" width="5.75" customWidth="1"/>
    <col min="17" max="26" width="7.625" customWidth="1"/>
  </cols>
  <sheetData>
    <row r="1" spans="1:16" ht="16.5" customHeight="1">
      <c r="A1" s="91" t="s">
        <v>9</v>
      </c>
      <c r="B1" s="91" t="s">
        <v>42</v>
      </c>
      <c r="C1" s="91" t="s">
        <v>43</v>
      </c>
      <c r="F1" s="92" t="s">
        <v>81</v>
      </c>
      <c r="G1" s="92" t="s">
        <v>86</v>
      </c>
      <c r="H1" s="92" t="s">
        <v>84</v>
      </c>
      <c r="I1" s="92" t="s">
        <v>141</v>
      </c>
      <c r="J1" s="92" t="s">
        <v>142</v>
      </c>
      <c r="K1" s="141" t="s">
        <v>190</v>
      </c>
      <c r="M1" s="568" t="s">
        <v>228</v>
      </c>
      <c r="N1" s="569"/>
      <c r="O1" s="568" t="s">
        <v>229</v>
      </c>
      <c r="P1" s="569"/>
    </row>
    <row r="2" spans="1:16" ht="16.5" customHeight="1">
      <c r="A2" s="91">
        <v>1</v>
      </c>
      <c r="B2" s="91" t="s">
        <v>143</v>
      </c>
      <c r="C2" s="91" t="s">
        <v>144</v>
      </c>
      <c r="F2" s="92">
        <v>-3</v>
      </c>
      <c r="J2" s="92">
        <v>1</v>
      </c>
      <c r="K2" s="142">
        <f t="shared" ref="K2:K105" si="0">J2*3</f>
        <v>3</v>
      </c>
      <c r="M2" s="144" t="str">
        <f>LEFT(B2,2)</f>
        <v>1d</v>
      </c>
      <c r="N2" s="150" t="str">
        <f>IF(RIGHT(B2,2)=LEFT(B2,2),0,RIGHT(B2,2))</f>
        <v>-6</v>
      </c>
      <c r="O2" s="144" t="str">
        <f>LEFT(C2,2)</f>
        <v>1d</v>
      </c>
      <c r="P2" s="150" t="str">
        <f>IF(RIGHT(C2,2)=LEFT(C2,2),0,RIGHT(C2,2))</f>
        <v>-5</v>
      </c>
    </row>
    <row r="3" spans="1:16" ht="16.5" customHeight="1">
      <c r="A3" s="91">
        <v>2</v>
      </c>
      <c r="B3" s="91" t="s">
        <v>143</v>
      </c>
      <c r="C3" s="91" t="s">
        <v>144</v>
      </c>
      <c r="F3" s="92">
        <f t="shared" ref="F3:F105" si="1">F2+1</f>
        <v>-2</v>
      </c>
      <c r="I3" s="92">
        <v>1</v>
      </c>
      <c r="J3" s="92">
        <v>2</v>
      </c>
      <c r="K3" s="142">
        <f t="shared" si="0"/>
        <v>6</v>
      </c>
      <c r="M3" s="144" t="str">
        <f t="shared" ref="M3:M66" si="2">LEFT(B3,2)</f>
        <v>1d</v>
      </c>
      <c r="N3" s="150" t="str">
        <f t="shared" ref="N3:N66" si="3">IF(RIGHT(B3,2)=LEFT(B3,2),0,RIGHT(B3,2))</f>
        <v>-6</v>
      </c>
      <c r="O3" s="144" t="str">
        <f t="shared" ref="O3:O66" si="4">LEFT(C3,2)</f>
        <v>1d</v>
      </c>
      <c r="P3" s="150" t="str">
        <f t="shared" ref="P3:P66" si="5">IF(RIGHT(C3,2)=LEFT(C3,2),0,RIGHT(C3,2))</f>
        <v>-5</v>
      </c>
    </row>
    <row r="4" spans="1:16" ht="16.5" customHeight="1">
      <c r="A4" s="91">
        <v>3</v>
      </c>
      <c r="B4" s="91" t="s">
        <v>144</v>
      </c>
      <c r="C4" s="91" t="s">
        <v>145</v>
      </c>
      <c r="F4" s="92">
        <f t="shared" si="1"/>
        <v>-1</v>
      </c>
      <c r="H4" s="92">
        <v>1</v>
      </c>
      <c r="I4" s="92">
        <v>2</v>
      </c>
      <c r="J4" s="92">
        <v>4</v>
      </c>
      <c r="K4" s="142">
        <f t="shared" si="0"/>
        <v>12</v>
      </c>
      <c r="M4" s="144" t="str">
        <f t="shared" si="2"/>
        <v>1d</v>
      </c>
      <c r="N4" s="150" t="str">
        <f t="shared" si="3"/>
        <v>-5</v>
      </c>
      <c r="O4" s="144" t="str">
        <f t="shared" si="4"/>
        <v>1d</v>
      </c>
      <c r="P4" s="150" t="str">
        <f t="shared" si="5"/>
        <v>-4</v>
      </c>
    </row>
    <row r="5" spans="1:16" ht="16.5" customHeight="1">
      <c r="A5" s="91">
        <v>4</v>
      </c>
      <c r="B5" s="91" t="s">
        <v>144</v>
      </c>
      <c r="C5" s="91" t="s">
        <v>145</v>
      </c>
      <c r="F5" s="92">
        <f t="shared" si="1"/>
        <v>0</v>
      </c>
      <c r="G5" s="92">
        <v>1</v>
      </c>
      <c r="H5" s="92">
        <v>2</v>
      </c>
      <c r="I5" s="92">
        <v>4</v>
      </c>
      <c r="J5" s="92">
        <f>J4 +4</f>
        <v>8</v>
      </c>
      <c r="K5" s="142">
        <f t="shared" si="0"/>
        <v>24</v>
      </c>
      <c r="M5" s="144" t="str">
        <f t="shared" si="2"/>
        <v>1d</v>
      </c>
      <c r="N5" s="150" t="str">
        <f t="shared" si="3"/>
        <v>-5</v>
      </c>
      <c r="O5" s="144" t="str">
        <f t="shared" si="4"/>
        <v>1d</v>
      </c>
      <c r="P5" s="150" t="str">
        <f t="shared" si="5"/>
        <v>-4</v>
      </c>
    </row>
    <row r="6" spans="1:16" ht="16.5" customHeight="1">
      <c r="A6" s="91">
        <v>5</v>
      </c>
      <c r="B6" s="91" t="s">
        <v>145</v>
      </c>
      <c r="C6" s="91" t="s">
        <v>146</v>
      </c>
      <c r="F6" s="92">
        <f t="shared" si="1"/>
        <v>1</v>
      </c>
      <c r="G6" s="92">
        <v>2</v>
      </c>
      <c r="H6" s="92">
        <v>4</v>
      </c>
      <c r="I6" s="92">
        <f t="shared" ref="I6:J6" si="6">I5 +4</f>
        <v>8</v>
      </c>
      <c r="J6" s="92">
        <f t="shared" si="6"/>
        <v>12</v>
      </c>
      <c r="K6" s="142">
        <f t="shared" si="0"/>
        <v>36</v>
      </c>
      <c r="M6" s="144" t="str">
        <f t="shared" si="2"/>
        <v>1d</v>
      </c>
      <c r="N6" s="150" t="str">
        <f t="shared" si="3"/>
        <v>-4</v>
      </c>
      <c r="O6" s="144" t="str">
        <f t="shared" si="4"/>
        <v>1d</v>
      </c>
      <c r="P6" s="150" t="str">
        <f t="shared" si="5"/>
        <v>-3</v>
      </c>
    </row>
    <row r="7" spans="1:16" ht="16.5" customHeight="1">
      <c r="A7" s="91">
        <v>6</v>
      </c>
      <c r="B7" s="91" t="s">
        <v>145</v>
      </c>
      <c r="C7" s="91" t="s">
        <v>146</v>
      </c>
      <c r="F7" s="92">
        <f t="shared" si="1"/>
        <v>2</v>
      </c>
      <c r="G7" s="92">
        <v>4</v>
      </c>
      <c r="H7" s="92">
        <f t="shared" ref="H7:J7" si="7">H6 +4</f>
        <v>8</v>
      </c>
      <c r="I7" s="92">
        <f t="shared" si="7"/>
        <v>12</v>
      </c>
      <c r="J7" s="92">
        <f t="shared" si="7"/>
        <v>16</v>
      </c>
      <c r="K7" s="142">
        <f t="shared" si="0"/>
        <v>48</v>
      </c>
      <c r="M7" s="144" t="str">
        <f t="shared" si="2"/>
        <v>1d</v>
      </c>
      <c r="N7" s="150" t="str">
        <f t="shared" si="3"/>
        <v>-4</v>
      </c>
      <c r="O7" s="144" t="str">
        <f t="shared" si="4"/>
        <v>1d</v>
      </c>
      <c r="P7" s="150" t="str">
        <f t="shared" si="5"/>
        <v>-3</v>
      </c>
    </row>
    <row r="8" spans="1:16" ht="16.5" customHeight="1">
      <c r="A8" s="91">
        <v>7</v>
      </c>
      <c r="B8" s="91" t="s">
        <v>146</v>
      </c>
      <c r="C8" s="91" t="s">
        <v>147</v>
      </c>
      <c r="F8" s="92">
        <f t="shared" si="1"/>
        <v>3</v>
      </c>
      <c r="G8" s="92">
        <f t="shared" ref="G8:J8" si="8">G7 +4</f>
        <v>8</v>
      </c>
      <c r="H8" s="92">
        <f t="shared" si="8"/>
        <v>12</v>
      </c>
      <c r="I8" s="92">
        <f t="shared" si="8"/>
        <v>16</v>
      </c>
      <c r="J8" s="92">
        <f t="shared" si="8"/>
        <v>20</v>
      </c>
      <c r="K8" s="142">
        <f t="shared" si="0"/>
        <v>60</v>
      </c>
      <c r="M8" s="144" t="str">
        <f t="shared" si="2"/>
        <v>1d</v>
      </c>
      <c r="N8" s="150" t="str">
        <f t="shared" si="3"/>
        <v>-3</v>
      </c>
      <c r="O8" s="144" t="str">
        <f t="shared" si="4"/>
        <v>1d</v>
      </c>
      <c r="P8" s="150" t="str">
        <f t="shared" si="5"/>
        <v>-2</v>
      </c>
    </row>
    <row r="9" spans="1:16" ht="16.5" customHeight="1">
      <c r="A9" s="91">
        <v>8</v>
      </c>
      <c r="B9" s="91" t="s">
        <v>146</v>
      </c>
      <c r="C9" s="91" t="s">
        <v>147</v>
      </c>
      <c r="F9" s="92">
        <f t="shared" si="1"/>
        <v>4</v>
      </c>
      <c r="G9" s="92">
        <f t="shared" ref="G9:J9" si="9">G8 +4</f>
        <v>12</v>
      </c>
      <c r="H9" s="92">
        <f t="shared" si="9"/>
        <v>16</v>
      </c>
      <c r="I9" s="92">
        <f t="shared" si="9"/>
        <v>20</v>
      </c>
      <c r="J9" s="92">
        <f t="shared" si="9"/>
        <v>24</v>
      </c>
      <c r="K9" s="142">
        <f t="shared" si="0"/>
        <v>72</v>
      </c>
      <c r="M9" s="144" t="str">
        <f t="shared" si="2"/>
        <v>1d</v>
      </c>
      <c r="N9" s="150" t="str">
        <f t="shared" si="3"/>
        <v>-3</v>
      </c>
      <c r="O9" s="144" t="str">
        <f t="shared" si="4"/>
        <v>1d</v>
      </c>
      <c r="P9" s="150" t="str">
        <f t="shared" si="5"/>
        <v>-2</v>
      </c>
    </row>
    <row r="10" spans="1:16" ht="16.5" customHeight="1">
      <c r="A10" s="91">
        <v>9</v>
      </c>
      <c r="B10" s="91" t="s">
        <v>147</v>
      </c>
      <c r="C10" s="91" t="s">
        <v>148</v>
      </c>
      <c r="F10" s="92">
        <f t="shared" si="1"/>
        <v>5</v>
      </c>
      <c r="G10" s="92">
        <f t="shared" ref="G10:J10" si="10">G9 +4</f>
        <v>16</v>
      </c>
      <c r="H10" s="92">
        <f t="shared" si="10"/>
        <v>20</v>
      </c>
      <c r="I10" s="92">
        <f t="shared" si="10"/>
        <v>24</v>
      </c>
      <c r="J10" s="92">
        <f t="shared" si="10"/>
        <v>28</v>
      </c>
      <c r="K10" s="142">
        <f t="shared" si="0"/>
        <v>84</v>
      </c>
      <c r="M10" s="144" t="str">
        <f t="shared" si="2"/>
        <v>1d</v>
      </c>
      <c r="N10" s="150" t="str">
        <f t="shared" si="3"/>
        <v>-2</v>
      </c>
      <c r="O10" s="144" t="str">
        <f t="shared" si="4"/>
        <v>1d</v>
      </c>
      <c r="P10" s="150" t="str">
        <f t="shared" si="5"/>
        <v>-1</v>
      </c>
    </row>
    <row r="11" spans="1:16" ht="16.5" customHeight="1">
      <c r="A11" s="91">
        <v>10</v>
      </c>
      <c r="B11" s="91" t="s">
        <v>147</v>
      </c>
      <c r="C11" s="91" t="s">
        <v>149</v>
      </c>
      <c r="F11" s="92">
        <f t="shared" si="1"/>
        <v>6</v>
      </c>
      <c r="G11" s="92">
        <f t="shared" ref="G11:J11" si="11">G10 +4</f>
        <v>20</v>
      </c>
      <c r="H11" s="92">
        <f t="shared" si="11"/>
        <v>24</v>
      </c>
      <c r="I11" s="92">
        <f t="shared" si="11"/>
        <v>28</v>
      </c>
      <c r="J11" s="92">
        <f t="shared" si="11"/>
        <v>32</v>
      </c>
      <c r="K11" s="142">
        <f t="shared" si="0"/>
        <v>96</v>
      </c>
      <c r="M11" s="144" t="str">
        <f t="shared" si="2"/>
        <v>1d</v>
      </c>
      <c r="N11" s="150" t="str">
        <f t="shared" si="3"/>
        <v>-2</v>
      </c>
      <c r="O11" s="144" t="str">
        <f t="shared" si="4"/>
        <v>1d</v>
      </c>
      <c r="P11" s="150">
        <f t="shared" si="5"/>
        <v>0</v>
      </c>
    </row>
    <row r="12" spans="1:16" ht="16.5" customHeight="1">
      <c r="A12" s="91">
        <v>11</v>
      </c>
      <c r="B12" s="91" t="s">
        <v>148</v>
      </c>
      <c r="C12" s="91" t="s">
        <v>150</v>
      </c>
      <c r="F12" s="92">
        <f t="shared" si="1"/>
        <v>7</v>
      </c>
      <c r="G12" s="92">
        <f t="shared" ref="G12:J12" si="12">G11 +4</f>
        <v>24</v>
      </c>
      <c r="H12" s="92">
        <f t="shared" si="12"/>
        <v>28</v>
      </c>
      <c r="I12" s="92">
        <f t="shared" si="12"/>
        <v>32</v>
      </c>
      <c r="J12" s="92">
        <f t="shared" si="12"/>
        <v>36</v>
      </c>
      <c r="K12" s="142">
        <f t="shared" si="0"/>
        <v>108</v>
      </c>
      <c r="M12" s="144" t="str">
        <f t="shared" si="2"/>
        <v>1d</v>
      </c>
      <c r="N12" s="150" t="str">
        <f t="shared" si="3"/>
        <v>-1</v>
      </c>
      <c r="O12" s="144" t="str">
        <f t="shared" si="4"/>
        <v>1d</v>
      </c>
      <c r="P12" s="150" t="str">
        <f>IF(RIGHT(C12,2)=LEFT(C12,2),0,RIGHT(C12,2))</f>
        <v>+1</v>
      </c>
    </row>
    <row r="13" spans="1:16" ht="16.5" customHeight="1">
      <c r="A13" s="91">
        <v>12</v>
      </c>
      <c r="B13" s="91" t="s">
        <v>148</v>
      </c>
      <c r="C13" s="91" t="s">
        <v>151</v>
      </c>
      <c r="F13" s="92">
        <f t="shared" si="1"/>
        <v>8</v>
      </c>
      <c r="G13" s="92">
        <f t="shared" ref="G13:J13" si="13">G12 +4</f>
        <v>28</v>
      </c>
      <c r="H13" s="92">
        <f t="shared" si="13"/>
        <v>32</v>
      </c>
      <c r="I13" s="92">
        <f t="shared" si="13"/>
        <v>36</v>
      </c>
      <c r="J13" s="92">
        <f t="shared" si="13"/>
        <v>40</v>
      </c>
      <c r="K13" s="142">
        <f t="shared" si="0"/>
        <v>120</v>
      </c>
      <c r="M13" s="144" t="str">
        <f t="shared" si="2"/>
        <v>1d</v>
      </c>
      <c r="N13" s="150" t="str">
        <f t="shared" si="3"/>
        <v>-1</v>
      </c>
      <c r="O13" s="144" t="str">
        <f t="shared" si="4"/>
        <v>1d</v>
      </c>
      <c r="P13" s="150" t="str">
        <f t="shared" si="5"/>
        <v>+2</v>
      </c>
    </row>
    <row r="14" spans="1:16" ht="16.5" customHeight="1">
      <c r="A14" s="91">
        <v>13</v>
      </c>
      <c r="B14" s="91" t="s">
        <v>149</v>
      </c>
      <c r="C14" s="91" t="s">
        <v>152</v>
      </c>
      <c r="F14" s="92">
        <f t="shared" si="1"/>
        <v>9</v>
      </c>
      <c r="G14" s="92">
        <f t="shared" ref="G14:J14" si="14">G13 +4</f>
        <v>32</v>
      </c>
      <c r="H14" s="92">
        <f t="shared" si="14"/>
        <v>36</v>
      </c>
      <c r="I14" s="92">
        <f t="shared" si="14"/>
        <v>40</v>
      </c>
      <c r="J14" s="92">
        <f t="shared" si="14"/>
        <v>44</v>
      </c>
      <c r="K14" s="142">
        <f t="shared" si="0"/>
        <v>132</v>
      </c>
      <c r="M14" s="144" t="str">
        <f t="shared" si="2"/>
        <v>1d</v>
      </c>
      <c r="N14" s="150">
        <f t="shared" si="3"/>
        <v>0</v>
      </c>
      <c r="O14" s="144" t="str">
        <f t="shared" si="4"/>
        <v>2d</v>
      </c>
      <c r="P14" s="150" t="str">
        <f t="shared" si="5"/>
        <v>-1</v>
      </c>
    </row>
    <row r="15" spans="1:16" ht="16.5" customHeight="1">
      <c r="A15" s="91">
        <v>14</v>
      </c>
      <c r="B15" s="91" t="s">
        <v>149</v>
      </c>
      <c r="C15" s="91" t="s">
        <v>153</v>
      </c>
      <c r="F15" s="92">
        <f t="shared" si="1"/>
        <v>10</v>
      </c>
      <c r="G15" s="92">
        <f t="shared" ref="G15:J15" si="15">G14 +4</f>
        <v>36</v>
      </c>
      <c r="H15" s="92">
        <f t="shared" si="15"/>
        <v>40</v>
      </c>
      <c r="I15" s="92">
        <f t="shared" si="15"/>
        <v>44</v>
      </c>
      <c r="J15" s="92">
        <f t="shared" si="15"/>
        <v>48</v>
      </c>
      <c r="K15" s="142">
        <f t="shared" si="0"/>
        <v>144</v>
      </c>
      <c r="M15" s="144" t="str">
        <f t="shared" si="2"/>
        <v>1d</v>
      </c>
      <c r="N15" s="150">
        <f t="shared" si="3"/>
        <v>0</v>
      </c>
      <c r="O15" s="144" t="str">
        <f t="shared" si="4"/>
        <v>2d</v>
      </c>
      <c r="P15" s="150">
        <f t="shared" si="5"/>
        <v>0</v>
      </c>
    </row>
    <row r="16" spans="1:16" ht="16.5" customHeight="1">
      <c r="A16" s="91">
        <v>15</v>
      </c>
      <c r="B16" s="93" t="s">
        <v>150</v>
      </c>
      <c r="C16" s="91" t="s">
        <v>154</v>
      </c>
      <c r="F16" s="92">
        <f t="shared" si="1"/>
        <v>11</v>
      </c>
      <c r="G16" s="92">
        <f t="shared" ref="G16:J16" si="16">G15 +4</f>
        <v>40</v>
      </c>
      <c r="H16" s="92">
        <f t="shared" si="16"/>
        <v>44</v>
      </c>
      <c r="I16" s="92">
        <f t="shared" si="16"/>
        <v>48</v>
      </c>
      <c r="J16" s="92">
        <f t="shared" si="16"/>
        <v>52</v>
      </c>
      <c r="K16" s="142">
        <f t="shared" si="0"/>
        <v>156</v>
      </c>
      <c r="M16" s="144" t="str">
        <f t="shared" si="2"/>
        <v>1d</v>
      </c>
      <c r="N16" s="150" t="str">
        <f t="shared" si="3"/>
        <v>+1</v>
      </c>
      <c r="O16" s="144" t="str">
        <f t="shared" si="4"/>
        <v>2d</v>
      </c>
      <c r="P16" s="150" t="str">
        <f t="shared" si="5"/>
        <v>+1</v>
      </c>
    </row>
    <row r="17" spans="1:16" ht="16.5" customHeight="1">
      <c r="A17" s="91">
        <v>16</v>
      </c>
      <c r="B17" s="91" t="s">
        <v>150</v>
      </c>
      <c r="C17" s="91" t="s">
        <v>155</v>
      </c>
      <c r="F17" s="92">
        <f t="shared" si="1"/>
        <v>12</v>
      </c>
      <c r="G17" s="92">
        <f t="shared" ref="G17:J17" si="17">G16 +4</f>
        <v>44</v>
      </c>
      <c r="H17" s="92">
        <f t="shared" si="17"/>
        <v>48</v>
      </c>
      <c r="I17" s="92">
        <f t="shared" si="17"/>
        <v>52</v>
      </c>
      <c r="J17" s="92">
        <f t="shared" si="17"/>
        <v>56</v>
      </c>
      <c r="K17" s="142">
        <f t="shared" si="0"/>
        <v>168</v>
      </c>
      <c r="M17" s="144" t="str">
        <f t="shared" si="2"/>
        <v>1d</v>
      </c>
      <c r="N17" s="150" t="str">
        <f t="shared" si="3"/>
        <v>+1</v>
      </c>
      <c r="O17" s="144" t="str">
        <f t="shared" si="4"/>
        <v>2d</v>
      </c>
      <c r="P17" s="150" t="str">
        <f t="shared" si="5"/>
        <v>+2</v>
      </c>
    </row>
    <row r="18" spans="1:16" ht="16.5" customHeight="1">
      <c r="A18" s="91">
        <v>17</v>
      </c>
      <c r="B18" s="91" t="s">
        <v>151</v>
      </c>
      <c r="C18" s="91" t="s">
        <v>156</v>
      </c>
      <c r="F18" s="92">
        <f t="shared" si="1"/>
        <v>13</v>
      </c>
      <c r="G18" s="92">
        <f t="shared" ref="G18:J18" si="18">G17 +4</f>
        <v>48</v>
      </c>
      <c r="H18" s="92">
        <f t="shared" si="18"/>
        <v>52</v>
      </c>
      <c r="I18" s="92">
        <f t="shared" si="18"/>
        <v>56</v>
      </c>
      <c r="J18" s="92">
        <f t="shared" si="18"/>
        <v>60</v>
      </c>
      <c r="K18" s="142">
        <f t="shared" si="0"/>
        <v>180</v>
      </c>
      <c r="M18" s="144" t="str">
        <f t="shared" si="2"/>
        <v>1d</v>
      </c>
      <c r="N18" s="150" t="str">
        <f t="shared" si="3"/>
        <v>+2</v>
      </c>
      <c r="O18" s="144" t="str">
        <f t="shared" si="4"/>
        <v>3d</v>
      </c>
      <c r="P18" s="150" t="str">
        <f t="shared" si="5"/>
        <v>-1</v>
      </c>
    </row>
    <row r="19" spans="1:16" ht="16.5" customHeight="1">
      <c r="A19" s="91">
        <v>18</v>
      </c>
      <c r="B19" s="91" t="s">
        <v>151</v>
      </c>
      <c r="C19" s="91" t="s">
        <v>157</v>
      </c>
      <c r="F19" s="92">
        <f t="shared" si="1"/>
        <v>14</v>
      </c>
      <c r="G19" s="92">
        <f t="shared" ref="G19:J19" si="19">G18 +4</f>
        <v>52</v>
      </c>
      <c r="H19" s="92">
        <f t="shared" si="19"/>
        <v>56</v>
      </c>
      <c r="I19" s="92">
        <f t="shared" si="19"/>
        <v>60</v>
      </c>
      <c r="J19" s="92">
        <f t="shared" si="19"/>
        <v>64</v>
      </c>
      <c r="K19" s="142">
        <f t="shared" si="0"/>
        <v>192</v>
      </c>
      <c r="M19" s="144" t="str">
        <f t="shared" si="2"/>
        <v>1d</v>
      </c>
      <c r="N19" s="150" t="str">
        <f t="shared" si="3"/>
        <v>+2</v>
      </c>
      <c r="O19" s="144" t="str">
        <f t="shared" si="4"/>
        <v>3d</v>
      </c>
      <c r="P19" s="150">
        <f t="shared" si="5"/>
        <v>0</v>
      </c>
    </row>
    <row r="20" spans="1:16" ht="16.5" customHeight="1">
      <c r="A20" s="91">
        <v>19</v>
      </c>
      <c r="B20" s="91" t="s">
        <v>152</v>
      </c>
      <c r="C20" s="91" t="s">
        <v>158</v>
      </c>
      <c r="F20" s="92">
        <f t="shared" si="1"/>
        <v>15</v>
      </c>
      <c r="G20" s="92">
        <f t="shared" ref="G20:J20" si="20">G19 +4</f>
        <v>56</v>
      </c>
      <c r="H20" s="92">
        <f t="shared" si="20"/>
        <v>60</v>
      </c>
      <c r="I20" s="92">
        <f t="shared" si="20"/>
        <v>64</v>
      </c>
      <c r="J20" s="92">
        <f t="shared" si="20"/>
        <v>68</v>
      </c>
      <c r="K20" s="142">
        <f t="shared" si="0"/>
        <v>204</v>
      </c>
      <c r="M20" s="144" t="str">
        <f t="shared" si="2"/>
        <v>2d</v>
      </c>
      <c r="N20" s="150" t="str">
        <f t="shared" si="3"/>
        <v>-1</v>
      </c>
      <c r="O20" s="144" t="str">
        <f t="shared" si="4"/>
        <v>3d</v>
      </c>
      <c r="P20" s="150" t="str">
        <f t="shared" si="5"/>
        <v>+1</v>
      </c>
    </row>
    <row r="21" spans="1:16" ht="16.5" customHeight="1">
      <c r="A21" s="91">
        <v>20</v>
      </c>
      <c r="B21" s="91" t="s">
        <v>152</v>
      </c>
      <c r="C21" s="91" t="s">
        <v>159</v>
      </c>
      <c r="F21" s="92">
        <f t="shared" si="1"/>
        <v>16</v>
      </c>
      <c r="G21" s="92">
        <f t="shared" ref="G21:J21" si="21">G20 +4</f>
        <v>60</v>
      </c>
      <c r="H21" s="92">
        <f t="shared" si="21"/>
        <v>64</v>
      </c>
      <c r="I21" s="92">
        <f t="shared" si="21"/>
        <v>68</v>
      </c>
      <c r="J21" s="92">
        <f t="shared" si="21"/>
        <v>72</v>
      </c>
      <c r="K21" s="142">
        <f t="shared" si="0"/>
        <v>216</v>
      </c>
      <c r="M21" s="144" t="str">
        <f t="shared" si="2"/>
        <v>2d</v>
      </c>
      <c r="N21" s="150" t="str">
        <f t="shared" si="3"/>
        <v>-1</v>
      </c>
      <c r="O21" s="144" t="str">
        <f t="shared" si="4"/>
        <v>3d</v>
      </c>
      <c r="P21" s="150" t="str">
        <f t="shared" si="5"/>
        <v>+2</v>
      </c>
    </row>
    <row r="22" spans="1:16" ht="16.5" customHeight="1">
      <c r="A22" s="91">
        <v>21</v>
      </c>
      <c r="B22" s="91" t="s">
        <v>153</v>
      </c>
      <c r="C22" s="91" t="s">
        <v>160</v>
      </c>
      <c r="F22" s="92">
        <f t="shared" si="1"/>
        <v>17</v>
      </c>
      <c r="G22" s="92">
        <f t="shared" ref="G22:J22" si="22">G21 +4</f>
        <v>64</v>
      </c>
      <c r="H22" s="92">
        <f t="shared" si="22"/>
        <v>68</v>
      </c>
      <c r="I22" s="92">
        <f t="shared" si="22"/>
        <v>72</v>
      </c>
      <c r="J22" s="92">
        <f t="shared" si="22"/>
        <v>76</v>
      </c>
      <c r="K22" s="142">
        <f t="shared" si="0"/>
        <v>228</v>
      </c>
      <c r="M22" s="144" t="str">
        <f t="shared" si="2"/>
        <v>2d</v>
      </c>
      <c r="N22" s="150">
        <f t="shared" si="3"/>
        <v>0</v>
      </c>
      <c r="O22" s="144" t="str">
        <f t="shared" si="4"/>
        <v>4d</v>
      </c>
      <c r="P22" s="150" t="str">
        <f t="shared" si="5"/>
        <v>-1</v>
      </c>
    </row>
    <row r="23" spans="1:16" ht="16.5" customHeight="1">
      <c r="A23" s="91">
        <v>22</v>
      </c>
      <c r="B23" s="91" t="s">
        <v>153</v>
      </c>
      <c r="C23" s="91" t="s">
        <v>161</v>
      </c>
      <c r="F23" s="92">
        <f t="shared" si="1"/>
        <v>18</v>
      </c>
      <c r="G23" s="92">
        <f t="shared" ref="G23:J23" si="23">G22 +4</f>
        <v>68</v>
      </c>
      <c r="H23" s="92">
        <f t="shared" si="23"/>
        <v>72</v>
      </c>
      <c r="I23" s="92">
        <f t="shared" si="23"/>
        <v>76</v>
      </c>
      <c r="J23" s="92">
        <f t="shared" si="23"/>
        <v>80</v>
      </c>
      <c r="K23" s="142">
        <f t="shared" si="0"/>
        <v>240</v>
      </c>
      <c r="M23" s="144" t="str">
        <f t="shared" si="2"/>
        <v>2d</v>
      </c>
      <c r="N23" s="150">
        <f t="shared" si="3"/>
        <v>0</v>
      </c>
      <c r="O23" s="144" t="str">
        <f t="shared" si="4"/>
        <v>4d</v>
      </c>
      <c r="P23" s="150">
        <f t="shared" si="5"/>
        <v>0</v>
      </c>
    </row>
    <row r="24" spans="1:16" ht="16.5" customHeight="1">
      <c r="A24" s="91">
        <v>23</v>
      </c>
      <c r="B24" s="91" t="s">
        <v>154</v>
      </c>
      <c r="C24" s="91" t="s">
        <v>162</v>
      </c>
      <c r="F24" s="92">
        <f t="shared" si="1"/>
        <v>19</v>
      </c>
      <c r="G24" s="92">
        <f t="shared" ref="G24:J24" si="24">G23 +4</f>
        <v>72</v>
      </c>
      <c r="H24" s="92">
        <f t="shared" si="24"/>
        <v>76</v>
      </c>
      <c r="I24" s="92">
        <f t="shared" si="24"/>
        <v>80</v>
      </c>
      <c r="J24" s="92">
        <f t="shared" si="24"/>
        <v>84</v>
      </c>
      <c r="K24" s="142">
        <f t="shared" si="0"/>
        <v>252</v>
      </c>
      <c r="M24" s="144" t="str">
        <f t="shared" si="2"/>
        <v>2d</v>
      </c>
      <c r="N24" s="150" t="str">
        <f t="shared" si="3"/>
        <v>+1</v>
      </c>
      <c r="O24" s="144" t="str">
        <f t="shared" si="4"/>
        <v>4d</v>
      </c>
      <c r="P24" s="150" t="str">
        <f t="shared" si="5"/>
        <v>+1</v>
      </c>
    </row>
    <row r="25" spans="1:16" ht="16.5" customHeight="1">
      <c r="A25" s="91">
        <v>24</v>
      </c>
      <c r="B25" s="91" t="s">
        <v>154</v>
      </c>
      <c r="C25" s="91" t="s">
        <v>163</v>
      </c>
      <c r="F25" s="92">
        <f t="shared" si="1"/>
        <v>20</v>
      </c>
      <c r="G25" s="92">
        <f t="shared" ref="G25:J25" si="25">G24 +4</f>
        <v>76</v>
      </c>
      <c r="H25" s="92">
        <f t="shared" si="25"/>
        <v>80</v>
      </c>
      <c r="I25" s="92">
        <f t="shared" si="25"/>
        <v>84</v>
      </c>
      <c r="J25" s="92">
        <f t="shared" si="25"/>
        <v>88</v>
      </c>
      <c r="K25" s="142">
        <f t="shared" si="0"/>
        <v>264</v>
      </c>
      <c r="M25" s="144" t="str">
        <f t="shared" si="2"/>
        <v>2d</v>
      </c>
      <c r="N25" s="150" t="str">
        <f t="shared" si="3"/>
        <v>+1</v>
      </c>
      <c r="O25" s="144" t="str">
        <f t="shared" si="4"/>
        <v>4d</v>
      </c>
      <c r="P25" s="150" t="str">
        <f t="shared" si="5"/>
        <v>+2</v>
      </c>
    </row>
    <row r="26" spans="1:16" ht="16.5" customHeight="1">
      <c r="A26" s="91">
        <v>25</v>
      </c>
      <c r="B26" s="91" t="s">
        <v>155</v>
      </c>
      <c r="C26" s="91" t="s">
        <v>164</v>
      </c>
      <c r="F26" s="92">
        <f t="shared" si="1"/>
        <v>21</v>
      </c>
      <c r="G26" s="92">
        <f t="shared" ref="G26:J26" si="26">G25 +4</f>
        <v>80</v>
      </c>
      <c r="H26" s="92">
        <f t="shared" si="26"/>
        <v>84</v>
      </c>
      <c r="I26" s="92">
        <f t="shared" si="26"/>
        <v>88</v>
      </c>
      <c r="J26" s="92">
        <f t="shared" si="26"/>
        <v>92</v>
      </c>
      <c r="K26" s="142">
        <f t="shared" si="0"/>
        <v>276</v>
      </c>
      <c r="M26" s="144" t="str">
        <f t="shared" si="2"/>
        <v>2d</v>
      </c>
      <c r="N26" s="150" t="str">
        <f t="shared" si="3"/>
        <v>+2</v>
      </c>
      <c r="O26" s="144" t="str">
        <f t="shared" si="4"/>
        <v>5d</v>
      </c>
      <c r="P26" s="150" t="str">
        <f t="shared" si="5"/>
        <v>-1</v>
      </c>
    </row>
    <row r="27" spans="1:16" ht="16.5" customHeight="1">
      <c r="A27" s="91">
        <v>26</v>
      </c>
      <c r="B27" s="91" t="s">
        <v>155</v>
      </c>
      <c r="C27" s="91" t="s">
        <v>165</v>
      </c>
      <c r="F27" s="92">
        <f t="shared" si="1"/>
        <v>22</v>
      </c>
      <c r="G27" s="92">
        <f t="shared" ref="G27:J27" si="27">G26 +4</f>
        <v>84</v>
      </c>
      <c r="H27" s="92">
        <f t="shared" si="27"/>
        <v>88</v>
      </c>
      <c r="I27" s="92">
        <f t="shared" si="27"/>
        <v>92</v>
      </c>
      <c r="J27" s="92">
        <f t="shared" si="27"/>
        <v>96</v>
      </c>
      <c r="K27" s="142">
        <f t="shared" si="0"/>
        <v>288</v>
      </c>
      <c r="M27" s="144" t="str">
        <f t="shared" si="2"/>
        <v>2d</v>
      </c>
      <c r="N27" s="150" t="str">
        <f t="shared" si="3"/>
        <v>+2</v>
      </c>
      <c r="O27" s="144" t="str">
        <f t="shared" si="4"/>
        <v>5d</v>
      </c>
      <c r="P27" s="150">
        <f t="shared" si="5"/>
        <v>0</v>
      </c>
    </row>
    <row r="28" spans="1:16" ht="16.5" customHeight="1">
      <c r="A28" s="91">
        <v>27</v>
      </c>
      <c r="B28" s="91" t="s">
        <v>156</v>
      </c>
      <c r="C28" s="91" t="s">
        <v>166</v>
      </c>
      <c r="F28" s="92">
        <f t="shared" si="1"/>
        <v>23</v>
      </c>
      <c r="G28" s="92">
        <f t="shared" ref="G28:J28" si="28">G27 +4</f>
        <v>88</v>
      </c>
      <c r="H28" s="92">
        <f t="shared" si="28"/>
        <v>92</v>
      </c>
      <c r="I28" s="92">
        <f t="shared" si="28"/>
        <v>96</v>
      </c>
      <c r="J28" s="92">
        <f t="shared" si="28"/>
        <v>100</v>
      </c>
      <c r="K28" s="142">
        <f t="shared" si="0"/>
        <v>300</v>
      </c>
      <c r="M28" s="144" t="str">
        <f t="shared" si="2"/>
        <v>3d</v>
      </c>
      <c r="N28" s="150" t="str">
        <f t="shared" si="3"/>
        <v>-1</v>
      </c>
      <c r="O28" s="144" t="str">
        <f t="shared" si="4"/>
        <v>5d</v>
      </c>
      <c r="P28" s="150" t="str">
        <f t="shared" si="5"/>
        <v>+1</v>
      </c>
    </row>
    <row r="29" spans="1:16" ht="16.5" customHeight="1">
      <c r="A29" s="91">
        <v>28</v>
      </c>
      <c r="B29" s="91" t="s">
        <v>156</v>
      </c>
      <c r="C29" s="91" t="s">
        <v>166</v>
      </c>
      <c r="F29" s="92">
        <f t="shared" si="1"/>
        <v>24</v>
      </c>
      <c r="G29" s="92">
        <f t="shared" ref="G29:J29" si="29">G28 +4</f>
        <v>92</v>
      </c>
      <c r="H29" s="92">
        <f t="shared" si="29"/>
        <v>96</v>
      </c>
      <c r="I29" s="92">
        <f t="shared" si="29"/>
        <v>100</v>
      </c>
      <c r="J29" s="92">
        <f t="shared" si="29"/>
        <v>104</v>
      </c>
      <c r="K29" s="142">
        <f t="shared" si="0"/>
        <v>312</v>
      </c>
      <c r="M29" s="144" t="str">
        <f t="shared" si="2"/>
        <v>3d</v>
      </c>
      <c r="N29" s="150" t="str">
        <f t="shared" si="3"/>
        <v>-1</v>
      </c>
      <c r="O29" s="144" t="str">
        <f t="shared" si="4"/>
        <v>5d</v>
      </c>
      <c r="P29" s="150" t="str">
        <f t="shared" si="5"/>
        <v>+1</v>
      </c>
    </row>
    <row r="30" spans="1:16" ht="16.5" customHeight="1">
      <c r="A30" s="91">
        <v>29</v>
      </c>
      <c r="B30" s="91" t="s">
        <v>157</v>
      </c>
      <c r="C30" s="91" t="s">
        <v>167</v>
      </c>
      <c r="F30" s="92">
        <f t="shared" si="1"/>
        <v>25</v>
      </c>
      <c r="G30" s="92">
        <f t="shared" ref="G30:J30" si="30">G29 +4</f>
        <v>96</v>
      </c>
      <c r="H30" s="92">
        <f t="shared" si="30"/>
        <v>100</v>
      </c>
      <c r="I30" s="92">
        <f t="shared" si="30"/>
        <v>104</v>
      </c>
      <c r="J30" s="92">
        <f t="shared" si="30"/>
        <v>108</v>
      </c>
      <c r="K30" s="142">
        <f t="shared" si="0"/>
        <v>324</v>
      </c>
      <c r="M30" s="144" t="str">
        <f t="shared" si="2"/>
        <v>3d</v>
      </c>
      <c r="N30" s="150">
        <f t="shared" si="3"/>
        <v>0</v>
      </c>
      <c r="O30" s="144" t="str">
        <f t="shared" si="4"/>
        <v>5d</v>
      </c>
      <c r="P30" s="150" t="str">
        <f t="shared" si="5"/>
        <v>+2</v>
      </c>
    </row>
    <row r="31" spans="1:16" ht="16.5" customHeight="1">
      <c r="A31" s="91">
        <v>30</v>
      </c>
      <c r="B31" s="91" t="s">
        <v>157</v>
      </c>
      <c r="C31" s="91" t="s">
        <v>167</v>
      </c>
      <c r="F31" s="92">
        <f t="shared" si="1"/>
        <v>26</v>
      </c>
      <c r="G31" s="92">
        <f t="shared" ref="G31:J31" si="31">G30 +4</f>
        <v>100</v>
      </c>
      <c r="H31" s="92">
        <f t="shared" si="31"/>
        <v>104</v>
      </c>
      <c r="I31" s="92">
        <f t="shared" si="31"/>
        <v>108</v>
      </c>
      <c r="J31" s="92">
        <f t="shared" si="31"/>
        <v>112</v>
      </c>
      <c r="K31" s="142">
        <f t="shared" si="0"/>
        <v>336</v>
      </c>
      <c r="M31" s="144" t="str">
        <f t="shared" si="2"/>
        <v>3d</v>
      </c>
      <c r="N31" s="150">
        <f t="shared" si="3"/>
        <v>0</v>
      </c>
      <c r="O31" s="144" t="str">
        <f t="shared" si="4"/>
        <v>5d</v>
      </c>
      <c r="P31" s="150" t="str">
        <f t="shared" si="5"/>
        <v>+2</v>
      </c>
    </row>
    <row r="32" spans="1:16" ht="16.5" customHeight="1">
      <c r="A32" s="91">
        <v>31</v>
      </c>
      <c r="B32" s="91" t="s">
        <v>158</v>
      </c>
      <c r="C32" s="91" t="s">
        <v>168</v>
      </c>
      <c r="F32" s="92">
        <f t="shared" si="1"/>
        <v>27</v>
      </c>
      <c r="G32" s="92">
        <f t="shared" ref="G32:J32" si="32">G31 +4</f>
        <v>104</v>
      </c>
      <c r="H32" s="92">
        <f t="shared" si="32"/>
        <v>108</v>
      </c>
      <c r="I32" s="92">
        <f t="shared" si="32"/>
        <v>112</v>
      </c>
      <c r="J32" s="92">
        <f t="shared" si="32"/>
        <v>116</v>
      </c>
      <c r="K32" s="142">
        <f t="shared" si="0"/>
        <v>348</v>
      </c>
      <c r="M32" s="144" t="str">
        <f t="shared" si="2"/>
        <v>3d</v>
      </c>
      <c r="N32" s="150" t="str">
        <f t="shared" si="3"/>
        <v>+1</v>
      </c>
      <c r="O32" s="144" t="str">
        <f t="shared" si="4"/>
        <v>6d</v>
      </c>
      <c r="P32" s="150" t="str">
        <f t="shared" si="5"/>
        <v>-1</v>
      </c>
    </row>
    <row r="33" spans="1:16" ht="16.5" customHeight="1">
      <c r="A33" s="91">
        <v>32</v>
      </c>
      <c r="B33" s="91" t="s">
        <v>158</v>
      </c>
      <c r="C33" s="91" t="s">
        <v>168</v>
      </c>
      <c r="F33" s="92">
        <f t="shared" si="1"/>
        <v>28</v>
      </c>
      <c r="G33" s="92">
        <f t="shared" ref="G33:J33" si="33">G32 +4</f>
        <v>108</v>
      </c>
      <c r="H33" s="92">
        <f t="shared" si="33"/>
        <v>112</v>
      </c>
      <c r="I33" s="92">
        <f t="shared" si="33"/>
        <v>116</v>
      </c>
      <c r="J33" s="92">
        <f t="shared" si="33"/>
        <v>120</v>
      </c>
      <c r="K33" s="142">
        <f t="shared" si="0"/>
        <v>360</v>
      </c>
      <c r="M33" s="144" t="str">
        <f t="shared" si="2"/>
        <v>3d</v>
      </c>
      <c r="N33" s="150" t="str">
        <f t="shared" si="3"/>
        <v>+1</v>
      </c>
      <c r="O33" s="144" t="str">
        <f t="shared" si="4"/>
        <v>6d</v>
      </c>
      <c r="P33" s="150" t="str">
        <f t="shared" si="5"/>
        <v>-1</v>
      </c>
    </row>
    <row r="34" spans="1:16" ht="16.5" customHeight="1">
      <c r="A34" s="91">
        <v>33</v>
      </c>
      <c r="B34" s="91" t="s">
        <v>159</v>
      </c>
      <c r="C34" s="91" t="s">
        <v>169</v>
      </c>
      <c r="F34" s="92">
        <f t="shared" si="1"/>
        <v>29</v>
      </c>
      <c r="G34" s="92">
        <f t="shared" ref="G34:J34" si="34">G33 +4</f>
        <v>112</v>
      </c>
      <c r="H34" s="92">
        <f t="shared" si="34"/>
        <v>116</v>
      </c>
      <c r="I34" s="92">
        <f t="shared" si="34"/>
        <v>120</v>
      </c>
      <c r="J34" s="92">
        <f t="shared" si="34"/>
        <v>124</v>
      </c>
      <c r="K34" s="142">
        <f t="shared" si="0"/>
        <v>372</v>
      </c>
      <c r="M34" s="144" t="str">
        <f t="shared" si="2"/>
        <v>3d</v>
      </c>
      <c r="N34" s="150" t="str">
        <f t="shared" si="3"/>
        <v>+2</v>
      </c>
      <c r="O34" s="144" t="str">
        <f t="shared" si="4"/>
        <v>6d</v>
      </c>
      <c r="P34" s="150">
        <f t="shared" si="5"/>
        <v>0</v>
      </c>
    </row>
    <row r="35" spans="1:16" ht="16.5" customHeight="1">
      <c r="A35" s="91">
        <v>34</v>
      </c>
      <c r="B35" s="91" t="s">
        <v>159</v>
      </c>
      <c r="C35" s="91" t="s">
        <v>169</v>
      </c>
      <c r="F35" s="92">
        <f t="shared" si="1"/>
        <v>30</v>
      </c>
      <c r="G35" s="92">
        <f t="shared" ref="G35:J35" si="35">G34 +4</f>
        <v>116</v>
      </c>
      <c r="H35" s="92">
        <f t="shared" si="35"/>
        <v>120</v>
      </c>
      <c r="I35" s="92">
        <f t="shared" si="35"/>
        <v>124</v>
      </c>
      <c r="J35" s="92">
        <f t="shared" si="35"/>
        <v>128</v>
      </c>
      <c r="K35" s="142">
        <f t="shared" si="0"/>
        <v>384</v>
      </c>
      <c r="M35" s="144" t="str">
        <f t="shared" si="2"/>
        <v>3d</v>
      </c>
      <c r="N35" s="150" t="str">
        <f t="shared" si="3"/>
        <v>+2</v>
      </c>
      <c r="O35" s="144" t="str">
        <f t="shared" si="4"/>
        <v>6d</v>
      </c>
      <c r="P35" s="150">
        <f t="shared" si="5"/>
        <v>0</v>
      </c>
    </row>
    <row r="36" spans="1:16" ht="16.5" customHeight="1">
      <c r="A36" s="91">
        <v>35</v>
      </c>
      <c r="B36" s="91" t="s">
        <v>160</v>
      </c>
      <c r="C36" s="91" t="s">
        <v>170</v>
      </c>
      <c r="F36" s="92">
        <f t="shared" si="1"/>
        <v>31</v>
      </c>
      <c r="G36" s="92">
        <f t="shared" ref="G36:J36" si="36">G35 +4</f>
        <v>120</v>
      </c>
      <c r="H36" s="92">
        <f t="shared" si="36"/>
        <v>124</v>
      </c>
      <c r="I36" s="92">
        <f t="shared" si="36"/>
        <v>128</v>
      </c>
      <c r="J36" s="92">
        <f t="shared" si="36"/>
        <v>132</v>
      </c>
      <c r="K36" s="142">
        <f t="shared" si="0"/>
        <v>396</v>
      </c>
      <c r="M36" s="144" t="str">
        <f t="shared" si="2"/>
        <v>4d</v>
      </c>
      <c r="N36" s="150" t="str">
        <f t="shared" si="3"/>
        <v>-1</v>
      </c>
      <c r="O36" s="144" t="str">
        <f t="shared" si="4"/>
        <v>6d</v>
      </c>
      <c r="P36" s="150" t="str">
        <f t="shared" si="5"/>
        <v>+1</v>
      </c>
    </row>
    <row r="37" spans="1:16" ht="16.5" customHeight="1">
      <c r="A37" s="91">
        <v>36</v>
      </c>
      <c r="B37" s="91" t="s">
        <v>160</v>
      </c>
      <c r="C37" s="91" t="s">
        <v>170</v>
      </c>
      <c r="F37" s="92">
        <f t="shared" si="1"/>
        <v>32</v>
      </c>
      <c r="G37" s="92">
        <f t="shared" ref="G37:J37" si="37">G36 +4</f>
        <v>124</v>
      </c>
      <c r="H37" s="92">
        <f t="shared" si="37"/>
        <v>128</v>
      </c>
      <c r="I37" s="92">
        <f t="shared" si="37"/>
        <v>132</v>
      </c>
      <c r="J37" s="92">
        <f t="shared" si="37"/>
        <v>136</v>
      </c>
      <c r="K37" s="142">
        <f t="shared" si="0"/>
        <v>408</v>
      </c>
      <c r="M37" s="144" t="str">
        <f t="shared" si="2"/>
        <v>4d</v>
      </c>
      <c r="N37" s="150" t="str">
        <f t="shared" si="3"/>
        <v>-1</v>
      </c>
      <c r="O37" s="144" t="str">
        <f t="shared" si="4"/>
        <v>6d</v>
      </c>
      <c r="P37" s="150" t="str">
        <f t="shared" si="5"/>
        <v>+1</v>
      </c>
    </row>
    <row r="38" spans="1:16" ht="16.5" customHeight="1">
      <c r="A38" s="91">
        <v>37</v>
      </c>
      <c r="B38" s="91" t="s">
        <v>161</v>
      </c>
      <c r="C38" s="91" t="s">
        <v>171</v>
      </c>
      <c r="F38" s="92">
        <f t="shared" si="1"/>
        <v>33</v>
      </c>
      <c r="G38" s="92">
        <f t="shared" ref="G38:J38" si="38">G37 +4</f>
        <v>128</v>
      </c>
      <c r="H38" s="92">
        <f t="shared" si="38"/>
        <v>132</v>
      </c>
      <c r="I38" s="92">
        <f t="shared" si="38"/>
        <v>136</v>
      </c>
      <c r="J38" s="92">
        <f t="shared" si="38"/>
        <v>140</v>
      </c>
      <c r="K38" s="142">
        <f t="shared" si="0"/>
        <v>420</v>
      </c>
      <c r="M38" s="144" t="str">
        <f t="shared" si="2"/>
        <v>4d</v>
      </c>
      <c r="N38" s="150">
        <f t="shared" si="3"/>
        <v>0</v>
      </c>
      <c r="O38" s="144" t="str">
        <f t="shared" si="4"/>
        <v>6d</v>
      </c>
      <c r="P38" s="150" t="str">
        <f t="shared" si="5"/>
        <v>+2</v>
      </c>
    </row>
    <row r="39" spans="1:16" ht="16.5" customHeight="1">
      <c r="A39" s="91">
        <v>38</v>
      </c>
      <c r="B39" s="91" t="s">
        <v>161</v>
      </c>
      <c r="C39" s="91" t="s">
        <v>171</v>
      </c>
      <c r="F39" s="92">
        <f t="shared" si="1"/>
        <v>34</v>
      </c>
      <c r="G39" s="92">
        <f t="shared" ref="G39:J39" si="39">G38 +4</f>
        <v>132</v>
      </c>
      <c r="H39" s="92">
        <f t="shared" si="39"/>
        <v>136</v>
      </c>
      <c r="I39" s="92">
        <f t="shared" si="39"/>
        <v>140</v>
      </c>
      <c r="J39" s="92">
        <f t="shared" si="39"/>
        <v>144</v>
      </c>
      <c r="K39" s="142">
        <f t="shared" si="0"/>
        <v>432</v>
      </c>
      <c r="M39" s="144" t="str">
        <f t="shared" si="2"/>
        <v>4d</v>
      </c>
      <c r="N39" s="150">
        <f t="shared" si="3"/>
        <v>0</v>
      </c>
      <c r="O39" s="144" t="str">
        <f t="shared" si="4"/>
        <v>6d</v>
      </c>
      <c r="P39" s="150" t="str">
        <f t="shared" si="5"/>
        <v>+2</v>
      </c>
    </row>
    <row r="40" spans="1:16" ht="16.5" customHeight="1">
      <c r="A40" s="91">
        <v>39</v>
      </c>
      <c r="B40" s="91" t="s">
        <v>162</v>
      </c>
      <c r="C40" s="91" t="s">
        <v>172</v>
      </c>
      <c r="F40" s="92">
        <f t="shared" si="1"/>
        <v>35</v>
      </c>
      <c r="G40" s="92">
        <f t="shared" ref="G40:J40" si="40">G39 +4</f>
        <v>136</v>
      </c>
      <c r="H40" s="92">
        <f t="shared" si="40"/>
        <v>140</v>
      </c>
      <c r="I40" s="92">
        <f t="shared" si="40"/>
        <v>144</v>
      </c>
      <c r="J40" s="92">
        <f t="shared" si="40"/>
        <v>148</v>
      </c>
      <c r="K40" s="142">
        <f t="shared" si="0"/>
        <v>444</v>
      </c>
      <c r="M40" s="144" t="str">
        <f t="shared" si="2"/>
        <v>4d</v>
      </c>
      <c r="N40" s="150" t="str">
        <f t="shared" si="3"/>
        <v>+1</v>
      </c>
      <c r="O40" s="144" t="str">
        <f t="shared" si="4"/>
        <v>7d</v>
      </c>
      <c r="P40" s="150" t="str">
        <f t="shared" si="5"/>
        <v>-1</v>
      </c>
    </row>
    <row r="41" spans="1:16" ht="16.5" customHeight="1">
      <c r="A41" s="91">
        <v>40</v>
      </c>
      <c r="B41" s="91" t="s">
        <v>162</v>
      </c>
      <c r="C41" s="91" t="s">
        <v>172</v>
      </c>
      <c r="F41" s="92">
        <f t="shared" si="1"/>
        <v>36</v>
      </c>
      <c r="G41" s="92">
        <f t="shared" ref="G41:J41" si="41">G40 +4</f>
        <v>140</v>
      </c>
      <c r="H41" s="92">
        <f t="shared" si="41"/>
        <v>144</v>
      </c>
      <c r="I41" s="92">
        <f t="shared" si="41"/>
        <v>148</v>
      </c>
      <c r="J41" s="92">
        <f t="shared" si="41"/>
        <v>152</v>
      </c>
      <c r="K41" s="142">
        <f t="shared" si="0"/>
        <v>456</v>
      </c>
      <c r="M41" s="144" t="str">
        <f t="shared" si="2"/>
        <v>4d</v>
      </c>
      <c r="N41" s="150" t="str">
        <f t="shared" si="3"/>
        <v>+1</v>
      </c>
      <c r="O41" s="144" t="str">
        <f t="shared" si="4"/>
        <v>7d</v>
      </c>
      <c r="P41" s="150" t="str">
        <f t="shared" si="5"/>
        <v>-1</v>
      </c>
    </row>
    <row r="42" spans="1:16" ht="16.5" customHeight="1">
      <c r="A42" s="91">
        <v>41</v>
      </c>
      <c r="B42" s="91" t="s">
        <v>162</v>
      </c>
      <c r="C42" s="91" t="s">
        <v>172</v>
      </c>
      <c r="F42" s="92">
        <f t="shared" si="1"/>
        <v>37</v>
      </c>
      <c r="G42" s="92">
        <f t="shared" ref="G42:J42" si="42">G41 +4</f>
        <v>144</v>
      </c>
      <c r="H42" s="92">
        <f t="shared" si="42"/>
        <v>148</v>
      </c>
      <c r="I42" s="92">
        <f t="shared" si="42"/>
        <v>152</v>
      </c>
      <c r="J42" s="92">
        <f t="shared" si="42"/>
        <v>156</v>
      </c>
      <c r="K42" s="142">
        <f t="shared" si="0"/>
        <v>468</v>
      </c>
      <c r="M42" s="144" t="str">
        <f t="shared" si="2"/>
        <v>4d</v>
      </c>
      <c r="N42" s="150" t="str">
        <f t="shared" si="3"/>
        <v>+1</v>
      </c>
      <c r="O42" s="144" t="str">
        <f t="shared" si="4"/>
        <v>7d</v>
      </c>
      <c r="P42" s="150" t="str">
        <f t="shared" si="5"/>
        <v>-1</v>
      </c>
    </row>
    <row r="43" spans="1:16" ht="16.5" customHeight="1">
      <c r="A43" s="91">
        <v>42</v>
      </c>
      <c r="B43" s="91" t="s">
        <v>162</v>
      </c>
      <c r="C43" s="91" t="s">
        <v>172</v>
      </c>
      <c r="F43" s="92">
        <f t="shared" si="1"/>
        <v>38</v>
      </c>
      <c r="G43" s="92">
        <f t="shared" ref="G43:J43" si="43">G42 +4</f>
        <v>148</v>
      </c>
      <c r="H43" s="92">
        <f t="shared" si="43"/>
        <v>152</v>
      </c>
      <c r="I43" s="92">
        <f t="shared" si="43"/>
        <v>156</v>
      </c>
      <c r="J43" s="92">
        <f t="shared" si="43"/>
        <v>160</v>
      </c>
      <c r="K43" s="142">
        <f t="shared" si="0"/>
        <v>480</v>
      </c>
      <c r="M43" s="144" t="str">
        <f t="shared" si="2"/>
        <v>4d</v>
      </c>
      <c r="N43" s="150" t="str">
        <f t="shared" si="3"/>
        <v>+1</v>
      </c>
      <c r="O43" s="144" t="str">
        <f t="shared" si="4"/>
        <v>7d</v>
      </c>
      <c r="P43" s="150" t="str">
        <f t="shared" si="5"/>
        <v>-1</v>
      </c>
    </row>
    <row r="44" spans="1:16" ht="16.5" customHeight="1">
      <c r="A44" s="91">
        <v>43</v>
      </c>
      <c r="B44" s="91" t="s">
        <v>162</v>
      </c>
      <c r="C44" s="91" t="s">
        <v>172</v>
      </c>
      <c r="F44" s="92">
        <f t="shared" si="1"/>
        <v>39</v>
      </c>
      <c r="G44" s="92">
        <f t="shared" ref="G44:J44" si="44">G43 +4</f>
        <v>152</v>
      </c>
      <c r="H44" s="92">
        <f t="shared" si="44"/>
        <v>156</v>
      </c>
      <c r="I44" s="92">
        <f t="shared" si="44"/>
        <v>160</v>
      </c>
      <c r="J44" s="92">
        <f t="shared" si="44"/>
        <v>164</v>
      </c>
      <c r="K44" s="142">
        <f t="shared" si="0"/>
        <v>492</v>
      </c>
      <c r="M44" s="144" t="str">
        <f t="shared" si="2"/>
        <v>4d</v>
      </c>
      <c r="N44" s="150" t="str">
        <f t="shared" si="3"/>
        <v>+1</v>
      </c>
      <c r="O44" s="144" t="str">
        <f t="shared" si="4"/>
        <v>7d</v>
      </c>
      <c r="P44" s="150" t="str">
        <f t="shared" si="5"/>
        <v>-1</v>
      </c>
    </row>
    <row r="45" spans="1:16" ht="16.5" customHeight="1">
      <c r="A45" s="91">
        <v>44</v>
      </c>
      <c r="B45" s="91" t="s">
        <v>162</v>
      </c>
      <c r="C45" s="91" t="s">
        <v>172</v>
      </c>
      <c r="F45" s="92">
        <f t="shared" si="1"/>
        <v>40</v>
      </c>
      <c r="G45" s="92">
        <f t="shared" ref="G45:J45" si="45">G44 +4</f>
        <v>156</v>
      </c>
      <c r="H45" s="92">
        <f t="shared" si="45"/>
        <v>160</v>
      </c>
      <c r="I45" s="92">
        <f t="shared" si="45"/>
        <v>164</v>
      </c>
      <c r="J45" s="92">
        <f t="shared" si="45"/>
        <v>168</v>
      </c>
      <c r="K45" s="142">
        <f t="shared" si="0"/>
        <v>504</v>
      </c>
      <c r="M45" s="144" t="str">
        <f t="shared" si="2"/>
        <v>4d</v>
      </c>
      <c r="N45" s="150" t="str">
        <f t="shared" si="3"/>
        <v>+1</v>
      </c>
      <c r="O45" s="144" t="str">
        <f t="shared" si="4"/>
        <v>7d</v>
      </c>
      <c r="P45" s="150" t="str">
        <f t="shared" si="5"/>
        <v>-1</v>
      </c>
    </row>
    <row r="46" spans="1:16" ht="16.5" customHeight="1">
      <c r="A46" s="91">
        <v>45</v>
      </c>
      <c r="B46" s="91" t="s">
        <v>165</v>
      </c>
      <c r="C46" s="91" t="s">
        <v>173</v>
      </c>
      <c r="F46" s="92">
        <f t="shared" si="1"/>
        <v>41</v>
      </c>
      <c r="G46" s="92">
        <f t="shared" ref="G46:J46" si="46">G45 +4</f>
        <v>160</v>
      </c>
      <c r="H46" s="92">
        <f t="shared" si="46"/>
        <v>164</v>
      </c>
      <c r="I46" s="92">
        <f t="shared" si="46"/>
        <v>168</v>
      </c>
      <c r="J46" s="92">
        <f t="shared" si="46"/>
        <v>172</v>
      </c>
      <c r="K46" s="142">
        <f t="shared" si="0"/>
        <v>516</v>
      </c>
      <c r="M46" s="144" t="str">
        <f t="shared" si="2"/>
        <v>5d</v>
      </c>
      <c r="N46" s="150">
        <f t="shared" si="3"/>
        <v>0</v>
      </c>
      <c r="O46" s="144" t="str">
        <f t="shared" si="4"/>
        <v>7d</v>
      </c>
      <c r="P46" s="150" t="str">
        <f t="shared" si="5"/>
        <v>+1</v>
      </c>
    </row>
    <row r="47" spans="1:16" ht="16.5" customHeight="1">
      <c r="A47" s="91">
        <v>46</v>
      </c>
      <c r="B47" s="91" t="s">
        <v>165</v>
      </c>
      <c r="C47" s="91" t="s">
        <v>173</v>
      </c>
      <c r="F47" s="92">
        <f t="shared" si="1"/>
        <v>42</v>
      </c>
      <c r="G47" s="92">
        <f t="shared" ref="G47:J47" si="47">G46 +4</f>
        <v>164</v>
      </c>
      <c r="H47" s="92">
        <f t="shared" si="47"/>
        <v>168</v>
      </c>
      <c r="I47" s="92">
        <f t="shared" si="47"/>
        <v>172</v>
      </c>
      <c r="J47" s="92">
        <f t="shared" si="47"/>
        <v>176</v>
      </c>
      <c r="K47" s="142">
        <f t="shared" si="0"/>
        <v>528</v>
      </c>
      <c r="M47" s="144" t="str">
        <f t="shared" si="2"/>
        <v>5d</v>
      </c>
      <c r="N47" s="150">
        <f t="shared" si="3"/>
        <v>0</v>
      </c>
      <c r="O47" s="144" t="str">
        <f t="shared" si="4"/>
        <v>7d</v>
      </c>
      <c r="P47" s="150" t="str">
        <f t="shared" si="5"/>
        <v>+1</v>
      </c>
    </row>
    <row r="48" spans="1:16" ht="16.5" customHeight="1">
      <c r="A48" s="91">
        <v>47</v>
      </c>
      <c r="B48" s="91" t="s">
        <v>165</v>
      </c>
      <c r="C48" s="91" t="s">
        <v>173</v>
      </c>
      <c r="F48" s="92">
        <f t="shared" si="1"/>
        <v>43</v>
      </c>
      <c r="G48" s="92">
        <f t="shared" ref="G48:J48" si="48">G47 +4</f>
        <v>168</v>
      </c>
      <c r="H48" s="92">
        <f t="shared" si="48"/>
        <v>172</v>
      </c>
      <c r="I48" s="92">
        <f t="shared" si="48"/>
        <v>176</v>
      </c>
      <c r="J48" s="92">
        <f t="shared" si="48"/>
        <v>180</v>
      </c>
      <c r="K48" s="142">
        <f t="shared" si="0"/>
        <v>540</v>
      </c>
      <c r="M48" s="144" t="str">
        <f t="shared" si="2"/>
        <v>5d</v>
      </c>
      <c r="N48" s="150">
        <f t="shared" si="3"/>
        <v>0</v>
      </c>
      <c r="O48" s="144" t="str">
        <f t="shared" si="4"/>
        <v>7d</v>
      </c>
      <c r="P48" s="150" t="str">
        <f t="shared" si="5"/>
        <v>+1</v>
      </c>
    </row>
    <row r="49" spans="1:16" ht="16.5" customHeight="1">
      <c r="A49" s="91">
        <v>48</v>
      </c>
      <c r="B49" s="91" t="s">
        <v>165</v>
      </c>
      <c r="C49" s="91" t="s">
        <v>173</v>
      </c>
      <c r="F49" s="92">
        <f t="shared" si="1"/>
        <v>44</v>
      </c>
      <c r="G49" s="92">
        <f t="shared" ref="G49:J49" si="49">G48 +4</f>
        <v>172</v>
      </c>
      <c r="H49" s="92">
        <f t="shared" si="49"/>
        <v>176</v>
      </c>
      <c r="I49" s="92">
        <f t="shared" si="49"/>
        <v>180</v>
      </c>
      <c r="J49" s="92">
        <f t="shared" si="49"/>
        <v>184</v>
      </c>
      <c r="K49" s="142">
        <f t="shared" si="0"/>
        <v>552</v>
      </c>
      <c r="M49" s="144" t="str">
        <f t="shared" si="2"/>
        <v>5d</v>
      </c>
      <c r="N49" s="150">
        <f t="shared" si="3"/>
        <v>0</v>
      </c>
      <c r="O49" s="144" t="str">
        <f t="shared" si="4"/>
        <v>7d</v>
      </c>
      <c r="P49" s="150" t="str">
        <f t="shared" si="5"/>
        <v>+1</v>
      </c>
    </row>
    <row r="50" spans="1:16" ht="16.5" customHeight="1">
      <c r="A50" s="91">
        <v>49</v>
      </c>
      <c r="B50" s="91" t="s">
        <v>165</v>
      </c>
      <c r="C50" s="91" t="s">
        <v>173</v>
      </c>
      <c r="F50" s="92">
        <f t="shared" si="1"/>
        <v>45</v>
      </c>
      <c r="G50" s="92">
        <f t="shared" ref="G50:J50" si="50">G49 +4</f>
        <v>176</v>
      </c>
      <c r="H50" s="92">
        <f t="shared" si="50"/>
        <v>180</v>
      </c>
      <c r="I50" s="92">
        <f t="shared" si="50"/>
        <v>184</v>
      </c>
      <c r="J50" s="92">
        <f t="shared" si="50"/>
        <v>188</v>
      </c>
      <c r="K50" s="142">
        <f t="shared" si="0"/>
        <v>564</v>
      </c>
      <c r="M50" s="144" t="str">
        <f t="shared" si="2"/>
        <v>5d</v>
      </c>
      <c r="N50" s="150">
        <f t="shared" si="3"/>
        <v>0</v>
      </c>
      <c r="O50" s="144" t="str">
        <f t="shared" si="4"/>
        <v>7d</v>
      </c>
      <c r="P50" s="150" t="str">
        <f t="shared" si="5"/>
        <v>+1</v>
      </c>
    </row>
    <row r="51" spans="1:16" ht="16.5" customHeight="1">
      <c r="A51" s="91">
        <v>50</v>
      </c>
      <c r="B51" s="91" t="s">
        <v>167</v>
      </c>
      <c r="C51" s="91" t="s">
        <v>174</v>
      </c>
      <c r="F51" s="92">
        <f t="shared" si="1"/>
        <v>46</v>
      </c>
      <c r="G51" s="92">
        <f t="shared" ref="G51:J51" si="51">G50 +4</f>
        <v>180</v>
      </c>
      <c r="H51" s="92">
        <f t="shared" si="51"/>
        <v>184</v>
      </c>
      <c r="I51" s="92">
        <f t="shared" si="51"/>
        <v>188</v>
      </c>
      <c r="J51" s="92">
        <f t="shared" si="51"/>
        <v>192</v>
      </c>
      <c r="K51" s="142">
        <f t="shared" si="0"/>
        <v>576</v>
      </c>
      <c r="M51" s="144" t="str">
        <f t="shared" si="2"/>
        <v>5d</v>
      </c>
      <c r="N51" s="150" t="str">
        <f t="shared" si="3"/>
        <v>+2</v>
      </c>
      <c r="O51" s="144" t="str">
        <f t="shared" si="4"/>
        <v>8d</v>
      </c>
      <c r="P51" s="150" t="str">
        <f t="shared" si="5"/>
        <v>-1</v>
      </c>
    </row>
    <row r="52" spans="1:16" ht="16.5" customHeight="1">
      <c r="A52" s="91">
        <v>51</v>
      </c>
      <c r="B52" s="91" t="s">
        <v>167</v>
      </c>
      <c r="C52" s="91" t="s">
        <v>174</v>
      </c>
      <c r="F52" s="92">
        <f t="shared" si="1"/>
        <v>47</v>
      </c>
      <c r="G52" s="92">
        <f t="shared" ref="G52:J52" si="52">G51 +4</f>
        <v>184</v>
      </c>
      <c r="H52" s="92">
        <f t="shared" si="52"/>
        <v>188</v>
      </c>
      <c r="I52" s="92">
        <f t="shared" si="52"/>
        <v>192</v>
      </c>
      <c r="J52" s="92">
        <f t="shared" si="52"/>
        <v>196</v>
      </c>
      <c r="K52" s="142">
        <f t="shared" si="0"/>
        <v>588</v>
      </c>
      <c r="M52" s="144" t="str">
        <f t="shared" si="2"/>
        <v>5d</v>
      </c>
      <c r="N52" s="150" t="str">
        <f t="shared" si="3"/>
        <v>+2</v>
      </c>
      <c r="O52" s="144" t="str">
        <f t="shared" si="4"/>
        <v>8d</v>
      </c>
      <c r="P52" s="150" t="str">
        <f t="shared" si="5"/>
        <v>-1</v>
      </c>
    </row>
    <row r="53" spans="1:16" ht="16.5" customHeight="1">
      <c r="A53" s="91">
        <v>52</v>
      </c>
      <c r="B53" s="91" t="s">
        <v>167</v>
      </c>
      <c r="C53" s="91" t="s">
        <v>174</v>
      </c>
      <c r="F53" s="92">
        <f t="shared" si="1"/>
        <v>48</v>
      </c>
      <c r="G53" s="92">
        <f t="shared" ref="G53:J53" si="53">G52 +4</f>
        <v>188</v>
      </c>
      <c r="H53" s="92">
        <f t="shared" si="53"/>
        <v>192</v>
      </c>
      <c r="I53" s="92">
        <f t="shared" si="53"/>
        <v>196</v>
      </c>
      <c r="J53" s="92">
        <f t="shared" si="53"/>
        <v>200</v>
      </c>
      <c r="K53" s="142">
        <f t="shared" si="0"/>
        <v>600</v>
      </c>
      <c r="M53" s="144" t="str">
        <f t="shared" si="2"/>
        <v>5d</v>
      </c>
      <c r="N53" s="150" t="str">
        <f t="shared" si="3"/>
        <v>+2</v>
      </c>
      <c r="O53" s="144" t="str">
        <f t="shared" si="4"/>
        <v>8d</v>
      </c>
      <c r="P53" s="150" t="str">
        <f t="shared" si="5"/>
        <v>-1</v>
      </c>
    </row>
    <row r="54" spans="1:16" ht="16.5" customHeight="1">
      <c r="A54" s="91">
        <v>53</v>
      </c>
      <c r="B54" s="91" t="s">
        <v>167</v>
      </c>
      <c r="C54" s="91" t="s">
        <v>174</v>
      </c>
      <c r="F54" s="92">
        <f t="shared" si="1"/>
        <v>49</v>
      </c>
      <c r="G54" s="92">
        <f t="shared" ref="G54:J54" si="54">G53 +4</f>
        <v>192</v>
      </c>
      <c r="H54" s="92">
        <f t="shared" si="54"/>
        <v>196</v>
      </c>
      <c r="I54" s="92">
        <f t="shared" si="54"/>
        <v>200</v>
      </c>
      <c r="J54" s="92">
        <f t="shared" si="54"/>
        <v>204</v>
      </c>
      <c r="K54" s="142">
        <f t="shared" si="0"/>
        <v>612</v>
      </c>
      <c r="M54" s="144" t="str">
        <f t="shared" si="2"/>
        <v>5d</v>
      </c>
      <c r="N54" s="150" t="str">
        <f t="shared" si="3"/>
        <v>+2</v>
      </c>
      <c r="O54" s="144" t="str">
        <f t="shared" si="4"/>
        <v>8d</v>
      </c>
      <c r="P54" s="150" t="str">
        <f t="shared" si="5"/>
        <v>-1</v>
      </c>
    </row>
    <row r="55" spans="1:16" ht="16.5" customHeight="1">
      <c r="A55" s="91">
        <v>54</v>
      </c>
      <c r="B55" s="91" t="s">
        <v>167</v>
      </c>
      <c r="C55" s="91" t="s">
        <v>174</v>
      </c>
      <c r="F55" s="92">
        <f t="shared" si="1"/>
        <v>50</v>
      </c>
      <c r="G55" s="92">
        <f t="shared" ref="G55:J55" si="55">G54 +4</f>
        <v>196</v>
      </c>
      <c r="H55" s="92">
        <f t="shared" si="55"/>
        <v>200</v>
      </c>
      <c r="I55" s="92">
        <f t="shared" si="55"/>
        <v>204</v>
      </c>
      <c r="J55" s="92">
        <f t="shared" si="55"/>
        <v>208</v>
      </c>
      <c r="K55" s="142">
        <f t="shared" si="0"/>
        <v>624</v>
      </c>
      <c r="M55" s="144" t="str">
        <f t="shared" si="2"/>
        <v>5d</v>
      </c>
      <c r="N55" s="150" t="str">
        <f t="shared" si="3"/>
        <v>+2</v>
      </c>
      <c r="O55" s="144" t="str">
        <f t="shared" si="4"/>
        <v>8d</v>
      </c>
      <c r="P55" s="150" t="str">
        <f t="shared" si="5"/>
        <v>-1</v>
      </c>
    </row>
    <row r="56" spans="1:16" ht="16.5" customHeight="1">
      <c r="A56" s="91">
        <v>55</v>
      </c>
      <c r="B56" s="91" t="s">
        <v>169</v>
      </c>
      <c r="C56" s="91" t="s">
        <v>175</v>
      </c>
      <c r="F56" s="92">
        <f t="shared" si="1"/>
        <v>51</v>
      </c>
      <c r="G56" s="92">
        <f t="shared" ref="G56:J56" si="56">G55 +4</f>
        <v>200</v>
      </c>
      <c r="H56" s="92">
        <f t="shared" si="56"/>
        <v>204</v>
      </c>
      <c r="I56" s="92">
        <f t="shared" si="56"/>
        <v>208</v>
      </c>
      <c r="J56" s="92">
        <f t="shared" si="56"/>
        <v>212</v>
      </c>
      <c r="K56" s="142">
        <f t="shared" si="0"/>
        <v>636</v>
      </c>
      <c r="M56" s="144" t="str">
        <f t="shared" si="2"/>
        <v>6d</v>
      </c>
      <c r="N56" s="150">
        <f t="shared" si="3"/>
        <v>0</v>
      </c>
      <c r="O56" s="144" t="str">
        <f t="shared" si="4"/>
        <v>8d</v>
      </c>
      <c r="P56" s="150" t="str">
        <f t="shared" si="5"/>
        <v>+1</v>
      </c>
    </row>
    <row r="57" spans="1:16" ht="16.5" customHeight="1">
      <c r="A57" s="91">
        <v>56</v>
      </c>
      <c r="B57" s="91" t="s">
        <v>169</v>
      </c>
      <c r="C57" s="91" t="s">
        <v>175</v>
      </c>
      <c r="F57" s="92">
        <f t="shared" si="1"/>
        <v>52</v>
      </c>
      <c r="G57" s="92">
        <f t="shared" ref="G57:J57" si="57">G56 +4</f>
        <v>204</v>
      </c>
      <c r="H57" s="92">
        <f t="shared" si="57"/>
        <v>208</v>
      </c>
      <c r="I57" s="92">
        <f t="shared" si="57"/>
        <v>212</v>
      </c>
      <c r="J57" s="92">
        <f t="shared" si="57"/>
        <v>216</v>
      </c>
      <c r="K57" s="142">
        <f t="shared" si="0"/>
        <v>648</v>
      </c>
      <c r="M57" s="144" t="str">
        <f t="shared" si="2"/>
        <v>6d</v>
      </c>
      <c r="N57" s="150">
        <f t="shared" si="3"/>
        <v>0</v>
      </c>
      <c r="O57" s="144" t="str">
        <f t="shared" si="4"/>
        <v>8d</v>
      </c>
      <c r="P57" s="150" t="str">
        <f t="shared" si="5"/>
        <v>+1</v>
      </c>
    </row>
    <row r="58" spans="1:16" ht="16.5" customHeight="1">
      <c r="A58" s="91">
        <v>57</v>
      </c>
      <c r="B58" s="91" t="s">
        <v>169</v>
      </c>
      <c r="C58" s="91" t="s">
        <v>175</v>
      </c>
      <c r="F58" s="92">
        <f t="shared" si="1"/>
        <v>53</v>
      </c>
      <c r="G58" s="92">
        <f t="shared" ref="G58:J58" si="58">G57 +4</f>
        <v>208</v>
      </c>
      <c r="H58" s="92">
        <f t="shared" si="58"/>
        <v>212</v>
      </c>
      <c r="I58" s="92">
        <f t="shared" si="58"/>
        <v>216</v>
      </c>
      <c r="J58" s="92">
        <f t="shared" si="58"/>
        <v>220</v>
      </c>
      <c r="K58" s="142">
        <f t="shared" si="0"/>
        <v>660</v>
      </c>
      <c r="M58" s="144" t="str">
        <f t="shared" si="2"/>
        <v>6d</v>
      </c>
      <c r="N58" s="150">
        <f t="shared" si="3"/>
        <v>0</v>
      </c>
      <c r="O58" s="144" t="str">
        <f t="shared" si="4"/>
        <v>8d</v>
      </c>
      <c r="P58" s="150" t="str">
        <f t="shared" si="5"/>
        <v>+1</v>
      </c>
    </row>
    <row r="59" spans="1:16" ht="16.5" customHeight="1">
      <c r="A59" s="91">
        <v>58</v>
      </c>
      <c r="B59" s="91" t="s">
        <v>169</v>
      </c>
      <c r="C59" s="91" t="s">
        <v>175</v>
      </c>
      <c r="F59" s="92">
        <f t="shared" si="1"/>
        <v>54</v>
      </c>
      <c r="G59" s="92">
        <f t="shared" ref="G59:J59" si="59">G58 +4</f>
        <v>212</v>
      </c>
      <c r="H59" s="92">
        <f t="shared" si="59"/>
        <v>216</v>
      </c>
      <c r="I59" s="92">
        <f t="shared" si="59"/>
        <v>220</v>
      </c>
      <c r="J59" s="92">
        <f t="shared" si="59"/>
        <v>224</v>
      </c>
      <c r="K59" s="142">
        <f t="shared" si="0"/>
        <v>672</v>
      </c>
      <c r="M59" s="144" t="str">
        <f t="shared" si="2"/>
        <v>6d</v>
      </c>
      <c r="N59" s="150">
        <f t="shared" si="3"/>
        <v>0</v>
      </c>
      <c r="O59" s="144" t="str">
        <f t="shared" si="4"/>
        <v>8d</v>
      </c>
      <c r="P59" s="150" t="str">
        <f t="shared" si="5"/>
        <v>+1</v>
      </c>
    </row>
    <row r="60" spans="1:16" ht="16.5" customHeight="1">
      <c r="A60" s="91">
        <v>59</v>
      </c>
      <c r="B60" s="91" t="s">
        <v>169</v>
      </c>
      <c r="C60" s="91" t="s">
        <v>175</v>
      </c>
      <c r="F60" s="92">
        <f t="shared" si="1"/>
        <v>55</v>
      </c>
      <c r="G60" s="92">
        <f t="shared" ref="G60:J60" si="60">G59 +4</f>
        <v>216</v>
      </c>
      <c r="H60" s="92">
        <f t="shared" si="60"/>
        <v>220</v>
      </c>
      <c r="I60" s="92">
        <f t="shared" si="60"/>
        <v>224</v>
      </c>
      <c r="J60" s="92">
        <f t="shared" si="60"/>
        <v>228</v>
      </c>
      <c r="K60" s="142">
        <f t="shared" si="0"/>
        <v>684</v>
      </c>
      <c r="M60" s="144" t="str">
        <f t="shared" si="2"/>
        <v>6d</v>
      </c>
      <c r="N60" s="150">
        <f t="shared" si="3"/>
        <v>0</v>
      </c>
      <c r="O60" s="144" t="str">
        <f t="shared" si="4"/>
        <v>8d</v>
      </c>
      <c r="P60" s="150" t="str">
        <f t="shared" si="5"/>
        <v>+1</v>
      </c>
    </row>
    <row r="61" spans="1:16" ht="16.5" customHeight="1">
      <c r="A61" s="91">
        <v>60</v>
      </c>
      <c r="B61" s="91" t="s">
        <v>172</v>
      </c>
      <c r="C61" s="91" t="s">
        <v>176</v>
      </c>
      <c r="F61" s="92">
        <f t="shared" si="1"/>
        <v>56</v>
      </c>
      <c r="G61" s="92">
        <f t="shared" ref="G61:J61" si="61">G60 +4</f>
        <v>220</v>
      </c>
      <c r="H61" s="92">
        <f t="shared" si="61"/>
        <v>224</v>
      </c>
      <c r="I61" s="92">
        <f t="shared" si="61"/>
        <v>228</v>
      </c>
      <c r="J61" s="92">
        <f t="shared" si="61"/>
        <v>232</v>
      </c>
      <c r="K61" s="142">
        <f t="shared" si="0"/>
        <v>696</v>
      </c>
      <c r="M61" s="144" t="str">
        <f t="shared" si="2"/>
        <v>7d</v>
      </c>
      <c r="N61" s="150" t="str">
        <f t="shared" si="3"/>
        <v>-1</v>
      </c>
      <c r="O61" s="144" t="str">
        <f t="shared" si="4"/>
        <v>9d</v>
      </c>
      <c r="P61" s="150">
        <f t="shared" si="5"/>
        <v>0</v>
      </c>
    </row>
    <row r="62" spans="1:16" ht="16.5" customHeight="1">
      <c r="A62" s="91">
        <v>61</v>
      </c>
      <c r="B62" s="91" t="s">
        <v>172</v>
      </c>
      <c r="C62" s="91" t="s">
        <v>176</v>
      </c>
      <c r="F62" s="92">
        <f t="shared" si="1"/>
        <v>57</v>
      </c>
      <c r="G62" s="92">
        <f t="shared" ref="G62:J62" si="62">G61 +4</f>
        <v>224</v>
      </c>
      <c r="H62" s="92">
        <f t="shared" si="62"/>
        <v>228</v>
      </c>
      <c r="I62" s="92">
        <f t="shared" si="62"/>
        <v>232</v>
      </c>
      <c r="J62" s="92">
        <f t="shared" si="62"/>
        <v>236</v>
      </c>
      <c r="K62" s="142">
        <f t="shared" si="0"/>
        <v>708</v>
      </c>
      <c r="M62" s="144" t="str">
        <f t="shared" si="2"/>
        <v>7d</v>
      </c>
      <c r="N62" s="150" t="str">
        <f t="shared" si="3"/>
        <v>-1</v>
      </c>
      <c r="O62" s="144" t="str">
        <f t="shared" si="4"/>
        <v>9d</v>
      </c>
      <c r="P62" s="150">
        <f t="shared" si="5"/>
        <v>0</v>
      </c>
    </row>
    <row r="63" spans="1:16" ht="16.5" customHeight="1">
      <c r="A63" s="91">
        <v>62</v>
      </c>
      <c r="B63" s="91" t="s">
        <v>172</v>
      </c>
      <c r="C63" s="91" t="s">
        <v>176</v>
      </c>
      <c r="F63" s="92">
        <f t="shared" si="1"/>
        <v>58</v>
      </c>
      <c r="G63" s="92">
        <f t="shared" ref="G63:J63" si="63">G62 +4</f>
        <v>228</v>
      </c>
      <c r="H63" s="92">
        <f t="shared" si="63"/>
        <v>232</v>
      </c>
      <c r="I63" s="92">
        <f t="shared" si="63"/>
        <v>236</v>
      </c>
      <c r="J63" s="92">
        <f t="shared" si="63"/>
        <v>240</v>
      </c>
      <c r="K63" s="142">
        <f t="shared" si="0"/>
        <v>720</v>
      </c>
      <c r="M63" s="144" t="str">
        <f t="shared" si="2"/>
        <v>7d</v>
      </c>
      <c r="N63" s="150" t="str">
        <f t="shared" si="3"/>
        <v>-1</v>
      </c>
      <c r="O63" s="144" t="str">
        <f t="shared" si="4"/>
        <v>9d</v>
      </c>
      <c r="P63" s="150">
        <f t="shared" si="5"/>
        <v>0</v>
      </c>
    </row>
    <row r="64" spans="1:16" ht="16.5" customHeight="1">
      <c r="A64" s="91">
        <v>63</v>
      </c>
      <c r="B64" s="91" t="s">
        <v>172</v>
      </c>
      <c r="C64" s="91" t="s">
        <v>176</v>
      </c>
      <c r="F64" s="92">
        <f t="shared" si="1"/>
        <v>59</v>
      </c>
      <c r="G64" s="92">
        <f t="shared" ref="G64:J64" si="64">G63 +4</f>
        <v>232</v>
      </c>
      <c r="H64" s="92">
        <f t="shared" si="64"/>
        <v>236</v>
      </c>
      <c r="I64" s="92">
        <f t="shared" si="64"/>
        <v>240</v>
      </c>
      <c r="J64" s="92">
        <f t="shared" si="64"/>
        <v>244</v>
      </c>
      <c r="K64" s="142">
        <f t="shared" si="0"/>
        <v>732</v>
      </c>
      <c r="M64" s="144" t="str">
        <f t="shared" si="2"/>
        <v>7d</v>
      </c>
      <c r="N64" s="150" t="str">
        <f t="shared" si="3"/>
        <v>-1</v>
      </c>
      <c r="O64" s="144" t="str">
        <f t="shared" si="4"/>
        <v>9d</v>
      </c>
      <c r="P64" s="150">
        <f t="shared" si="5"/>
        <v>0</v>
      </c>
    </row>
    <row r="65" spans="1:16" ht="16.5" customHeight="1">
      <c r="A65" s="91">
        <v>64</v>
      </c>
      <c r="B65" s="91" t="s">
        <v>172</v>
      </c>
      <c r="C65" s="91" t="s">
        <v>176</v>
      </c>
      <c r="F65" s="92">
        <f t="shared" si="1"/>
        <v>60</v>
      </c>
      <c r="G65" s="92">
        <f t="shared" ref="G65:J65" si="65">G64 +4</f>
        <v>236</v>
      </c>
      <c r="H65" s="92">
        <f t="shared" si="65"/>
        <v>240</v>
      </c>
      <c r="I65" s="92">
        <f t="shared" si="65"/>
        <v>244</v>
      </c>
      <c r="J65" s="92">
        <f t="shared" si="65"/>
        <v>248</v>
      </c>
      <c r="K65" s="142">
        <f t="shared" si="0"/>
        <v>744</v>
      </c>
      <c r="M65" s="144" t="str">
        <f t="shared" si="2"/>
        <v>7d</v>
      </c>
      <c r="N65" s="150" t="str">
        <f t="shared" si="3"/>
        <v>-1</v>
      </c>
      <c r="O65" s="144" t="str">
        <f t="shared" si="4"/>
        <v>9d</v>
      </c>
      <c r="P65" s="150">
        <f t="shared" si="5"/>
        <v>0</v>
      </c>
    </row>
    <row r="66" spans="1:16" ht="16.5" customHeight="1">
      <c r="A66" s="91">
        <v>65</v>
      </c>
      <c r="B66" s="91" t="s">
        <v>173</v>
      </c>
      <c r="C66" s="91" t="s">
        <v>177</v>
      </c>
      <c r="F66" s="92">
        <f t="shared" si="1"/>
        <v>61</v>
      </c>
      <c r="G66" s="92">
        <f t="shared" ref="G66:J66" si="66">G65 +4</f>
        <v>240</v>
      </c>
      <c r="H66" s="92">
        <f t="shared" si="66"/>
        <v>244</v>
      </c>
      <c r="I66" s="92">
        <f t="shared" si="66"/>
        <v>248</v>
      </c>
      <c r="J66" s="92">
        <f t="shared" si="66"/>
        <v>252</v>
      </c>
      <c r="K66" s="142">
        <f t="shared" si="0"/>
        <v>756</v>
      </c>
      <c r="M66" s="144" t="str">
        <f t="shared" si="2"/>
        <v>7d</v>
      </c>
      <c r="N66" s="150" t="str">
        <f t="shared" si="3"/>
        <v>+1</v>
      </c>
      <c r="O66" s="144" t="str">
        <f t="shared" si="4"/>
        <v>9d</v>
      </c>
      <c r="P66" s="150" t="str">
        <f t="shared" si="5"/>
        <v>+2</v>
      </c>
    </row>
    <row r="67" spans="1:16" ht="16.5" customHeight="1">
      <c r="A67" s="91">
        <v>66</v>
      </c>
      <c r="B67" s="91" t="s">
        <v>173</v>
      </c>
      <c r="C67" s="91" t="s">
        <v>177</v>
      </c>
      <c r="F67" s="92">
        <f t="shared" si="1"/>
        <v>62</v>
      </c>
      <c r="G67" s="92">
        <f t="shared" ref="G67:J67" si="67">G66 +4</f>
        <v>244</v>
      </c>
      <c r="H67" s="92">
        <f t="shared" si="67"/>
        <v>248</v>
      </c>
      <c r="I67" s="92">
        <f t="shared" si="67"/>
        <v>252</v>
      </c>
      <c r="J67" s="92">
        <f t="shared" si="67"/>
        <v>256</v>
      </c>
      <c r="K67" s="142">
        <f t="shared" si="0"/>
        <v>768</v>
      </c>
      <c r="M67" s="144" t="str">
        <f t="shared" ref="M67:M90" si="68">LEFT(B67,2)</f>
        <v>7d</v>
      </c>
      <c r="N67" s="150" t="str">
        <f t="shared" ref="N67:N90" si="69">IF(RIGHT(B67,2)=LEFT(B67,2),0,RIGHT(B67,2))</f>
        <v>+1</v>
      </c>
      <c r="O67" s="144" t="str">
        <f t="shared" ref="O67:O101" si="70">LEFT(C67,2)</f>
        <v>9d</v>
      </c>
      <c r="P67" s="150" t="str">
        <f t="shared" ref="P67:P70" si="71">IF(RIGHT(C67,2)=LEFT(C67,2),0,RIGHT(C67,2))</f>
        <v>+2</v>
      </c>
    </row>
    <row r="68" spans="1:16" ht="16.5" customHeight="1">
      <c r="A68" s="91">
        <v>67</v>
      </c>
      <c r="B68" s="91" t="s">
        <v>173</v>
      </c>
      <c r="C68" s="91" t="s">
        <v>177</v>
      </c>
      <c r="F68" s="92">
        <f t="shared" si="1"/>
        <v>63</v>
      </c>
      <c r="G68" s="92">
        <f t="shared" ref="G68:J68" si="72">G67 +4</f>
        <v>248</v>
      </c>
      <c r="H68" s="92">
        <f t="shared" si="72"/>
        <v>252</v>
      </c>
      <c r="I68" s="92">
        <f t="shared" si="72"/>
        <v>256</v>
      </c>
      <c r="J68" s="92">
        <f t="shared" si="72"/>
        <v>260</v>
      </c>
      <c r="K68" s="142">
        <f t="shared" si="0"/>
        <v>780</v>
      </c>
      <c r="M68" s="144" t="str">
        <f t="shared" si="68"/>
        <v>7d</v>
      </c>
      <c r="N68" s="150" t="str">
        <f t="shared" si="69"/>
        <v>+1</v>
      </c>
      <c r="O68" s="144" t="str">
        <f t="shared" si="70"/>
        <v>9d</v>
      </c>
      <c r="P68" s="150" t="str">
        <f t="shared" si="71"/>
        <v>+2</v>
      </c>
    </row>
    <row r="69" spans="1:16" ht="16.5" customHeight="1">
      <c r="A69" s="91">
        <v>68</v>
      </c>
      <c r="B69" s="91" t="s">
        <v>173</v>
      </c>
      <c r="C69" s="91" t="s">
        <v>177</v>
      </c>
      <c r="F69" s="92">
        <f t="shared" si="1"/>
        <v>64</v>
      </c>
      <c r="G69" s="92">
        <f t="shared" ref="G69:J69" si="73">G68 +4</f>
        <v>252</v>
      </c>
      <c r="H69" s="92">
        <f t="shared" si="73"/>
        <v>256</v>
      </c>
      <c r="I69" s="92">
        <f t="shared" si="73"/>
        <v>260</v>
      </c>
      <c r="J69" s="92">
        <f t="shared" si="73"/>
        <v>264</v>
      </c>
      <c r="K69" s="142">
        <f t="shared" si="0"/>
        <v>792</v>
      </c>
      <c r="M69" s="144" t="str">
        <f t="shared" si="68"/>
        <v>7d</v>
      </c>
      <c r="N69" s="150" t="str">
        <f t="shared" si="69"/>
        <v>+1</v>
      </c>
      <c r="O69" s="144" t="str">
        <f t="shared" si="70"/>
        <v>9d</v>
      </c>
      <c r="P69" s="150" t="str">
        <f t="shared" si="71"/>
        <v>+2</v>
      </c>
    </row>
    <row r="70" spans="1:16" ht="16.5" customHeight="1">
      <c r="A70" s="91">
        <v>69</v>
      </c>
      <c r="B70" s="91" t="s">
        <v>173</v>
      </c>
      <c r="C70" s="91" t="s">
        <v>177</v>
      </c>
      <c r="F70" s="92">
        <f t="shared" si="1"/>
        <v>65</v>
      </c>
      <c r="G70" s="92">
        <f t="shared" ref="G70:J70" si="74">G69 +4</f>
        <v>256</v>
      </c>
      <c r="H70" s="92">
        <f t="shared" si="74"/>
        <v>260</v>
      </c>
      <c r="I70" s="92">
        <f t="shared" si="74"/>
        <v>264</v>
      </c>
      <c r="J70" s="92">
        <f t="shared" si="74"/>
        <v>268</v>
      </c>
      <c r="K70" s="142">
        <f t="shared" si="0"/>
        <v>804</v>
      </c>
      <c r="M70" s="144" t="str">
        <f t="shared" si="68"/>
        <v>7d</v>
      </c>
      <c r="N70" s="150" t="str">
        <f t="shared" si="69"/>
        <v>+1</v>
      </c>
      <c r="O70" s="144" t="str">
        <f t="shared" si="70"/>
        <v>9d</v>
      </c>
      <c r="P70" s="150" t="str">
        <f t="shared" si="71"/>
        <v>+2</v>
      </c>
    </row>
    <row r="71" spans="1:16" ht="16.5" customHeight="1">
      <c r="A71" s="91">
        <v>70</v>
      </c>
      <c r="B71" s="91" t="s">
        <v>178</v>
      </c>
      <c r="C71" s="91" t="s">
        <v>179</v>
      </c>
      <c r="F71" s="92">
        <f t="shared" si="1"/>
        <v>66</v>
      </c>
      <c r="G71" s="92">
        <f t="shared" ref="G71:J71" si="75">G70 +4</f>
        <v>260</v>
      </c>
      <c r="H71" s="92">
        <f t="shared" si="75"/>
        <v>264</v>
      </c>
      <c r="I71" s="92">
        <f t="shared" si="75"/>
        <v>268</v>
      </c>
      <c r="J71" s="92">
        <f t="shared" si="75"/>
        <v>272</v>
      </c>
      <c r="K71" s="142">
        <f t="shared" si="0"/>
        <v>816</v>
      </c>
      <c r="M71" s="144" t="str">
        <f t="shared" si="68"/>
        <v>8d</v>
      </c>
      <c r="N71" s="150">
        <f t="shared" si="69"/>
        <v>0</v>
      </c>
      <c r="O71" s="144" t="str">
        <f>LEFT(C71,3)</f>
        <v>10d</v>
      </c>
      <c r="P71" s="150">
        <f>IF(RIGHT(C71,3)=LEFT(C71,3),0,RIGHT(C71,2))</f>
        <v>0</v>
      </c>
    </row>
    <row r="72" spans="1:16" ht="16.5" customHeight="1">
      <c r="A72" s="91">
        <v>71</v>
      </c>
      <c r="B72" s="91" t="s">
        <v>178</v>
      </c>
      <c r="C72" s="91" t="s">
        <v>179</v>
      </c>
      <c r="F72" s="92">
        <f t="shared" si="1"/>
        <v>67</v>
      </c>
      <c r="G72" s="92">
        <f t="shared" ref="G72:J72" si="76">G71 +4</f>
        <v>264</v>
      </c>
      <c r="H72" s="92">
        <f t="shared" si="76"/>
        <v>268</v>
      </c>
      <c r="I72" s="92">
        <f t="shared" si="76"/>
        <v>272</v>
      </c>
      <c r="J72" s="92">
        <f t="shared" si="76"/>
        <v>276</v>
      </c>
      <c r="K72" s="142">
        <f t="shared" si="0"/>
        <v>828</v>
      </c>
      <c r="M72" s="144" t="str">
        <f t="shared" si="68"/>
        <v>8d</v>
      </c>
      <c r="N72" s="150">
        <f t="shared" si="69"/>
        <v>0</v>
      </c>
      <c r="O72" s="144" t="str">
        <f t="shared" si="70"/>
        <v>10</v>
      </c>
      <c r="P72" s="150">
        <f t="shared" ref="P72:P101" si="77">IF(RIGHT(C72,3)=LEFT(C72,3),0,RIGHT(C72,2))</f>
        <v>0</v>
      </c>
    </row>
    <row r="73" spans="1:16" ht="16.5" customHeight="1">
      <c r="A73" s="91">
        <v>72</v>
      </c>
      <c r="B73" s="91" t="s">
        <v>178</v>
      </c>
      <c r="C73" s="91" t="s">
        <v>179</v>
      </c>
      <c r="F73" s="92">
        <f t="shared" si="1"/>
        <v>68</v>
      </c>
      <c r="G73" s="92">
        <f t="shared" ref="G73:J73" si="78">G72 +4</f>
        <v>268</v>
      </c>
      <c r="H73" s="92">
        <f t="shared" si="78"/>
        <v>272</v>
      </c>
      <c r="I73" s="92">
        <f t="shared" si="78"/>
        <v>276</v>
      </c>
      <c r="J73" s="92">
        <f t="shared" si="78"/>
        <v>280</v>
      </c>
      <c r="K73" s="142">
        <f t="shared" si="0"/>
        <v>840</v>
      </c>
      <c r="M73" s="144" t="str">
        <f t="shared" si="68"/>
        <v>8d</v>
      </c>
      <c r="N73" s="150">
        <f t="shared" si="69"/>
        <v>0</v>
      </c>
      <c r="O73" s="144" t="str">
        <f t="shared" si="70"/>
        <v>10</v>
      </c>
      <c r="P73" s="150">
        <f t="shared" si="77"/>
        <v>0</v>
      </c>
    </row>
    <row r="74" spans="1:16" ht="16.5" customHeight="1">
      <c r="A74" s="91">
        <v>73</v>
      </c>
      <c r="B74" s="91" t="s">
        <v>178</v>
      </c>
      <c r="C74" s="91" t="s">
        <v>179</v>
      </c>
      <c r="F74" s="92">
        <f t="shared" si="1"/>
        <v>69</v>
      </c>
      <c r="G74" s="92">
        <f t="shared" ref="G74:J74" si="79">G73 +4</f>
        <v>272</v>
      </c>
      <c r="H74" s="92">
        <f t="shared" si="79"/>
        <v>276</v>
      </c>
      <c r="I74" s="92">
        <f t="shared" si="79"/>
        <v>280</v>
      </c>
      <c r="J74" s="92">
        <f t="shared" si="79"/>
        <v>284</v>
      </c>
      <c r="K74" s="142">
        <f t="shared" si="0"/>
        <v>852</v>
      </c>
      <c r="M74" s="144" t="str">
        <f t="shared" si="68"/>
        <v>8d</v>
      </c>
      <c r="N74" s="150">
        <f t="shared" si="69"/>
        <v>0</v>
      </c>
      <c r="O74" s="144" t="str">
        <f t="shared" si="70"/>
        <v>10</v>
      </c>
      <c r="P74" s="150">
        <f t="shared" si="77"/>
        <v>0</v>
      </c>
    </row>
    <row r="75" spans="1:16" ht="16.5" customHeight="1">
      <c r="A75" s="91">
        <v>74</v>
      </c>
      <c r="B75" s="91" t="s">
        <v>178</v>
      </c>
      <c r="C75" s="91" t="s">
        <v>179</v>
      </c>
      <c r="F75" s="92">
        <f t="shared" si="1"/>
        <v>70</v>
      </c>
      <c r="G75" s="92">
        <f t="shared" ref="G75:J75" si="80">G74 +4</f>
        <v>276</v>
      </c>
      <c r="H75" s="92">
        <f t="shared" si="80"/>
        <v>280</v>
      </c>
      <c r="I75" s="92">
        <f t="shared" si="80"/>
        <v>284</v>
      </c>
      <c r="J75" s="92">
        <f t="shared" si="80"/>
        <v>288</v>
      </c>
      <c r="K75" s="142">
        <f t="shared" si="0"/>
        <v>864</v>
      </c>
      <c r="M75" s="144" t="str">
        <f t="shared" si="68"/>
        <v>8d</v>
      </c>
      <c r="N75" s="150">
        <f t="shared" si="69"/>
        <v>0</v>
      </c>
      <c r="O75" s="144" t="str">
        <f t="shared" si="70"/>
        <v>10</v>
      </c>
      <c r="P75" s="150">
        <f t="shared" si="77"/>
        <v>0</v>
      </c>
    </row>
    <row r="76" spans="1:16" ht="16.5" customHeight="1">
      <c r="A76" s="91">
        <v>75</v>
      </c>
      <c r="B76" s="91" t="s">
        <v>180</v>
      </c>
      <c r="C76" s="91" t="s">
        <v>181</v>
      </c>
      <c r="F76" s="92">
        <f t="shared" si="1"/>
        <v>71</v>
      </c>
      <c r="G76" s="92">
        <f t="shared" ref="G76:J76" si="81">G75 +4</f>
        <v>280</v>
      </c>
      <c r="H76" s="92">
        <f t="shared" si="81"/>
        <v>284</v>
      </c>
      <c r="I76" s="92">
        <f t="shared" si="81"/>
        <v>288</v>
      </c>
      <c r="J76" s="92">
        <f t="shared" si="81"/>
        <v>292</v>
      </c>
      <c r="K76" s="142">
        <f t="shared" si="0"/>
        <v>876</v>
      </c>
      <c r="M76" s="144" t="str">
        <f t="shared" si="68"/>
        <v>8d</v>
      </c>
      <c r="N76" s="150" t="str">
        <f t="shared" si="69"/>
        <v>+2</v>
      </c>
      <c r="O76" s="144" t="str">
        <f t="shared" si="70"/>
        <v>10</v>
      </c>
      <c r="P76" s="150" t="str">
        <f t="shared" si="77"/>
        <v>+2</v>
      </c>
    </row>
    <row r="77" spans="1:16" ht="16.5" customHeight="1">
      <c r="A77" s="91">
        <v>76</v>
      </c>
      <c r="B77" s="91" t="s">
        <v>180</v>
      </c>
      <c r="C77" s="91" t="s">
        <v>181</v>
      </c>
      <c r="F77" s="92">
        <f t="shared" si="1"/>
        <v>72</v>
      </c>
      <c r="G77" s="92">
        <f t="shared" ref="G77:J77" si="82">G76 +4</f>
        <v>284</v>
      </c>
      <c r="H77" s="92">
        <f t="shared" si="82"/>
        <v>288</v>
      </c>
      <c r="I77" s="92">
        <f t="shared" si="82"/>
        <v>292</v>
      </c>
      <c r="J77" s="92">
        <f t="shared" si="82"/>
        <v>296</v>
      </c>
      <c r="K77" s="142">
        <f t="shared" si="0"/>
        <v>888</v>
      </c>
      <c r="M77" s="144" t="str">
        <f t="shared" si="68"/>
        <v>8d</v>
      </c>
      <c r="N77" s="150" t="str">
        <f t="shared" si="69"/>
        <v>+2</v>
      </c>
      <c r="O77" s="144" t="str">
        <f t="shared" si="70"/>
        <v>10</v>
      </c>
      <c r="P77" s="150" t="str">
        <f t="shared" si="77"/>
        <v>+2</v>
      </c>
    </row>
    <row r="78" spans="1:16" ht="16.5" customHeight="1">
      <c r="A78" s="91">
        <v>77</v>
      </c>
      <c r="B78" s="91" t="s">
        <v>180</v>
      </c>
      <c r="C78" s="91" t="s">
        <v>181</v>
      </c>
      <c r="F78" s="92">
        <f t="shared" si="1"/>
        <v>73</v>
      </c>
      <c r="G78" s="92">
        <f t="shared" ref="G78:J78" si="83">G77 +4</f>
        <v>288</v>
      </c>
      <c r="H78" s="92">
        <f t="shared" si="83"/>
        <v>292</v>
      </c>
      <c r="I78" s="92">
        <f t="shared" si="83"/>
        <v>296</v>
      </c>
      <c r="J78" s="92">
        <f t="shared" si="83"/>
        <v>300</v>
      </c>
      <c r="K78" s="142">
        <f t="shared" si="0"/>
        <v>900</v>
      </c>
      <c r="M78" s="144" t="str">
        <f t="shared" si="68"/>
        <v>8d</v>
      </c>
      <c r="N78" s="150" t="str">
        <f t="shared" si="69"/>
        <v>+2</v>
      </c>
      <c r="O78" s="144" t="str">
        <f t="shared" si="70"/>
        <v>10</v>
      </c>
      <c r="P78" s="150" t="str">
        <f t="shared" si="77"/>
        <v>+2</v>
      </c>
    </row>
    <row r="79" spans="1:16" ht="16.5" customHeight="1">
      <c r="A79" s="91">
        <v>78</v>
      </c>
      <c r="B79" s="91" t="s">
        <v>180</v>
      </c>
      <c r="C79" s="91" t="s">
        <v>181</v>
      </c>
      <c r="F79" s="92">
        <f t="shared" si="1"/>
        <v>74</v>
      </c>
      <c r="G79" s="92">
        <f t="shared" ref="G79:J79" si="84">G78 +4</f>
        <v>292</v>
      </c>
      <c r="H79" s="92">
        <f t="shared" si="84"/>
        <v>296</v>
      </c>
      <c r="I79" s="92">
        <f t="shared" si="84"/>
        <v>300</v>
      </c>
      <c r="J79" s="92">
        <f t="shared" si="84"/>
        <v>304</v>
      </c>
      <c r="K79" s="142">
        <f t="shared" si="0"/>
        <v>912</v>
      </c>
      <c r="M79" s="144" t="str">
        <f t="shared" si="68"/>
        <v>8d</v>
      </c>
      <c r="N79" s="150" t="str">
        <f t="shared" si="69"/>
        <v>+2</v>
      </c>
      <c r="O79" s="144" t="str">
        <f t="shared" si="70"/>
        <v>10</v>
      </c>
      <c r="P79" s="150" t="str">
        <f t="shared" si="77"/>
        <v>+2</v>
      </c>
    </row>
    <row r="80" spans="1:16" ht="16.5" customHeight="1">
      <c r="A80" s="91">
        <v>79</v>
      </c>
      <c r="B80" s="91" t="s">
        <v>180</v>
      </c>
      <c r="C80" s="91" t="s">
        <v>181</v>
      </c>
      <c r="F80" s="92">
        <f t="shared" si="1"/>
        <v>75</v>
      </c>
      <c r="G80" s="92">
        <f t="shared" ref="G80:J80" si="85">G79 +4</f>
        <v>296</v>
      </c>
      <c r="H80" s="92">
        <f t="shared" si="85"/>
        <v>300</v>
      </c>
      <c r="I80" s="92">
        <f t="shared" si="85"/>
        <v>304</v>
      </c>
      <c r="J80" s="92">
        <f t="shared" si="85"/>
        <v>308</v>
      </c>
      <c r="K80" s="142">
        <f t="shared" si="0"/>
        <v>924</v>
      </c>
      <c r="M80" s="144" t="str">
        <f t="shared" si="68"/>
        <v>8d</v>
      </c>
      <c r="N80" s="150" t="str">
        <f t="shared" si="69"/>
        <v>+2</v>
      </c>
      <c r="O80" s="144" t="str">
        <f t="shared" si="70"/>
        <v>10</v>
      </c>
      <c r="P80" s="150" t="str">
        <f t="shared" si="77"/>
        <v>+2</v>
      </c>
    </row>
    <row r="81" spans="1:16" ht="16.5" customHeight="1">
      <c r="A81" s="91">
        <v>80</v>
      </c>
      <c r="B81" s="91" t="s">
        <v>176</v>
      </c>
      <c r="C81" s="91" t="s">
        <v>182</v>
      </c>
      <c r="F81" s="92">
        <f t="shared" si="1"/>
        <v>76</v>
      </c>
      <c r="G81" s="92">
        <f t="shared" ref="G81:J81" si="86">G80 +4</f>
        <v>300</v>
      </c>
      <c r="H81" s="92">
        <f t="shared" si="86"/>
        <v>304</v>
      </c>
      <c r="I81" s="92">
        <f t="shared" si="86"/>
        <v>308</v>
      </c>
      <c r="J81" s="92">
        <f t="shared" si="86"/>
        <v>312</v>
      </c>
      <c r="K81" s="142">
        <f t="shared" si="0"/>
        <v>936</v>
      </c>
      <c r="M81" s="144" t="str">
        <f t="shared" si="68"/>
        <v>9d</v>
      </c>
      <c r="N81" s="150">
        <f t="shared" si="69"/>
        <v>0</v>
      </c>
      <c r="O81" s="144" t="str">
        <f t="shared" si="70"/>
        <v>11</v>
      </c>
      <c r="P81" s="150">
        <f t="shared" si="77"/>
        <v>0</v>
      </c>
    </row>
    <row r="82" spans="1:16" ht="16.5" customHeight="1">
      <c r="A82" s="91">
        <v>81</v>
      </c>
      <c r="B82" s="91" t="s">
        <v>176</v>
      </c>
      <c r="C82" s="91" t="s">
        <v>182</v>
      </c>
      <c r="F82" s="92">
        <f t="shared" si="1"/>
        <v>77</v>
      </c>
      <c r="G82" s="92">
        <f t="shared" ref="G82:J82" si="87">G81 +4</f>
        <v>304</v>
      </c>
      <c r="H82" s="92">
        <f t="shared" si="87"/>
        <v>308</v>
      </c>
      <c r="I82" s="92">
        <f t="shared" si="87"/>
        <v>312</v>
      </c>
      <c r="J82" s="92">
        <f t="shared" si="87"/>
        <v>316</v>
      </c>
      <c r="K82" s="142">
        <f t="shared" si="0"/>
        <v>948</v>
      </c>
      <c r="M82" s="144" t="str">
        <f t="shared" si="68"/>
        <v>9d</v>
      </c>
      <c r="N82" s="150">
        <f t="shared" si="69"/>
        <v>0</v>
      </c>
      <c r="O82" s="144" t="str">
        <f t="shared" si="70"/>
        <v>11</v>
      </c>
      <c r="P82" s="150">
        <f t="shared" si="77"/>
        <v>0</v>
      </c>
    </row>
    <row r="83" spans="1:16" ht="16.5" customHeight="1">
      <c r="A83" s="91">
        <v>82</v>
      </c>
      <c r="B83" s="91" t="s">
        <v>176</v>
      </c>
      <c r="C83" s="91" t="s">
        <v>182</v>
      </c>
      <c r="F83" s="92">
        <f t="shared" si="1"/>
        <v>78</v>
      </c>
      <c r="G83" s="92">
        <f t="shared" ref="G83:J83" si="88">G82 +4</f>
        <v>308</v>
      </c>
      <c r="H83" s="92">
        <f t="shared" si="88"/>
        <v>312</v>
      </c>
      <c r="I83" s="92">
        <f t="shared" si="88"/>
        <v>316</v>
      </c>
      <c r="J83" s="92">
        <f t="shared" si="88"/>
        <v>320</v>
      </c>
      <c r="K83" s="142">
        <f t="shared" si="0"/>
        <v>960</v>
      </c>
      <c r="M83" s="144" t="str">
        <f t="shared" si="68"/>
        <v>9d</v>
      </c>
      <c r="N83" s="150">
        <f t="shared" si="69"/>
        <v>0</v>
      </c>
      <c r="O83" s="144" t="str">
        <f t="shared" si="70"/>
        <v>11</v>
      </c>
      <c r="P83" s="150">
        <f t="shared" si="77"/>
        <v>0</v>
      </c>
    </row>
    <row r="84" spans="1:16" ht="16.5" customHeight="1">
      <c r="A84" s="91">
        <v>83</v>
      </c>
      <c r="B84" s="91" t="s">
        <v>176</v>
      </c>
      <c r="C84" s="91" t="s">
        <v>182</v>
      </c>
      <c r="F84" s="92">
        <f t="shared" si="1"/>
        <v>79</v>
      </c>
      <c r="G84" s="92">
        <f t="shared" ref="G84:J84" si="89">G83 +4</f>
        <v>312</v>
      </c>
      <c r="H84" s="92">
        <f t="shared" si="89"/>
        <v>316</v>
      </c>
      <c r="I84" s="92">
        <f t="shared" si="89"/>
        <v>320</v>
      </c>
      <c r="J84" s="92">
        <f t="shared" si="89"/>
        <v>324</v>
      </c>
      <c r="K84" s="142">
        <f t="shared" si="0"/>
        <v>972</v>
      </c>
      <c r="M84" s="144" t="str">
        <f t="shared" si="68"/>
        <v>9d</v>
      </c>
      <c r="N84" s="150">
        <f t="shared" si="69"/>
        <v>0</v>
      </c>
      <c r="O84" s="144" t="str">
        <f t="shared" si="70"/>
        <v>11</v>
      </c>
      <c r="P84" s="150">
        <f t="shared" si="77"/>
        <v>0</v>
      </c>
    </row>
    <row r="85" spans="1:16" ht="16.5" customHeight="1">
      <c r="A85" s="91">
        <v>84</v>
      </c>
      <c r="B85" s="91" t="s">
        <v>176</v>
      </c>
      <c r="C85" s="91" t="s">
        <v>182</v>
      </c>
      <c r="F85" s="92">
        <f t="shared" si="1"/>
        <v>80</v>
      </c>
      <c r="G85" s="92">
        <f t="shared" ref="G85:J85" si="90">G84 +4</f>
        <v>316</v>
      </c>
      <c r="H85" s="92">
        <f t="shared" si="90"/>
        <v>320</v>
      </c>
      <c r="I85" s="92">
        <f t="shared" si="90"/>
        <v>324</v>
      </c>
      <c r="J85" s="92">
        <f t="shared" si="90"/>
        <v>328</v>
      </c>
      <c r="K85" s="142">
        <f t="shared" si="0"/>
        <v>984</v>
      </c>
      <c r="M85" s="144" t="str">
        <f t="shared" si="68"/>
        <v>9d</v>
      </c>
      <c r="N85" s="150">
        <f t="shared" si="69"/>
        <v>0</v>
      </c>
      <c r="O85" s="144" t="str">
        <f t="shared" si="70"/>
        <v>11</v>
      </c>
      <c r="P85" s="150">
        <f t="shared" si="77"/>
        <v>0</v>
      </c>
    </row>
    <row r="86" spans="1:16" ht="16.5" customHeight="1">
      <c r="A86" s="91">
        <v>85</v>
      </c>
      <c r="B86" s="91" t="s">
        <v>177</v>
      </c>
      <c r="C86" s="91" t="s">
        <v>183</v>
      </c>
      <c r="F86" s="92">
        <f t="shared" si="1"/>
        <v>81</v>
      </c>
      <c r="G86" s="92">
        <f t="shared" ref="G86:J86" si="91">G85 +4</f>
        <v>320</v>
      </c>
      <c r="H86" s="92">
        <f t="shared" si="91"/>
        <v>324</v>
      </c>
      <c r="I86" s="92">
        <f t="shared" si="91"/>
        <v>328</v>
      </c>
      <c r="J86" s="92">
        <f t="shared" si="91"/>
        <v>332</v>
      </c>
      <c r="K86" s="142">
        <f t="shared" si="0"/>
        <v>996</v>
      </c>
      <c r="M86" s="144" t="str">
        <f t="shared" si="68"/>
        <v>9d</v>
      </c>
      <c r="N86" s="150" t="str">
        <f t="shared" si="69"/>
        <v>+2</v>
      </c>
      <c r="O86" s="144" t="str">
        <f t="shared" si="70"/>
        <v>11</v>
      </c>
      <c r="P86" s="150" t="str">
        <f t="shared" si="77"/>
        <v>+2</v>
      </c>
    </row>
    <row r="87" spans="1:16" ht="16.5" customHeight="1">
      <c r="A87" s="91">
        <v>86</v>
      </c>
      <c r="B87" s="91" t="s">
        <v>177</v>
      </c>
      <c r="C87" s="91" t="s">
        <v>183</v>
      </c>
      <c r="F87" s="92">
        <f t="shared" si="1"/>
        <v>82</v>
      </c>
      <c r="G87" s="92">
        <f t="shared" ref="G87:J87" si="92">G86 +4</f>
        <v>324</v>
      </c>
      <c r="H87" s="92">
        <f t="shared" si="92"/>
        <v>328</v>
      </c>
      <c r="I87" s="92">
        <f t="shared" si="92"/>
        <v>332</v>
      </c>
      <c r="J87" s="92">
        <f t="shared" si="92"/>
        <v>336</v>
      </c>
      <c r="K87" s="142">
        <f t="shared" si="0"/>
        <v>1008</v>
      </c>
      <c r="M87" s="144" t="str">
        <f t="shared" si="68"/>
        <v>9d</v>
      </c>
      <c r="N87" s="150" t="str">
        <f t="shared" si="69"/>
        <v>+2</v>
      </c>
      <c r="O87" s="144" t="str">
        <f t="shared" si="70"/>
        <v>11</v>
      </c>
      <c r="P87" s="150" t="str">
        <f t="shared" si="77"/>
        <v>+2</v>
      </c>
    </row>
    <row r="88" spans="1:16" ht="16.5" customHeight="1">
      <c r="A88" s="91">
        <v>87</v>
      </c>
      <c r="B88" s="91" t="s">
        <v>177</v>
      </c>
      <c r="C88" s="91" t="s">
        <v>183</v>
      </c>
      <c r="F88" s="92">
        <f t="shared" si="1"/>
        <v>83</v>
      </c>
      <c r="G88" s="92">
        <f t="shared" ref="G88:J88" si="93">G87 +4</f>
        <v>328</v>
      </c>
      <c r="H88" s="92">
        <f t="shared" si="93"/>
        <v>332</v>
      </c>
      <c r="I88" s="92">
        <f t="shared" si="93"/>
        <v>336</v>
      </c>
      <c r="J88" s="92">
        <f t="shared" si="93"/>
        <v>340</v>
      </c>
      <c r="K88" s="142">
        <f t="shared" si="0"/>
        <v>1020</v>
      </c>
      <c r="M88" s="144" t="str">
        <f t="shared" si="68"/>
        <v>9d</v>
      </c>
      <c r="N88" s="150" t="str">
        <f t="shared" si="69"/>
        <v>+2</v>
      </c>
      <c r="O88" s="144" t="str">
        <f t="shared" si="70"/>
        <v>11</v>
      </c>
      <c r="P88" s="150" t="str">
        <f t="shared" si="77"/>
        <v>+2</v>
      </c>
    </row>
    <row r="89" spans="1:16" ht="16.5" customHeight="1">
      <c r="A89" s="91">
        <v>88</v>
      </c>
      <c r="B89" s="91" t="s">
        <v>177</v>
      </c>
      <c r="C89" s="91" t="s">
        <v>183</v>
      </c>
      <c r="F89" s="92">
        <f t="shared" si="1"/>
        <v>84</v>
      </c>
      <c r="G89" s="92">
        <f t="shared" ref="G89:J89" si="94">G88 +4</f>
        <v>332</v>
      </c>
      <c r="H89" s="92">
        <f t="shared" si="94"/>
        <v>336</v>
      </c>
      <c r="I89" s="92">
        <f t="shared" si="94"/>
        <v>340</v>
      </c>
      <c r="J89" s="92">
        <f t="shared" si="94"/>
        <v>344</v>
      </c>
      <c r="K89" s="142">
        <f t="shared" si="0"/>
        <v>1032</v>
      </c>
      <c r="M89" s="144" t="str">
        <f t="shared" si="68"/>
        <v>9d</v>
      </c>
      <c r="N89" s="150" t="str">
        <f t="shared" si="69"/>
        <v>+2</v>
      </c>
      <c r="O89" s="144" t="str">
        <f t="shared" si="70"/>
        <v>11</v>
      </c>
      <c r="P89" s="150" t="str">
        <f t="shared" si="77"/>
        <v>+2</v>
      </c>
    </row>
    <row r="90" spans="1:16" ht="16.5" customHeight="1">
      <c r="A90" s="91">
        <v>89</v>
      </c>
      <c r="B90" s="91" t="s">
        <v>177</v>
      </c>
      <c r="C90" s="91" t="s">
        <v>183</v>
      </c>
      <c r="F90" s="92">
        <f t="shared" si="1"/>
        <v>85</v>
      </c>
      <c r="G90" s="92">
        <f t="shared" ref="G90:J90" si="95">G89 +4</f>
        <v>336</v>
      </c>
      <c r="H90" s="92">
        <f t="shared" si="95"/>
        <v>340</v>
      </c>
      <c r="I90" s="92">
        <f t="shared" si="95"/>
        <v>344</v>
      </c>
      <c r="J90" s="92">
        <f t="shared" si="95"/>
        <v>348</v>
      </c>
      <c r="K90" s="142">
        <f t="shared" si="0"/>
        <v>1044</v>
      </c>
      <c r="M90" s="144" t="str">
        <f t="shared" si="68"/>
        <v>9d</v>
      </c>
      <c r="N90" s="150" t="str">
        <f t="shared" si="69"/>
        <v>+2</v>
      </c>
      <c r="O90" s="144" t="str">
        <f t="shared" si="70"/>
        <v>11</v>
      </c>
      <c r="P90" s="150" t="str">
        <f t="shared" si="77"/>
        <v>+2</v>
      </c>
    </row>
    <row r="91" spans="1:16" ht="16.5" customHeight="1">
      <c r="A91" s="91">
        <v>90</v>
      </c>
      <c r="B91" s="91" t="s">
        <v>179</v>
      </c>
      <c r="C91" s="91" t="s">
        <v>184</v>
      </c>
      <c r="F91" s="92">
        <f t="shared" si="1"/>
        <v>86</v>
      </c>
      <c r="G91" s="92">
        <f t="shared" ref="G91:J91" si="96">G90 +4</f>
        <v>340</v>
      </c>
      <c r="H91" s="92">
        <f t="shared" si="96"/>
        <v>344</v>
      </c>
      <c r="I91" s="92">
        <f t="shared" si="96"/>
        <v>348</v>
      </c>
      <c r="J91" s="92">
        <f t="shared" si="96"/>
        <v>352</v>
      </c>
      <c r="K91" s="142">
        <f t="shared" si="0"/>
        <v>1056</v>
      </c>
      <c r="M91" s="144" t="str">
        <f>LEFT(B91,3)</f>
        <v>10d</v>
      </c>
      <c r="N91" s="150">
        <f>IF(RIGHT(B91,3)=LEFT(B91,3),0,RIGHT(B91,2))</f>
        <v>0</v>
      </c>
      <c r="O91" s="144" t="str">
        <f t="shared" si="70"/>
        <v>12</v>
      </c>
      <c r="P91" s="150">
        <f t="shared" si="77"/>
        <v>0</v>
      </c>
    </row>
    <row r="92" spans="1:16" ht="16.5" customHeight="1">
      <c r="A92" s="91">
        <v>91</v>
      </c>
      <c r="B92" s="91" t="s">
        <v>179</v>
      </c>
      <c r="C92" s="91" t="s">
        <v>184</v>
      </c>
      <c r="F92" s="92">
        <f t="shared" si="1"/>
        <v>87</v>
      </c>
      <c r="G92" s="92">
        <f t="shared" ref="G92:J92" si="97">G91 +4</f>
        <v>344</v>
      </c>
      <c r="H92" s="92">
        <f t="shared" si="97"/>
        <v>348</v>
      </c>
      <c r="I92" s="92">
        <f t="shared" si="97"/>
        <v>352</v>
      </c>
      <c r="J92" s="92">
        <f t="shared" si="97"/>
        <v>356</v>
      </c>
      <c r="K92" s="142">
        <f t="shared" si="0"/>
        <v>1068</v>
      </c>
      <c r="M92" s="144" t="str">
        <f t="shared" ref="M92:M101" si="98">LEFT(B92,3)</f>
        <v>10d</v>
      </c>
      <c r="N92" s="150">
        <f t="shared" ref="N92:N101" si="99">IF(RIGHT(B92,3)=LEFT(B92,3),0,RIGHT(B92,2))</f>
        <v>0</v>
      </c>
      <c r="O92" s="144" t="str">
        <f t="shared" si="70"/>
        <v>12</v>
      </c>
      <c r="P92" s="150">
        <f t="shared" si="77"/>
        <v>0</v>
      </c>
    </row>
    <row r="93" spans="1:16" ht="16.5" customHeight="1">
      <c r="A93" s="91">
        <v>92</v>
      </c>
      <c r="B93" s="91" t="s">
        <v>179</v>
      </c>
      <c r="C93" s="91" t="s">
        <v>184</v>
      </c>
      <c r="F93" s="92">
        <f t="shared" si="1"/>
        <v>88</v>
      </c>
      <c r="G93" s="92">
        <f t="shared" ref="G93:J93" si="100">G92 +4</f>
        <v>348</v>
      </c>
      <c r="H93" s="92">
        <f t="shared" si="100"/>
        <v>352</v>
      </c>
      <c r="I93" s="92">
        <f t="shared" si="100"/>
        <v>356</v>
      </c>
      <c r="J93" s="92">
        <f t="shared" si="100"/>
        <v>360</v>
      </c>
      <c r="K93" s="142">
        <f t="shared" si="0"/>
        <v>1080</v>
      </c>
      <c r="M93" s="144" t="str">
        <f t="shared" si="98"/>
        <v>10d</v>
      </c>
      <c r="N93" s="150">
        <f t="shared" si="99"/>
        <v>0</v>
      </c>
      <c r="O93" s="144" t="str">
        <f t="shared" si="70"/>
        <v>12</v>
      </c>
      <c r="P93" s="150">
        <f t="shared" si="77"/>
        <v>0</v>
      </c>
    </row>
    <row r="94" spans="1:16" ht="16.5" customHeight="1">
      <c r="A94" s="91">
        <v>93</v>
      </c>
      <c r="B94" s="91" t="s">
        <v>179</v>
      </c>
      <c r="C94" s="91" t="s">
        <v>184</v>
      </c>
      <c r="F94" s="92">
        <f t="shared" si="1"/>
        <v>89</v>
      </c>
      <c r="G94" s="92">
        <f t="shared" ref="G94:J94" si="101">G93 +4</f>
        <v>352</v>
      </c>
      <c r="H94" s="92">
        <f t="shared" si="101"/>
        <v>356</v>
      </c>
      <c r="I94" s="92">
        <f t="shared" si="101"/>
        <v>360</v>
      </c>
      <c r="J94" s="92">
        <f t="shared" si="101"/>
        <v>364</v>
      </c>
      <c r="K94" s="142">
        <f t="shared" si="0"/>
        <v>1092</v>
      </c>
      <c r="M94" s="144" t="str">
        <f t="shared" si="98"/>
        <v>10d</v>
      </c>
      <c r="N94" s="150">
        <f t="shared" si="99"/>
        <v>0</v>
      </c>
      <c r="O94" s="144" t="str">
        <f t="shared" si="70"/>
        <v>12</v>
      </c>
      <c r="P94" s="150">
        <f t="shared" si="77"/>
        <v>0</v>
      </c>
    </row>
    <row r="95" spans="1:16" ht="16.5" customHeight="1">
      <c r="A95" s="91">
        <v>94</v>
      </c>
      <c r="B95" s="91" t="s">
        <v>179</v>
      </c>
      <c r="C95" s="91" t="s">
        <v>184</v>
      </c>
      <c r="F95" s="92">
        <f t="shared" si="1"/>
        <v>90</v>
      </c>
      <c r="G95" s="92">
        <f t="shared" ref="G95:J95" si="102">G94 +4</f>
        <v>356</v>
      </c>
      <c r="H95" s="92">
        <f t="shared" si="102"/>
        <v>360</v>
      </c>
      <c r="I95" s="92">
        <f t="shared" si="102"/>
        <v>364</v>
      </c>
      <c r="J95" s="92">
        <f t="shared" si="102"/>
        <v>368</v>
      </c>
      <c r="K95" s="142">
        <f t="shared" si="0"/>
        <v>1104</v>
      </c>
      <c r="M95" s="144" t="str">
        <f t="shared" si="98"/>
        <v>10d</v>
      </c>
      <c r="N95" s="150">
        <f t="shared" si="99"/>
        <v>0</v>
      </c>
      <c r="O95" s="144" t="str">
        <f t="shared" si="70"/>
        <v>12</v>
      </c>
      <c r="P95" s="150">
        <f t="shared" si="77"/>
        <v>0</v>
      </c>
    </row>
    <row r="96" spans="1:16" ht="16.5" customHeight="1">
      <c r="A96" s="91">
        <v>95</v>
      </c>
      <c r="B96" s="91" t="s">
        <v>181</v>
      </c>
      <c r="C96" s="91" t="s">
        <v>185</v>
      </c>
      <c r="F96" s="92">
        <f t="shared" si="1"/>
        <v>91</v>
      </c>
      <c r="G96" s="92">
        <f t="shared" ref="G96:J96" si="103">G95 +4</f>
        <v>360</v>
      </c>
      <c r="H96" s="92">
        <f t="shared" si="103"/>
        <v>364</v>
      </c>
      <c r="I96" s="92">
        <f t="shared" si="103"/>
        <v>368</v>
      </c>
      <c r="J96" s="92">
        <f t="shared" si="103"/>
        <v>372</v>
      </c>
      <c r="K96" s="142">
        <f t="shared" si="0"/>
        <v>1116</v>
      </c>
      <c r="M96" s="144" t="str">
        <f t="shared" si="98"/>
        <v>10d</v>
      </c>
      <c r="N96" s="150" t="str">
        <f t="shared" si="99"/>
        <v>+2</v>
      </c>
      <c r="O96" s="144" t="str">
        <f t="shared" si="70"/>
        <v>12</v>
      </c>
      <c r="P96" s="150" t="str">
        <f t="shared" si="77"/>
        <v>+2</v>
      </c>
    </row>
    <row r="97" spans="1:16" ht="16.5" customHeight="1">
      <c r="A97" s="91">
        <v>96</v>
      </c>
      <c r="B97" s="91" t="s">
        <v>181</v>
      </c>
      <c r="C97" s="91" t="s">
        <v>185</v>
      </c>
      <c r="F97" s="92">
        <f t="shared" si="1"/>
        <v>92</v>
      </c>
      <c r="G97" s="92">
        <f t="shared" ref="G97:J97" si="104">G96 +4</f>
        <v>364</v>
      </c>
      <c r="H97" s="92">
        <f t="shared" si="104"/>
        <v>368</v>
      </c>
      <c r="I97" s="92">
        <f t="shared" si="104"/>
        <v>372</v>
      </c>
      <c r="J97" s="92">
        <f t="shared" si="104"/>
        <v>376</v>
      </c>
      <c r="K97" s="142">
        <f t="shared" si="0"/>
        <v>1128</v>
      </c>
      <c r="M97" s="144" t="str">
        <f t="shared" si="98"/>
        <v>10d</v>
      </c>
      <c r="N97" s="150" t="str">
        <f t="shared" si="99"/>
        <v>+2</v>
      </c>
      <c r="O97" s="144" t="str">
        <f t="shared" si="70"/>
        <v>12</v>
      </c>
      <c r="P97" s="150" t="str">
        <f t="shared" si="77"/>
        <v>+2</v>
      </c>
    </row>
    <row r="98" spans="1:16" ht="16.5" customHeight="1">
      <c r="A98" s="91">
        <v>97</v>
      </c>
      <c r="B98" s="91" t="s">
        <v>181</v>
      </c>
      <c r="C98" s="91" t="s">
        <v>185</v>
      </c>
      <c r="F98" s="92">
        <f t="shared" si="1"/>
        <v>93</v>
      </c>
      <c r="G98" s="92">
        <f t="shared" ref="G98:J98" si="105">G97 +4</f>
        <v>368</v>
      </c>
      <c r="H98" s="92">
        <f t="shared" si="105"/>
        <v>372</v>
      </c>
      <c r="I98" s="92">
        <f t="shared" si="105"/>
        <v>376</v>
      </c>
      <c r="J98" s="92">
        <f t="shared" si="105"/>
        <v>380</v>
      </c>
      <c r="K98" s="142">
        <f t="shared" si="0"/>
        <v>1140</v>
      </c>
      <c r="M98" s="144" t="str">
        <f t="shared" si="98"/>
        <v>10d</v>
      </c>
      <c r="N98" s="150" t="str">
        <f t="shared" si="99"/>
        <v>+2</v>
      </c>
      <c r="O98" s="144" t="str">
        <f t="shared" si="70"/>
        <v>12</v>
      </c>
      <c r="P98" s="150" t="str">
        <f t="shared" si="77"/>
        <v>+2</v>
      </c>
    </row>
    <row r="99" spans="1:16" ht="16.5" customHeight="1">
      <c r="A99" s="91">
        <v>98</v>
      </c>
      <c r="B99" s="91" t="s">
        <v>181</v>
      </c>
      <c r="C99" s="91" t="s">
        <v>185</v>
      </c>
      <c r="F99" s="92">
        <f t="shared" si="1"/>
        <v>94</v>
      </c>
      <c r="G99" s="92">
        <f t="shared" ref="G99:J99" si="106">G98 +4</f>
        <v>372</v>
      </c>
      <c r="H99" s="92">
        <f t="shared" si="106"/>
        <v>376</v>
      </c>
      <c r="I99" s="92">
        <f t="shared" si="106"/>
        <v>380</v>
      </c>
      <c r="J99" s="92">
        <f t="shared" si="106"/>
        <v>384</v>
      </c>
      <c r="K99" s="142">
        <f t="shared" si="0"/>
        <v>1152</v>
      </c>
      <c r="M99" s="144" t="str">
        <f t="shared" si="98"/>
        <v>10d</v>
      </c>
      <c r="N99" s="150" t="str">
        <f t="shared" si="99"/>
        <v>+2</v>
      </c>
      <c r="O99" s="144" t="str">
        <f t="shared" si="70"/>
        <v>12</v>
      </c>
      <c r="P99" s="150" t="str">
        <f t="shared" si="77"/>
        <v>+2</v>
      </c>
    </row>
    <row r="100" spans="1:16" ht="16.5" customHeight="1">
      <c r="A100" s="91">
        <v>99</v>
      </c>
      <c r="B100" s="91" t="s">
        <v>181</v>
      </c>
      <c r="C100" s="91" t="s">
        <v>185</v>
      </c>
      <c r="F100" s="92">
        <f t="shared" si="1"/>
        <v>95</v>
      </c>
      <c r="G100" s="92">
        <f t="shared" ref="G100:J100" si="107">G99 +4</f>
        <v>376</v>
      </c>
      <c r="H100" s="92">
        <f t="shared" si="107"/>
        <v>380</v>
      </c>
      <c r="I100" s="92">
        <f t="shared" si="107"/>
        <v>384</v>
      </c>
      <c r="J100" s="92">
        <f t="shared" si="107"/>
        <v>388</v>
      </c>
      <c r="K100" s="142">
        <f t="shared" si="0"/>
        <v>1164</v>
      </c>
      <c r="M100" s="144" t="str">
        <f t="shared" si="98"/>
        <v>10d</v>
      </c>
      <c r="N100" s="150" t="str">
        <f t="shared" si="99"/>
        <v>+2</v>
      </c>
      <c r="O100" s="144" t="str">
        <f t="shared" si="70"/>
        <v>12</v>
      </c>
      <c r="P100" s="150" t="str">
        <f t="shared" si="77"/>
        <v>+2</v>
      </c>
    </row>
    <row r="101" spans="1:16" ht="16.5" customHeight="1">
      <c r="A101" s="91">
        <v>100</v>
      </c>
      <c r="B101" s="91" t="s">
        <v>182</v>
      </c>
      <c r="C101" s="91" t="s">
        <v>186</v>
      </c>
      <c r="F101" s="92">
        <f t="shared" si="1"/>
        <v>96</v>
      </c>
      <c r="G101" s="92">
        <f t="shared" ref="G101:J101" si="108">G100 +4</f>
        <v>380</v>
      </c>
      <c r="H101" s="92">
        <f t="shared" si="108"/>
        <v>384</v>
      </c>
      <c r="I101" s="92">
        <f t="shared" si="108"/>
        <v>388</v>
      </c>
      <c r="J101" s="92">
        <f t="shared" si="108"/>
        <v>392</v>
      </c>
      <c r="K101" s="142">
        <f t="shared" si="0"/>
        <v>1176</v>
      </c>
      <c r="M101" s="144" t="str">
        <f t="shared" si="98"/>
        <v>11d</v>
      </c>
      <c r="N101" s="150">
        <f t="shared" si="99"/>
        <v>0</v>
      </c>
      <c r="O101" s="144" t="str">
        <f t="shared" si="70"/>
        <v>13</v>
      </c>
      <c r="P101" s="150">
        <f t="shared" si="77"/>
        <v>0</v>
      </c>
    </row>
    <row r="102" spans="1:16" ht="16.5" customHeight="1">
      <c r="A102" s="92"/>
      <c r="F102" s="92">
        <f t="shared" si="1"/>
        <v>97</v>
      </c>
      <c r="G102" s="92">
        <f t="shared" ref="G102:J102" si="109">G101 +4</f>
        <v>384</v>
      </c>
      <c r="H102" s="92">
        <f t="shared" si="109"/>
        <v>388</v>
      </c>
      <c r="I102" s="92">
        <f t="shared" si="109"/>
        <v>392</v>
      </c>
      <c r="J102" s="92">
        <f t="shared" si="109"/>
        <v>396</v>
      </c>
      <c r="K102" s="142">
        <f t="shared" si="0"/>
        <v>1188</v>
      </c>
    </row>
    <row r="103" spans="1:16" ht="16.5" customHeight="1">
      <c r="A103" s="92"/>
      <c r="F103" s="92">
        <f t="shared" si="1"/>
        <v>98</v>
      </c>
      <c r="G103" s="92">
        <f t="shared" ref="G103:J103" si="110">G102 +4</f>
        <v>388</v>
      </c>
      <c r="H103" s="92">
        <f t="shared" si="110"/>
        <v>392</v>
      </c>
      <c r="I103" s="92">
        <f t="shared" si="110"/>
        <v>396</v>
      </c>
      <c r="J103" s="92">
        <f t="shared" si="110"/>
        <v>400</v>
      </c>
      <c r="K103" s="142">
        <f t="shared" si="0"/>
        <v>1200</v>
      </c>
    </row>
    <row r="104" spans="1:16" ht="16.5" customHeight="1">
      <c r="A104" s="92"/>
      <c r="F104" s="92">
        <f t="shared" si="1"/>
        <v>99</v>
      </c>
      <c r="G104" s="92">
        <f t="shared" ref="G104:J104" si="111">G103 +4</f>
        <v>392</v>
      </c>
      <c r="H104" s="92">
        <f t="shared" si="111"/>
        <v>396</v>
      </c>
      <c r="I104" s="92">
        <f t="shared" si="111"/>
        <v>400</v>
      </c>
      <c r="J104" s="92">
        <f t="shared" si="111"/>
        <v>404</v>
      </c>
      <c r="K104" s="142">
        <f t="shared" si="0"/>
        <v>1212</v>
      </c>
    </row>
    <row r="105" spans="1:16" ht="16.5" customHeight="1">
      <c r="A105" s="92"/>
      <c r="F105" s="92">
        <f t="shared" si="1"/>
        <v>100</v>
      </c>
      <c r="G105" s="92">
        <f t="shared" ref="G105:J105" si="112">G104 +4</f>
        <v>396</v>
      </c>
      <c r="H105" s="92">
        <f t="shared" si="112"/>
        <v>400</v>
      </c>
      <c r="I105" s="92">
        <f t="shared" si="112"/>
        <v>404</v>
      </c>
      <c r="J105" s="92">
        <f t="shared" si="112"/>
        <v>408</v>
      </c>
      <c r="K105" s="142">
        <f t="shared" si="0"/>
        <v>1224</v>
      </c>
    </row>
    <row r="106" spans="1:16" ht="16.5" customHeight="1">
      <c r="A106" s="92"/>
    </row>
    <row r="107" spans="1:16" ht="16.5" customHeight="1">
      <c r="A107" s="92"/>
    </row>
    <row r="108" spans="1:16" ht="16.5" customHeight="1">
      <c r="A108" s="92"/>
    </row>
    <row r="109" spans="1:16" ht="16.5" customHeight="1">
      <c r="A109" s="92"/>
    </row>
    <row r="110" spans="1:16" ht="16.5" customHeight="1">
      <c r="A110" s="92"/>
    </row>
    <row r="111" spans="1:16" ht="16.5" customHeight="1">
      <c r="A111" s="92"/>
    </row>
    <row r="112" spans="1:16" ht="16.5" customHeight="1">
      <c r="A112" s="92"/>
    </row>
    <row r="113" spans="1:1" ht="16.5" customHeight="1">
      <c r="A113" s="92"/>
    </row>
    <row r="114" spans="1:1" ht="16.5" customHeight="1">
      <c r="A114" s="92"/>
    </row>
    <row r="115" spans="1:1" ht="16.5" customHeight="1">
      <c r="A115" s="92"/>
    </row>
    <row r="116" spans="1:1" ht="16.5" customHeight="1">
      <c r="A116" s="92"/>
    </row>
    <row r="117" spans="1:1" ht="16.5" customHeight="1">
      <c r="A117" s="92"/>
    </row>
    <row r="118" spans="1:1" ht="16.5" customHeight="1">
      <c r="A118" s="92"/>
    </row>
    <row r="119" spans="1:1" ht="16.5" customHeight="1">
      <c r="A119" s="92"/>
    </row>
    <row r="120" spans="1:1" ht="16.5" customHeight="1">
      <c r="A120" s="92"/>
    </row>
    <row r="121" spans="1:1" ht="16.5" customHeight="1">
      <c r="A121" s="92"/>
    </row>
    <row r="122" spans="1:1" ht="16.5" customHeight="1">
      <c r="A122" s="92"/>
    </row>
    <row r="123" spans="1:1" ht="16.5" customHeight="1">
      <c r="A123" s="92"/>
    </row>
    <row r="124" spans="1:1" ht="16.5" customHeight="1">
      <c r="A124" s="92"/>
    </row>
    <row r="125" spans="1:1" ht="16.5" customHeight="1">
      <c r="A125" s="92"/>
    </row>
    <row r="126" spans="1:1" ht="16.5" customHeight="1">
      <c r="A126" s="92"/>
    </row>
    <row r="127" spans="1:1" ht="16.5" customHeight="1">
      <c r="A127" s="92"/>
    </row>
    <row r="128" spans="1:1" ht="16.5" customHeight="1">
      <c r="A128" s="92"/>
    </row>
    <row r="129" spans="1:1" ht="16.5" customHeight="1">
      <c r="A129" s="92"/>
    </row>
    <row r="130" spans="1:1" ht="16.5" customHeight="1">
      <c r="A130" s="92"/>
    </row>
    <row r="131" spans="1:1" ht="16.5" customHeight="1">
      <c r="A131" s="92"/>
    </row>
    <row r="132" spans="1:1" ht="16.5" customHeight="1">
      <c r="A132" s="92"/>
    </row>
    <row r="133" spans="1:1" ht="16.5" customHeight="1">
      <c r="A133" s="92"/>
    </row>
    <row r="134" spans="1:1" ht="16.5" customHeight="1">
      <c r="A134" s="92"/>
    </row>
    <row r="135" spans="1:1" ht="16.5" customHeight="1">
      <c r="A135" s="92"/>
    </row>
    <row r="136" spans="1:1" ht="16.5" customHeight="1">
      <c r="A136" s="92"/>
    </row>
    <row r="137" spans="1:1" ht="16.5" customHeight="1">
      <c r="A137" s="92"/>
    </row>
    <row r="138" spans="1:1" ht="16.5" customHeight="1">
      <c r="A138" s="92"/>
    </row>
    <row r="139" spans="1:1" ht="16.5" customHeight="1">
      <c r="A139" s="92"/>
    </row>
    <row r="140" spans="1:1" ht="16.5" customHeight="1">
      <c r="A140" s="92"/>
    </row>
    <row r="141" spans="1:1" ht="16.5" customHeight="1">
      <c r="A141" s="92"/>
    </row>
    <row r="142" spans="1:1" ht="16.5" customHeight="1">
      <c r="A142" s="92"/>
    </row>
    <row r="143" spans="1:1" ht="16.5" customHeight="1">
      <c r="A143" s="92"/>
    </row>
    <row r="144" spans="1:1" ht="16.5" customHeight="1">
      <c r="A144" s="92"/>
    </row>
    <row r="145" spans="1:1" ht="16.5" customHeight="1">
      <c r="A145" s="92"/>
    </row>
    <row r="146" spans="1:1" ht="16.5" customHeight="1">
      <c r="A146" s="92"/>
    </row>
    <row r="147" spans="1:1" ht="16.5" customHeight="1">
      <c r="A147" s="92"/>
    </row>
    <row r="148" spans="1:1" ht="16.5" customHeight="1">
      <c r="A148" s="92"/>
    </row>
    <row r="149" spans="1:1" ht="16.5" customHeight="1">
      <c r="A149" s="92"/>
    </row>
    <row r="150" spans="1:1" ht="16.5" customHeight="1">
      <c r="A150" s="92"/>
    </row>
    <row r="151" spans="1:1" ht="16.5" customHeight="1">
      <c r="A151" s="92"/>
    </row>
    <row r="152" spans="1:1" ht="16.5" customHeight="1">
      <c r="A152" s="92"/>
    </row>
    <row r="153" spans="1:1" ht="16.5" customHeight="1">
      <c r="A153" s="92"/>
    </row>
    <row r="154" spans="1:1" ht="16.5" customHeight="1">
      <c r="A154" s="92"/>
    </row>
    <row r="155" spans="1:1" ht="16.5" customHeight="1">
      <c r="A155" s="92"/>
    </row>
    <row r="156" spans="1:1" ht="16.5" customHeight="1">
      <c r="A156" s="92"/>
    </row>
    <row r="157" spans="1:1" ht="16.5" customHeight="1">
      <c r="A157" s="92"/>
    </row>
    <row r="158" spans="1:1" ht="16.5" customHeight="1">
      <c r="A158" s="92"/>
    </row>
    <row r="159" spans="1:1" ht="16.5" customHeight="1">
      <c r="A159" s="92"/>
    </row>
    <row r="160" spans="1:1" ht="16.5" customHeight="1">
      <c r="A160" s="92"/>
    </row>
    <row r="161" spans="1:1" ht="16.5" customHeight="1">
      <c r="A161" s="92"/>
    </row>
    <row r="162" spans="1:1" ht="16.5" customHeight="1">
      <c r="A162" s="92"/>
    </row>
    <row r="163" spans="1:1" ht="16.5" customHeight="1">
      <c r="A163" s="92"/>
    </row>
    <row r="164" spans="1:1" ht="16.5" customHeight="1">
      <c r="A164" s="92"/>
    </row>
    <row r="165" spans="1:1" ht="16.5" customHeight="1">
      <c r="A165" s="92"/>
    </row>
    <row r="166" spans="1:1" ht="16.5" customHeight="1">
      <c r="A166" s="92"/>
    </row>
    <row r="167" spans="1:1" ht="16.5" customHeight="1">
      <c r="A167" s="92"/>
    </row>
    <row r="168" spans="1:1" ht="16.5" customHeight="1">
      <c r="A168" s="92"/>
    </row>
    <row r="169" spans="1:1" ht="16.5" customHeight="1">
      <c r="A169" s="92"/>
    </row>
    <row r="170" spans="1:1" ht="16.5" customHeight="1">
      <c r="A170" s="92"/>
    </row>
    <row r="171" spans="1:1" ht="16.5" customHeight="1">
      <c r="A171" s="92"/>
    </row>
    <row r="172" spans="1:1" ht="16.5" customHeight="1">
      <c r="A172" s="92"/>
    </row>
    <row r="173" spans="1:1" ht="16.5" customHeight="1">
      <c r="A173" s="92"/>
    </row>
    <row r="174" spans="1:1" ht="16.5" customHeight="1">
      <c r="A174" s="92"/>
    </row>
    <row r="175" spans="1:1" ht="16.5" customHeight="1">
      <c r="A175" s="92"/>
    </row>
    <row r="176" spans="1:1" ht="16.5" customHeight="1">
      <c r="A176" s="92"/>
    </row>
    <row r="177" spans="1:1" ht="16.5" customHeight="1">
      <c r="A177" s="92"/>
    </row>
    <row r="178" spans="1:1" ht="16.5" customHeight="1">
      <c r="A178" s="92"/>
    </row>
    <row r="179" spans="1:1" ht="16.5" customHeight="1">
      <c r="A179" s="92"/>
    </row>
    <row r="180" spans="1:1" ht="16.5" customHeight="1">
      <c r="A180" s="92"/>
    </row>
    <row r="181" spans="1:1" ht="16.5" customHeight="1">
      <c r="A181" s="92"/>
    </row>
    <row r="182" spans="1:1" ht="16.5" customHeight="1">
      <c r="A182" s="92"/>
    </row>
    <row r="183" spans="1:1" ht="16.5" customHeight="1">
      <c r="A183" s="92"/>
    </row>
    <row r="184" spans="1:1" ht="16.5" customHeight="1">
      <c r="A184" s="92"/>
    </row>
    <row r="185" spans="1:1" ht="16.5" customHeight="1">
      <c r="A185" s="92"/>
    </row>
    <row r="186" spans="1:1" ht="16.5" customHeight="1">
      <c r="A186" s="92"/>
    </row>
    <row r="187" spans="1:1" ht="16.5" customHeight="1">
      <c r="A187" s="92"/>
    </row>
    <row r="188" spans="1:1" ht="16.5" customHeight="1">
      <c r="A188" s="92"/>
    </row>
    <row r="189" spans="1:1" ht="16.5" customHeight="1">
      <c r="A189" s="92"/>
    </row>
    <row r="190" spans="1:1" ht="16.5" customHeight="1">
      <c r="A190" s="92"/>
    </row>
    <row r="191" spans="1:1" ht="16.5" customHeight="1">
      <c r="A191" s="92"/>
    </row>
    <row r="192" spans="1:1" ht="16.5" customHeight="1">
      <c r="A192" s="92"/>
    </row>
    <row r="193" spans="1:1" ht="16.5" customHeight="1">
      <c r="A193" s="92"/>
    </row>
    <row r="194" spans="1:1" ht="16.5" customHeight="1">
      <c r="A194" s="92"/>
    </row>
    <row r="195" spans="1:1" ht="16.5" customHeight="1">
      <c r="A195" s="92"/>
    </row>
    <row r="196" spans="1:1" ht="16.5" customHeight="1">
      <c r="A196" s="92"/>
    </row>
    <row r="197" spans="1:1" ht="16.5" customHeight="1">
      <c r="A197" s="92"/>
    </row>
    <row r="198" spans="1:1" ht="16.5" customHeight="1">
      <c r="A198" s="92"/>
    </row>
    <row r="199" spans="1:1" ht="16.5" customHeight="1">
      <c r="A199" s="92"/>
    </row>
    <row r="200" spans="1:1" ht="16.5" customHeight="1">
      <c r="A200" s="92"/>
    </row>
    <row r="201" spans="1:1" ht="16.5" customHeight="1">
      <c r="A201" s="92"/>
    </row>
    <row r="202" spans="1:1" ht="16.5" customHeight="1">
      <c r="A202" s="92"/>
    </row>
    <row r="203" spans="1:1" ht="16.5" customHeight="1">
      <c r="A203" s="92"/>
    </row>
    <row r="204" spans="1:1" ht="16.5" customHeight="1">
      <c r="A204" s="92"/>
    </row>
    <row r="205" spans="1:1" ht="16.5" customHeight="1">
      <c r="A205" s="92"/>
    </row>
    <row r="206" spans="1:1" ht="16.5" customHeight="1">
      <c r="A206" s="92"/>
    </row>
    <row r="207" spans="1:1" ht="16.5" customHeight="1">
      <c r="A207" s="92"/>
    </row>
    <row r="208" spans="1:1" ht="16.5" customHeight="1">
      <c r="A208" s="92"/>
    </row>
    <row r="209" spans="1:1" ht="16.5" customHeight="1">
      <c r="A209" s="92"/>
    </row>
    <row r="210" spans="1:1" ht="16.5" customHeight="1">
      <c r="A210" s="92"/>
    </row>
    <row r="211" spans="1:1" ht="16.5" customHeight="1">
      <c r="A211" s="92"/>
    </row>
    <row r="212" spans="1:1" ht="16.5" customHeight="1">
      <c r="A212" s="92"/>
    </row>
    <row r="213" spans="1:1" ht="16.5" customHeight="1">
      <c r="A213" s="92"/>
    </row>
    <row r="214" spans="1:1" ht="16.5" customHeight="1">
      <c r="A214" s="92"/>
    </row>
    <row r="215" spans="1:1" ht="16.5" customHeight="1">
      <c r="A215" s="92"/>
    </row>
    <row r="216" spans="1:1" ht="16.5" customHeight="1">
      <c r="A216" s="92"/>
    </row>
    <row r="217" spans="1:1" ht="16.5" customHeight="1">
      <c r="A217" s="92"/>
    </row>
    <row r="218" spans="1:1" ht="16.5" customHeight="1">
      <c r="A218" s="92"/>
    </row>
    <row r="219" spans="1:1" ht="16.5" customHeight="1">
      <c r="A219" s="92"/>
    </row>
    <row r="220" spans="1:1" ht="16.5" customHeight="1">
      <c r="A220" s="92"/>
    </row>
    <row r="221" spans="1:1" ht="16.5" customHeight="1">
      <c r="A221" s="92"/>
    </row>
    <row r="222" spans="1:1" ht="16.5" customHeight="1">
      <c r="A222" s="92"/>
    </row>
    <row r="223" spans="1:1" ht="16.5" customHeight="1">
      <c r="A223" s="92"/>
    </row>
    <row r="224" spans="1:1" ht="16.5" customHeight="1">
      <c r="A224" s="92"/>
    </row>
    <row r="225" spans="1:1" ht="16.5" customHeight="1">
      <c r="A225" s="92"/>
    </row>
    <row r="226" spans="1:1" ht="16.5" customHeight="1">
      <c r="A226" s="92"/>
    </row>
    <row r="227" spans="1:1" ht="16.5" customHeight="1">
      <c r="A227" s="92"/>
    </row>
    <row r="228" spans="1:1" ht="16.5" customHeight="1">
      <c r="A228" s="92"/>
    </row>
    <row r="229" spans="1:1" ht="16.5" customHeight="1">
      <c r="A229" s="92"/>
    </row>
    <row r="230" spans="1:1" ht="16.5" customHeight="1">
      <c r="A230" s="92"/>
    </row>
    <row r="231" spans="1:1" ht="16.5" customHeight="1">
      <c r="A231" s="92"/>
    </row>
    <row r="232" spans="1:1" ht="16.5" customHeight="1">
      <c r="A232" s="92"/>
    </row>
    <row r="233" spans="1:1" ht="16.5" customHeight="1">
      <c r="A233" s="92"/>
    </row>
    <row r="234" spans="1:1" ht="16.5" customHeight="1">
      <c r="A234" s="92"/>
    </row>
    <row r="235" spans="1:1" ht="16.5" customHeight="1">
      <c r="A235" s="92"/>
    </row>
    <row r="236" spans="1:1" ht="16.5" customHeight="1">
      <c r="A236" s="92"/>
    </row>
    <row r="237" spans="1:1" ht="16.5" customHeight="1">
      <c r="A237" s="92"/>
    </row>
    <row r="238" spans="1:1" ht="16.5" customHeight="1">
      <c r="A238" s="92"/>
    </row>
    <row r="239" spans="1:1" ht="16.5" customHeight="1">
      <c r="A239" s="92"/>
    </row>
    <row r="240" spans="1:1" ht="16.5" customHeight="1">
      <c r="A240" s="92"/>
    </row>
    <row r="241" spans="1:1" ht="16.5" customHeight="1">
      <c r="A241" s="92"/>
    </row>
    <row r="242" spans="1:1" ht="16.5" customHeight="1">
      <c r="A242" s="92"/>
    </row>
    <row r="243" spans="1:1" ht="16.5" customHeight="1">
      <c r="A243" s="92"/>
    </row>
    <row r="244" spans="1:1" ht="16.5" customHeight="1">
      <c r="A244" s="92"/>
    </row>
    <row r="245" spans="1:1" ht="16.5" customHeight="1">
      <c r="A245" s="92"/>
    </row>
    <row r="246" spans="1:1" ht="16.5" customHeight="1">
      <c r="A246" s="92"/>
    </row>
    <row r="247" spans="1:1" ht="16.5" customHeight="1">
      <c r="A247" s="92"/>
    </row>
    <row r="248" spans="1:1" ht="16.5" customHeight="1">
      <c r="A248" s="92"/>
    </row>
    <row r="249" spans="1:1" ht="16.5" customHeight="1">
      <c r="A249" s="92"/>
    </row>
    <row r="250" spans="1:1" ht="16.5" customHeight="1">
      <c r="A250" s="92"/>
    </row>
    <row r="251" spans="1:1" ht="16.5" customHeight="1">
      <c r="A251" s="92"/>
    </row>
    <row r="252" spans="1:1" ht="16.5" customHeight="1">
      <c r="A252" s="92"/>
    </row>
    <row r="253" spans="1:1" ht="16.5" customHeight="1">
      <c r="A253" s="92"/>
    </row>
    <row r="254" spans="1:1" ht="16.5" customHeight="1">
      <c r="A254" s="92"/>
    </row>
    <row r="255" spans="1:1" ht="16.5" customHeight="1">
      <c r="A255" s="92"/>
    </row>
    <row r="256" spans="1:1" ht="16.5" customHeight="1">
      <c r="A256" s="92"/>
    </row>
    <row r="257" spans="1:1" ht="16.5" customHeight="1">
      <c r="A257" s="92"/>
    </row>
    <row r="258" spans="1:1" ht="16.5" customHeight="1">
      <c r="A258" s="92"/>
    </row>
    <row r="259" spans="1:1" ht="16.5" customHeight="1">
      <c r="A259" s="92"/>
    </row>
    <row r="260" spans="1:1" ht="16.5" customHeight="1">
      <c r="A260" s="92"/>
    </row>
    <row r="261" spans="1:1" ht="16.5" customHeight="1">
      <c r="A261" s="92"/>
    </row>
    <row r="262" spans="1:1" ht="16.5" customHeight="1">
      <c r="A262" s="92"/>
    </row>
    <row r="263" spans="1:1" ht="16.5" customHeight="1">
      <c r="A263" s="92"/>
    </row>
    <row r="264" spans="1:1" ht="16.5" customHeight="1">
      <c r="A264" s="92"/>
    </row>
    <row r="265" spans="1:1" ht="16.5" customHeight="1">
      <c r="A265" s="92"/>
    </row>
    <row r="266" spans="1:1" ht="16.5" customHeight="1">
      <c r="A266" s="92"/>
    </row>
    <row r="267" spans="1:1" ht="16.5" customHeight="1">
      <c r="A267" s="92"/>
    </row>
    <row r="268" spans="1:1" ht="16.5" customHeight="1">
      <c r="A268" s="92"/>
    </row>
    <row r="269" spans="1:1" ht="16.5" customHeight="1">
      <c r="A269" s="92"/>
    </row>
    <row r="270" spans="1:1" ht="16.5" customHeight="1">
      <c r="A270" s="92"/>
    </row>
    <row r="271" spans="1:1" ht="16.5" customHeight="1">
      <c r="A271" s="92"/>
    </row>
    <row r="272" spans="1:1" ht="16.5" customHeight="1">
      <c r="A272" s="92"/>
    </row>
    <row r="273" spans="1:1" ht="16.5" customHeight="1">
      <c r="A273" s="92"/>
    </row>
    <row r="274" spans="1:1" ht="16.5" customHeight="1">
      <c r="A274" s="92"/>
    </row>
    <row r="275" spans="1:1" ht="16.5" customHeight="1">
      <c r="A275" s="92"/>
    </row>
    <row r="276" spans="1:1" ht="16.5" customHeight="1">
      <c r="A276" s="92"/>
    </row>
    <row r="277" spans="1:1" ht="16.5" customHeight="1">
      <c r="A277" s="92"/>
    </row>
    <row r="278" spans="1:1" ht="16.5" customHeight="1">
      <c r="A278" s="92"/>
    </row>
    <row r="279" spans="1:1" ht="16.5" customHeight="1">
      <c r="A279" s="92"/>
    </row>
    <row r="280" spans="1:1" ht="16.5" customHeight="1">
      <c r="A280" s="92"/>
    </row>
    <row r="281" spans="1:1" ht="16.5" customHeight="1">
      <c r="A281" s="92"/>
    </row>
    <row r="282" spans="1:1" ht="16.5" customHeight="1">
      <c r="A282" s="92"/>
    </row>
    <row r="283" spans="1:1" ht="16.5" customHeight="1">
      <c r="A283" s="92"/>
    </row>
    <row r="284" spans="1:1" ht="16.5" customHeight="1">
      <c r="A284" s="92"/>
    </row>
    <row r="285" spans="1:1" ht="16.5" customHeight="1">
      <c r="A285" s="92"/>
    </row>
    <row r="286" spans="1:1" ht="16.5" customHeight="1">
      <c r="A286" s="92"/>
    </row>
    <row r="287" spans="1:1" ht="16.5" customHeight="1">
      <c r="A287" s="92"/>
    </row>
    <row r="288" spans="1:1" ht="16.5" customHeight="1">
      <c r="A288" s="92"/>
    </row>
    <row r="289" spans="1:1" ht="16.5" customHeight="1">
      <c r="A289" s="92"/>
    </row>
    <row r="290" spans="1:1" ht="16.5" customHeight="1">
      <c r="A290" s="92"/>
    </row>
    <row r="291" spans="1:1" ht="16.5" customHeight="1">
      <c r="A291" s="92"/>
    </row>
    <row r="292" spans="1:1" ht="16.5" customHeight="1">
      <c r="A292" s="92"/>
    </row>
    <row r="293" spans="1:1" ht="16.5" customHeight="1">
      <c r="A293" s="92"/>
    </row>
    <row r="294" spans="1:1" ht="16.5" customHeight="1">
      <c r="A294" s="92"/>
    </row>
    <row r="295" spans="1:1" ht="16.5" customHeight="1">
      <c r="A295" s="92"/>
    </row>
    <row r="296" spans="1:1" ht="16.5" customHeight="1">
      <c r="A296" s="92"/>
    </row>
    <row r="297" spans="1:1" ht="16.5" customHeight="1">
      <c r="A297" s="92"/>
    </row>
    <row r="298" spans="1:1" ht="16.5" customHeight="1">
      <c r="A298" s="92"/>
    </row>
    <row r="299" spans="1:1" ht="16.5" customHeight="1">
      <c r="A299" s="92"/>
    </row>
    <row r="300" spans="1:1" ht="16.5" customHeight="1">
      <c r="A300" s="92"/>
    </row>
    <row r="301" spans="1:1" ht="16.5" customHeight="1">
      <c r="A301" s="92"/>
    </row>
    <row r="302" spans="1:1" ht="16.5" customHeight="1">
      <c r="A302" s="92"/>
    </row>
    <row r="303" spans="1:1" ht="16.5" customHeight="1">
      <c r="A303" s="92"/>
    </row>
    <row r="304" spans="1:1" ht="16.5" customHeight="1">
      <c r="A304" s="92"/>
    </row>
    <row r="305" spans="1:1" ht="16.5" customHeight="1">
      <c r="A305" s="92"/>
    </row>
    <row r="306" spans="1:1" ht="16.5" customHeight="1">
      <c r="A306" s="92"/>
    </row>
    <row r="307" spans="1:1" ht="16.5" customHeight="1">
      <c r="A307" s="92"/>
    </row>
    <row r="308" spans="1:1" ht="16.5" customHeight="1">
      <c r="A308" s="92"/>
    </row>
    <row r="309" spans="1:1" ht="16.5" customHeight="1">
      <c r="A309" s="92"/>
    </row>
    <row r="310" spans="1:1" ht="16.5" customHeight="1">
      <c r="A310" s="92"/>
    </row>
    <row r="311" spans="1:1" ht="16.5" customHeight="1">
      <c r="A311" s="92"/>
    </row>
    <row r="312" spans="1:1" ht="16.5" customHeight="1">
      <c r="A312" s="92"/>
    </row>
    <row r="313" spans="1:1" ht="16.5" customHeight="1">
      <c r="A313" s="92"/>
    </row>
    <row r="314" spans="1:1" ht="16.5" customHeight="1">
      <c r="A314" s="92"/>
    </row>
    <row r="315" spans="1:1" ht="16.5" customHeight="1">
      <c r="A315" s="92"/>
    </row>
    <row r="316" spans="1:1" ht="16.5" customHeight="1">
      <c r="A316" s="92"/>
    </row>
    <row r="317" spans="1:1" ht="16.5" customHeight="1">
      <c r="A317" s="92"/>
    </row>
    <row r="318" spans="1:1" ht="16.5" customHeight="1">
      <c r="A318" s="92"/>
    </row>
    <row r="319" spans="1:1" ht="16.5" customHeight="1">
      <c r="A319" s="92"/>
    </row>
    <row r="320" spans="1:1" ht="16.5" customHeight="1">
      <c r="A320" s="92"/>
    </row>
    <row r="321" spans="1:1" ht="16.5" customHeight="1">
      <c r="A321" s="92"/>
    </row>
    <row r="322" spans="1:1" ht="16.5" customHeight="1">
      <c r="A322" s="92"/>
    </row>
    <row r="323" spans="1:1" ht="16.5" customHeight="1">
      <c r="A323" s="92"/>
    </row>
    <row r="324" spans="1:1" ht="16.5" customHeight="1">
      <c r="A324" s="92"/>
    </row>
    <row r="325" spans="1:1" ht="16.5" customHeight="1">
      <c r="A325" s="92"/>
    </row>
    <row r="326" spans="1:1" ht="16.5" customHeight="1">
      <c r="A326" s="92"/>
    </row>
    <row r="327" spans="1:1" ht="16.5" customHeight="1">
      <c r="A327" s="92"/>
    </row>
    <row r="328" spans="1:1" ht="16.5" customHeight="1">
      <c r="A328" s="92"/>
    </row>
    <row r="329" spans="1:1" ht="16.5" customHeight="1">
      <c r="A329" s="92"/>
    </row>
    <row r="330" spans="1:1" ht="16.5" customHeight="1">
      <c r="A330" s="92"/>
    </row>
    <row r="331" spans="1:1" ht="16.5" customHeight="1">
      <c r="A331" s="92"/>
    </row>
    <row r="332" spans="1:1" ht="16.5" customHeight="1">
      <c r="A332" s="92"/>
    </row>
    <row r="333" spans="1:1" ht="16.5" customHeight="1">
      <c r="A333" s="92"/>
    </row>
    <row r="334" spans="1:1" ht="16.5" customHeight="1">
      <c r="A334" s="92"/>
    </row>
    <row r="335" spans="1:1" ht="16.5" customHeight="1">
      <c r="A335" s="92"/>
    </row>
    <row r="336" spans="1:1" ht="16.5" customHeight="1">
      <c r="A336" s="92"/>
    </row>
    <row r="337" spans="1:1" ht="16.5" customHeight="1">
      <c r="A337" s="92"/>
    </row>
    <row r="338" spans="1:1" ht="16.5" customHeight="1">
      <c r="A338" s="92"/>
    </row>
    <row r="339" spans="1:1" ht="16.5" customHeight="1">
      <c r="A339" s="92"/>
    </row>
    <row r="340" spans="1:1" ht="16.5" customHeight="1">
      <c r="A340" s="92"/>
    </row>
    <row r="341" spans="1:1" ht="16.5" customHeight="1">
      <c r="A341" s="92"/>
    </row>
    <row r="342" spans="1:1" ht="16.5" customHeight="1">
      <c r="A342" s="92"/>
    </row>
    <row r="343" spans="1:1" ht="16.5" customHeight="1">
      <c r="A343" s="92"/>
    </row>
    <row r="344" spans="1:1" ht="16.5" customHeight="1">
      <c r="A344" s="92"/>
    </row>
    <row r="345" spans="1:1" ht="16.5" customHeight="1">
      <c r="A345" s="92"/>
    </row>
    <row r="346" spans="1:1" ht="16.5" customHeight="1">
      <c r="A346" s="92"/>
    </row>
    <row r="347" spans="1:1" ht="16.5" customHeight="1">
      <c r="A347" s="92"/>
    </row>
    <row r="348" spans="1:1" ht="16.5" customHeight="1">
      <c r="A348" s="92"/>
    </row>
    <row r="349" spans="1:1" ht="16.5" customHeight="1">
      <c r="A349" s="92"/>
    </row>
    <row r="350" spans="1:1" ht="16.5" customHeight="1">
      <c r="A350" s="92"/>
    </row>
    <row r="351" spans="1:1" ht="16.5" customHeight="1">
      <c r="A351" s="92"/>
    </row>
    <row r="352" spans="1:1" ht="16.5" customHeight="1">
      <c r="A352" s="92"/>
    </row>
    <row r="353" spans="1:1" ht="16.5" customHeight="1">
      <c r="A353" s="92"/>
    </row>
    <row r="354" spans="1:1" ht="16.5" customHeight="1">
      <c r="A354" s="92"/>
    </row>
    <row r="355" spans="1:1" ht="16.5" customHeight="1">
      <c r="A355" s="92"/>
    </row>
    <row r="356" spans="1:1" ht="16.5" customHeight="1">
      <c r="A356" s="92"/>
    </row>
    <row r="357" spans="1:1" ht="16.5" customHeight="1">
      <c r="A357" s="92"/>
    </row>
    <row r="358" spans="1:1" ht="16.5" customHeight="1">
      <c r="A358" s="92"/>
    </row>
    <row r="359" spans="1:1" ht="16.5" customHeight="1">
      <c r="A359" s="92"/>
    </row>
    <row r="360" spans="1:1" ht="16.5" customHeight="1">
      <c r="A360" s="92"/>
    </row>
    <row r="361" spans="1:1" ht="16.5" customHeight="1">
      <c r="A361" s="92"/>
    </row>
    <row r="362" spans="1:1" ht="16.5" customHeight="1">
      <c r="A362" s="92"/>
    </row>
    <row r="363" spans="1:1" ht="16.5" customHeight="1">
      <c r="A363" s="92"/>
    </row>
    <row r="364" spans="1:1" ht="16.5" customHeight="1">
      <c r="A364" s="92"/>
    </row>
    <row r="365" spans="1:1" ht="16.5" customHeight="1">
      <c r="A365" s="92"/>
    </row>
    <row r="366" spans="1:1" ht="16.5" customHeight="1">
      <c r="A366" s="92"/>
    </row>
    <row r="367" spans="1:1" ht="16.5" customHeight="1">
      <c r="A367" s="92"/>
    </row>
    <row r="368" spans="1:1" ht="16.5" customHeight="1">
      <c r="A368" s="92"/>
    </row>
    <row r="369" spans="1:1" ht="16.5" customHeight="1">
      <c r="A369" s="92"/>
    </row>
    <row r="370" spans="1:1" ht="16.5" customHeight="1">
      <c r="A370" s="92"/>
    </row>
    <row r="371" spans="1:1" ht="16.5" customHeight="1">
      <c r="A371" s="92"/>
    </row>
    <row r="372" spans="1:1" ht="16.5" customHeight="1">
      <c r="A372" s="92"/>
    </row>
    <row r="373" spans="1:1" ht="16.5" customHeight="1">
      <c r="A373" s="92"/>
    </row>
    <row r="374" spans="1:1" ht="16.5" customHeight="1">
      <c r="A374" s="92"/>
    </row>
    <row r="375" spans="1:1" ht="16.5" customHeight="1">
      <c r="A375" s="92"/>
    </row>
    <row r="376" spans="1:1" ht="16.5" customHeight="1">
      <c r="A376" s="92"/>
    </row>
    <row r="377" spans="1:1" ht="16.5" customHeight="1">
      <c r="A377" s="92"/>
    </row>
    <row r="378" spans="1:1" ht="16.5" customHeight="1">
      <c r="A378" s="92"/>
    </row>
    <row r="379" spans="1:1" ht="16.5" customHeight="1">
      <c r="A379" s="92"/>
    </row>
    <row r="380" spans="1:1" ht="16.5" customHeight="1">
      <c r="A380" s="92"/>
    </row>
    <row r="381" spans="1:1" ht="16.5" customHeight="1">
      <c r="A381" s="92"/>
    </row>
    <row r="382" spans="1:1" ht="16.5" customHeight="1">
      <c r="A382" s="92"/>
    </row>
    <row r="383" spans="1:1" ht="16.5" customHeight="1">
      <c r="A383" s="92"/>
    </row>
    <row r="384" spans="1:1" ht="16.5" customHeight="1">
      <c r="A384" s="92"/>
    </row>
    <row r="385" spans="1:1" ht="16.5" customHeight="1">
      <c r="A385" s="92"/>
    </row>
    <row r="386" spans="1:1" ht="16.5" customHeight="1">
      <c r="A386" s="92"/>
    </row>
    <row r="387" spans="1:1" ht="16.5" customHeight="1">
      <c r="A387" s="92"/>
    </row>
    <row r="388" spans="1:1" ht="16.5" customHeight="1">
      <c r="A388" s="92"/>
    </row>
    <row r="389" spans="1:1" ht="16.5" customHeight="1">
      <c r="A389" s="92"/>
    </row>
    <row r="390" spans="1:1" ht="16.5" customHeight="1">
      <c r="A390" s="92"/>
    </row>
    <row r="391" spans="1:1" ht="16.5" customHeight="1">
      <c r="A391" s="92"/>
    </row>
    <row r="392" spans="1:1" ht="16.5" customHeight="1">
      <c r="A392" s="92"/>
    </row>
    <row r="393" spans="1:1" ht="16.5" customHeight="1">
      <c r="A393" s="92"/>
    </row>
    <row r="394" spans="1:1" ht="16.5" customHeight="1">
      <c r="A394" s="92"/>
    </row>
    <row r="395" spans="1:1" ht="16.5" customHeight="1">
      <c r="A395" s="92"/>
    </row>
    <row r="396" spans="1:1" ht="16.5" customHeight="1">
      <c r="A396" s="92"/>
    </row>
    <row r="397" spans="1:1" ht="16.5" customHeight="1">
      <c r="A397" s="92"/>
    </row>
    <row r="398" spans="1:1" ht="16.5" customHeight="1">
      <c r="A398" s="92"/>
    </row>
    <row r="399" spans="1:1" ht="16.5" customHeight="1">
      <c r="A399" s="92"/>
    </row>
    <row r="400" spans="1:1" ht="16.5" customHeight="1">
      <c r="A400" s="92"/>
    </row>
    <row r="401" spans="1:1" ht="16.5" customHeight="1">
      <c r="A401" s="92"/>
    </row>
    <row r="402" spans="1:1" ht="16.5" customHeight="1">
      <c r="A402" s="92"/>
    </row>
    <row r="403" spans="1:1" ht="16.5" customHeight="1">
      <c r="A403" s="92"/>
    </row>
    <row r="404" spans="1:1" ht="16.5" customHeight="1">
      <c r="A404" s="92"/>
    </row>
    <row r="405" spans="1:1" ht="16.5" customHeight="1">
      <c r="A405" s="92"/>
    </row>
    <row r="406" spans="1:1" ht="16.5" customHeight="1">
      <c r="A406" s="92"/>
    </row>
    <row r="407" spans="1:1" ht="16.5" customHeight="1">
      <c r="A407" s="92"/>
    </row>
    <row r="408" spans="1:1" ht="16.5" customHeight="1">
      <c r="A408" s="92"/>
    </row>
    <row r="409" spans="1:1" ht="16.5" customHeight="1">
      <c r="A409" s="92"/>
    </row>
    <row r="410" spans="1:1" ht="16.5" customHeight="1">
      <c r="A410" s="92"/>
    </row>
    <row r="411" spans="1:1" ht="16.5" customHeight="1">
      <c r="A411" s="92"/>
    </row>
    <row r="412" spans="1:1" ht="16.5" customHeight="1">
      <c r="A412" s="92"/>
    </row>
    <row r="413" spans="1:1" ht="16.5" customHeight="1">
      <c r="A413" s="92"/>
    </row>
    <row r="414" spans="1:1" ht="16.5" customHeight="1">
      <c r="A414" s="92"/>
    </row>
    <row r="415" spans="1:1" ht="16.5" customHeight="1">
      <c r="A415" s="92"/>
    </row>
    <row r="416" spans="1:1" ht="16.5" customHeight="1">
      <c r="A416" s="92"/>
    </row>
    <row r="417" spans="1:1" ht="16.5" customHeight="1">
      <c r="A417" s="92"/>
    </row>
    <row r="418" spans="1:1" ht="16.5" customHeight="1">
      <c r="A418" s="92"/>
    </row>
    <row r="419" spans="1:1" ht="16.5" customHeight="1">
      <c r="A419" s="92"/>
    </row>
    <row r="420" spans="1:1" ht="16.5" customHeight="1">
      <c r="A420" s="92"/>
    </row>
    <row r="421" spans="1:1" ht="16.5" customHeight="1">
      <c r="A421" s="92"/>
    </row>
    <row r="422" spans="1:1" ht="16.5" customHeight="1">
      <c r="A422" s="92"/>
    </row>
    <row r="423" spans="1:1" ht="16.5" customHeight="1">
      <c r="A423" s="92"/>
    </row>
    <row r="424" spans="1:1" ht="16.5" customHeight="1">
      <c r="A424" s="92"/>
    </row>
    <row r="425" spans="1:1" ht="16.5" customHeight="1">
      <c r="A425" s="92"/>
    </row>
    <row r="426" spans="1:1" ht="16.5" customHeight="1">
      <c r="A426" s="92"/>
    </row>
    <row r="427" spans="1:1" ht="16.5" customHeight="1">
      <c r="A427" s="92"/>
    </row>
    <row r="428" spans="1:1" ht="16.5" customHeight="1">
      <c r="A428" s="92"/>
    </row>
    <row r="429" spans="1:1" ht="16.5" customHeight="1">
      <c r="A429" s="92"/>
    </row>
    <row r="430" spans="1:1" ht="16.5" customHeight="1">
      <c r="A430" s="92"/>
    </row>
    <row r="431" spans="1:1" ht="16.5" customHeight="1">
      <c r="A431" s="92"/>
    </row>
    <row r="432" spans="1:1" ht="16.5" customHeight="1">
      <c r="A432" s="92"/>
    </row>
    <row r="433" spans="1:1" ht="16.5" customHeight="1">
      <c r="A433" s="92"/>
    </row>
    <row r="434" spans="1:1" ht="16.5" customHeight="1">
      <c r="A434" s="92"/>
    </row>
    <row r="435" spans="1:1" ht="16.5" customHeight="1">
      <c r="A435" s="92"/>
    </row>
    <row r="436" spans="1:1" ht="16.5" customHeight="1">
      <c r="A436" s="92"/>
    </row>
    <row r="437" spans="1:1" ht="16.5" customHeight="1">
      <c r="A437" s="92"/>
    </row>
    <row r="438" spans="1:1" ht="16.5" customHeight="1">
      <c r="A438" s="92"/>
    </row>
    <row r="439" spans="1:1" ht="16.5" customHeight="1">
      <c r="A439" s="92"/>
    </row>
    <row r="440" spans="1:1" ht="16.5" customHeight="1">
      <c r="A440" s="92"/>
    </row>
    <row r="441" spans="1:1" ht="16.5" customHeight="1">
      <c r="A441" s="92"/>
    </row>
    <row r="442" spans="1:1" ht="16.5" customHeight="1">
      <c r="A442" s="92"/>
    </row>
    <row r="443" spans="1:1" ht="16.5" customHeight="1">
      <c r="A443" s="92"/>
    </row>
    <row r="444" spans="1:1" ht="16.5" customHeight="1">
      <c r="A444" s="92"/>
    </row>
    <row r="445" spans="1:1" ht="16.5" customHeight="1">
      <c r="A445" s="92"/>
    </row>
    <row r="446" spans="1:1" ht="16.5" customHeight="1">
      <c r="A446" s="92"/>
    </row>
    <row r="447" spans="1:1" ht="16.5" customHeight="1">
      <c r="A447" s="92"/>
    </row>
    <row r="448" spans="1:1" ht="16.5" customHeight="1">
      <c r="A448" s="92"/>
    </row>
    <row r="449" spans="1:1" ht="16.5" customHeight="1">
      <c r="A449" s="92"/>
    </row>
    <row r="450" spans="1:1" ht="16.5" customHeight="1">
      <c r="A450" s="92"/>
    </row>
    <row r="451" spans="1:1" ht="16.5" customHeight="1">
      <c r="A451" s="92"/>
    </row>
    <row r="452" spans="1:1" ht="16.5" customHeight="1">
      <c r="A452" s="92"/>
    </row>
    <row r="453" spans="1:1" ht="16.5" customHeight="1">
      <c r="A453" s="92"/>
    </row>
    <row r="454" spans="1:1" ht="16.5" customHeight="1">
      <c r="A454" s="92"/>
    </row>
    <row r="455" spans="1:1" ht="16.5" customHeight="1">
      <c r="A455" s="92"/>
    </row>
    <row r="456" spans="1:1" ht="16.5" customHeight="1">
      <c r="A456" s="92"/>
    </row>
    <row r="457" spans="1:1" ht="16.5" customHeight="1">
      <c r="A457" s="92"/>
    </row>
    <row r="458" spans="1:1" ht="16.5" customHeight="1">
      <c r="A458" s="92"/>
    </row>
    <row r="459" spans="1:1" ht="16.5" customHeight="1">
      <c r="A459" s="92"/>
    </row>
    <row r="460" spans="1:1" ht="16.5" customHeight="1">
      <c r="A460" s="92"/>
    </row>
    <row r="461" spans="1:1" ht="16.5" customHeight="1">
      <c r="A461" s="92"/>
    </row>
    <row r="462" spans="1:1" ht="16.5" customHeight="1">
      <c r="A462" s="92"/>
    </row>
    <row r="463" spans="1:1" ht="16.5" customHeight="1">
      <c r="A463" s="92"/>
    </row>
    <row r="464" spans="1:1" ht="16.5" customHeight="1">
      <c r="A464" s="92"/>
    </row>
    <row r="465" spans="1:1" ht="16.5" customHeight="1">
      <c r="A465" s="92"/>
    </row>
    <row r="466" spans="1:1" ht="16.5" customHeight="1">
      <c r="A466" s="92"/>
    </row>
    <row r="467" spans="1:1" ht="16.5" customHeight="1">
      <c r="A467" s="92"/>
    </row>
    <row r="468" spans="1:1" ht="16.5" customHeight="1">
      <c r="A468" s="92"/>
    </row>
    <row r="469" spans="1:1" ht="16.5" customHeight="1">
      <c r="A469" s="92"/>
    </row>
    <row r="470" spans="1:1" ht="16.5" customHeight="1">
      <c r="A470" s="92"/>
    </row>
    <row r="471" spans="1:1" ht="16.5" customHeight="1">
      <c r="A471" s="92"/>
    </row>
    <row r="472" spans="1:1" ht="16.5" customHeight="1">
      <c r="A472" s="92"/>
    </row>
    <row r="473" spans="1:1" ht="16.5" customHeight="1">
      <c r="A473" s="92"/>
    </row>
    <row r="474" spans="1:1" ht="16.5" customHeight="1">
      <c r="A474" s="92"/>
    </row>
    <row r="475" spans="1:1" ht="16.5" customHeight="1">
      <c r="A475" s="92"/>
    </row>
    <row r="476" spans="1:1" ht="16.5" customHeight="1">
      <c r="A476" s="92"/>
    </row>
    <row r="477" spans="1:1" ht="16.5" customHeight="1">
      <c r="A477" s="92"/>
    </row>
    <row r="478" spans="1:1" ht="16.5" customHeight="1">
      <c r="A478" s="92"/>
    </row>
    <row r="479" spans="1:1" ht="16.5" customHeight="1">
      <c r="A479" s="92"/>
    </row>
    <row r="480" spans="1:1" ht="16.5" customHeight="1">
      <c r="A480" s="92"/>
    </row>
    <row r="481" spans="1:1" ht="16.5" customHeight="1">
      <c r="A481" s="92"/>
    </row>
    <row r="482" spans="1:1" ht="16.5" customHeight="1">
      <c r="A482" s="92"/>
    </row>
    <row r="483" spans="1:1" ht="16.5" customHeight="1">
      <c r="A483" s="92"/>
    </row>
    <row r="484" spans="1:1" ht="16.5" customHeight="1">
      <c r="A484" s="92"/>
    </row>
    <row r="485" spans="1:1" ht="16.5" customHeight="1">
      <c r="A485" s="92"/>
    </row>
    <row r="486" spans="1:1" ht="16.5" customHeight="1">
      <c r="A486" s="92"/>
    </row>
    <row r="487" spans="1:1" ht="16.5" customHeight="1">
      <c r="A487" s="92"/>
    </row>
    <row r="488" spans="1:1" ht="16.5" customHeight="1">
      <c r="A488" s="92"/>
    </row>
    <row r="489" spans="1:1" ht="16.5" customHeight="1">
      <c r="A489" s="92"/>
    </row>
    <row r="490" spans="1:1" ht="16.5" customHeight="1">
      <c r="A490" s="92"/>
    </row>
    <row r="491" spans="1:1" ht="16.5" customHeight="1">
      <c r="A491" s="92"/>
    </row>
    <row r="492" spans="1:1" ht="16.5" customHeight="1">
      <c r="A492" s="92"/>
    </row>
    <row r="493" spans="1:1" ht="16.5" customHeight="1">
      <c r="A493" s="92"/>
    </row>
    <row r="494" spans="1:1" ht="16.5" customHeight="1">
      <c r="A494" s="92"/>
    </row>
    <row r="495" spans="1:1" ht="16.5" customHeight="1">
      <c r="A495" s="92"/>
    </row>
    <row r="496" spans="1:1" ht="16.5" customHeight="1">
      <c r="A496" s="92"/>
    </row>
    <row r="497" spans="1:1" ht="16.5" customHeight="1">
      <c r="A497" s="92"/>
    </row>
    <row r="498" spans="1:1" ht="16.5" customHeight="1">
      <c r="A498" s="92"/>
    </row>
    <row r="499" spans="1:1" ht="16.5" customHeight="1">
      <c r="A499" s="92"/>
    </row>
    <row r="500" spans="1:1" ht="16.5" customHeight="1">
      <c r="A500" s="92"/>
    </row>
    <row r="501" spans="1:1" ht="16.5" customHeight="1">
      <c r="A501" s="92"/>
    </row>
    <row r="502" spans="1:1" ht="16.5" customHeight="1">
      <c r="A502" s="92"/>
    </row>
    <row r="503" spans="1:1" ht="16.5" customHeight="1">
      <c r="A503" s="92"/>
    </row>
    <row r="504" spans="1:1" ht="16.5" customHeight="1">
      <c r="A504" s="92"/>
    </row>
    <row r="505" spans="1:1" ht="16.5" customHeight="1">
      <c r="A505" s="92"/>
    </row>
    <row r="506" spans="1:1" ht="16.5" customHeight="1">
      <c r="A506" s="92"/>
    </row>
    <row r="507" spans="1:1" ht="16.5" customHeight="1">
      <c r="A507" s="92"/>
    </row>
    <row r="508" spans="1:1" ht="16.5" customHeight="1">
      <c r="A508" s="92"/>
    </row>
    <row r="509" spans="1:1" ht="16.5" customHeight="1">
      <c r="A509" s="92"/>
    </row>
    <row r="510" spans="1:1" ht="16.5" customHeight="1">
      <c r="A510" s="92"/>
    </row>
    <row r="511" spans="1:1" ht="16.5" customHeight="1">
      <c r="A511" s="92"/>
    </row>
    <row r="512" spans="1:1" ht="16.5" customHeight="1">
      <c r="A512" s="92"/>
    </row>
    <row r="513" spans="1:1" ht="16.5" customHeight="1">
      <c r="A513" s="92"/>
    </row>
    <row r="514" spans="1:1" ht="16.5" customHeight="1">
      <c r="A514" s="92"/>
    </row>
    <row r="515" spans="1:1" ht="16.5" customHeight="1">
      <c r="A515" s="92"/>
    </row>
    <row r="516" spans="1:1" ht="16.5" customHeight="1">
      <c r="A516" s="92"/>
    </row>
    <row r="517" spans="1:1" ht="16.5" customHeight="1">
      <c r="A517" s="92"/>
    </row>
    <row r="518" spans="1:1" ht="16.5" customHeight="1">
      <c r="A518" s="92"/>
    </row>
    <row r="519" spans="1:1" ht="16.5" customHeight="1">
      <c r="A519" s="92"/>
    </row>
    <row r="520" spans="1:1" ht="16.5" customHeight="1">
      <c r="A520" s="92"/>
    </row>
    <row r="521" spans="1:1" ht="16.5" customHeight="1">
      <c r="A521" s="92"/>
    </row>
    <row r="522" spans="1:1" ht="16.5" customHeight="1">
      <c r="A522" s="92"/>
    </row>
    <row r="523" spans="1:1" ht="16.5" customHeight="1">
      <c r="A523" s="92"/>
    </row>
    <row r="524" spans="1:1" ht="16.5" customHeight="1">
      <c r="A524" s="92"/>
    </row>
    <row r="525" spans="1:1" ht="16.5" customHeight="1">
      <c r="A525" s="92"/>
    </row>
    <row r="526" spans="1:1" ht="16.5" customHeight="1">
      <c r="A526" s="92"/>
    </row>
    <row r="527" spans="1:1" ht="16.5" customHeight="1">
      <c r="A527" s="92"/>
    </row>
    <row r="528" spans="1:1" ht="16.5" customHeight="1">
      <c r="A528" s="92"/>
    </row>
    <row r="529" spans="1:1" ht="16.5" customHeight="1">
      <c r="A529" s="92"/>
    </row>
    <row r="530" spans="1:1" ht="16.5" customHeight="1">
      <c r="A530" s="92"/>
    </row>
    <row r="531" spans="1:1" ht="16.5" customHeight="1">
      <c r="A531" s="92"/>
    </row>
    <row r="532" spans="1:1" ht="16.5" customHeight="1">
      <c r="A532" s="92"/>
    </row>
    <row r="533" spans="1:1" ht="16.5" customHeight="1">
      <c r="A533" s="92"/>
    </row>
    <row r="534" spans="1:1" ht="16.5" customHeight="1">
      <c r="A534" s="92"/>
    </row>
    <row r="535" spans="1:1" ht="16.5" customHeight="1">
      <c r="A535" s="92"/>
    </row>
    <row r="536" spans="1:1" ht="16.5" customHeight="1">
      <c r="A536" s="92"/>
    </row>
    <row r="537" spans="1:1" ht="16.5" customHeight="1">
      <c r="A537" s="92"/>
    </row>
    <row r="538" spans="1:1" ht="16.5" customHeight="1">
      <c r="A538" s="92"/>
    </row>
    <row r="539" spans="1:1" ht="16.5" customHeight="1">
      <c r="A539" s="92"/>
    </row>
    <row r="540" spans="1:1" ht="16.5" customHeight="1">
      <c r="A540" s="92"/>
    </row>
    <row r="541" spans="1:1" ht="16.5" customHeight="1">
      <c r="A541" s="92"/>
    </row>
    <row r="542" spans="1:1" ht="16.5" customHeight="1">
      <c r="A542" s="92"/>
    </row>
    <row r="543" spans="1:1" ht="16.5" customHeight="1">
      <c r="A543" s="92"/>
    </row>
    <row r="544" spans="1:1" ht="16.5" customHeight="1">
      <c r="A544" s="92"/>
    </row>
    <row r="545" spans="1:1" ht="16.5" customHeight="1">
      <c r="A545" s="92"/>
    </row>
    <row r="546" spans="1:1" ht="16.5" customHeight="1">
      <c r="A546" s="92"/>
    </row>
    <row r="547" spans="1:1" ht="16.5" customHeight="1">
      <c r="A547" s="92"/>
    </row>
    <row r="548" spans="1:1" ht="16.5" customHeight="1">
      <c r="A548" s="92"/>
    </row>
    <row r="549" spans="1:1" ht="16.5" customHeight="1">
      <c r="A549" s="92"/>
    </row>
    <row r="550" spans="1:1" ht="16.5" customHeight="1">
      <c r="A550" s="92"/>
    </row>
    <row r="551" spans="1:1" ht="16.5" customHeight="1">
      <c r="A551" s="92"/>
    </row>
    <row r="552" spans="1:1" ht="16.5" customHeight="1">
      <c r="A552" s="92"/>
    </row>
    <row r="553" spans="1:1" ht="16.5" customHeight="1">
      <c r="A553" s="92"/>
    </row>
    <row r="554" spans="1:1" ht="16.5" customHeight="1">
      <c r="A554" s="92"/>
    </row>
    <row r="555" spans="1:1" ht="16.5" customHeight="1">
      <c r="A555" s="92"/>
    </row>
    <row r="556" spans="1:1" ht="16.5" customHeight="1">
      <c r="A556" s="92"/>
    </row>
    <row r="557" spans="1:1" ht="16.5" customHeight="1">
      <c r="A557" s="92"/>
    </row>
    <row r="558" spans="1:1" ht="16.5" customHeight="1">
      <c r="A558" s="92"/>
    </row>
    <row r="559" spans="1:1" ht="16.5" customHeight="1">
      <c r="A559" s="92"/>
    </row>
    <row r="560" spans="1:1" ht="16.5" customHeight="1">
      <c r="A560" s="92"/>
    </row>
    <row r="561" spans="1:1" ht="16.5" customHeight="1">
      <c r="A561" s="92"/>
    </row>
    <row r="562" spans="1:1" ht="16.5" customHeight="1">
      <c r="A562" s="92"/>
    </row>
    <row r="563" spans="1:1" ht="16.5" customHeight="1">
      <c r="A563" s="92"/>
    </row>
    <row r="564" spans="1:1" ht="16.5" customHeight="1">
      <c r="A564" s="92"/>
    </row>
    <row r="565" spans="1:1" ht="16.5" customHeight="1">
      <c r="A565" s="92"/>
    </row>
    <row r="566" spans="1:1" ht="16.5" customHeight="1">
      <c r="A566" s="92"/>
    </row>
    <row r="567" spans="1:1" ht="16.5" customHeight="1">
      <c r="A567" s="92"/>
    </row>
    <row r="568" spans="1:1" ht="16.5" customHeight="1">
      <c r="A568" s="92"/>
    </row>
    <row r="569" spans="1:1" ht="16.5" customHeight="1">
      <c r="A569" s="92"/>
    </row>
    <row r="570" spans="1:1" ht="16.5" customHeight="1">
      <c r="A570" s="92"/>
    </row>
    <row r="571" spans="1:1" ht="16.5" customHeight="1">
      <c r="A571" s="92"/>
    </row>
    <row r="572" spans="1:1" ht="16.5" customHeight="1">
      <c r="A572" s="92"/>
    </row>
    <row r="573" spans="1:1" ht="16.5" customHeight="1">
      <c r="A573" s="92"/>
    </row>
    <row r="574" spans="1:1" ht="16.5" customHeight="1">
      <c r="A574" s="92"/>
    </row>
    <row r="575" spans="1:1" ht="16.5" customHeight="1">
      <c r="A575" s="92"/>
    </row>
    <row r="576" spans="1:1" ht="16.5" customHeight="1">
      <c r="A576" s="92"/>
    </row>
    <row r="577" spans="1:1" ht="16.5" customHeight="1">
      <c r="A577" s="92"/>
    </row>
    <row r="578" spans="1:1" ht="16.5" customHeight="1">
      <c r="A578" s="92"/>
    </row>
    <row r="579" spans="1:1" ht="16.5" customHeight="1">
      <c r="A579" s="92"/>
    </row>
    <row r="580" spans="1:1" ht="16.5" customHeight="1">
      <c r="A580" s="92"/>
    </row>
    <row r="581" spans="1:1" ht="16.5" customHeight="1">
      <c r="A581" s="92"/>
    </row>
    <row r="582" spans="1:1" ht="16.5" customHeight="1">
      <c r="A582" s="92"/>
    </row>
    <row r="583" spans="1:1" ht="16.5" customHeight="1">
      <c r="A583" s="92"/>
    </row>
    <row r="584" spans="1:1" ht="16.5" customHeight="1">
      <c r="A584" s="92"/>
    </row>
    <row r="585" spans="1:1" ht="16.5" customHeight="1">
      <c r="A585" s="92"/>
    </row>
    <row r="586" spans="1:1" ht="16.5" customHeight="1">
      <c r="A586" s="92"/>
    </row>
    <row r="587" spans="1:1" ht="16.5" customHeight="1">
      <c r="A587" s="92"/>
    </row>
    <row r="588" spans="1:1" ht="16.5" customHeight="1">
      <c r="A588" s="92"/>
    </row>
    <row r="589" spans="1:1" ht="16.5" customHeight="1">
      <c r="A589" s="92"/>
    </row>
    <row r="590" spans="1:1" ht="16.5" customHeight="1">
      <c r="A590" s="92"/>
    </row>
    <row r="591" spans="1:1" ht="16.5" customHeight="1">
      <c r="A591" s="92"/>
    </row>
    <row r="592" spans="1:1" ht="16.5" customHeight="1">
      <c r="A592" s="92"/>
    </row>
    <row r="593" spans="1:1" ht="16.5" customHeight="1">
      <c r="A593" s="92"/>
    </row>
    <row r="594" spans="1:1" ht="16.5" customHeight="1">
      <c r="A594" s="92"/>
    </row>
    <row r="595" spans="1:1" ht="16.5" customHeight="1">
      <c r="A595" s="92"/>
    </row>
    <row r="596" spans="1:1" ht="16.5" customHeight="1">
      <c r="A596" s="92"/>
    </row>
    <row r="597" spans="1:1" ht="16.5" customHeight="1">
      <c r="A597" s="92"/>
    </row>
    <row r="598" spans="1:1" ht="16.5" customHeight="1">
      <c r="A598" s="92"/>
    </row>
    <row r="599" spans="1:1" ht="16.5" customHeight="1">
      <c r="A599" s="92"/>
    </row>
    <row r="600" spans="1:1" ht="16.5" customHeight="1">
      <c r="A600" s="92"/>
    </row>
    <row r="601" spans="1:1" ht="16.5" customHeight="1">
      <c r="A601" s="92"/>
    </row>
    <row r="602" spans="1:1" ht="16.5" customHeight="1">
      <c r="A602" s="92"/>
    </row>
    <row r="603" spans="1:1" ht="16.5" customHeight="1">
      <c r="A603" s="92"/>
    </row>
    <row r="604" spans="1:1" ht="16.5" customHeight="1">
      <c r="A604" s="92"/>
    </row>
    <row r="605" spans="1:1" ht="16.5" customHeight="1">
      <c r="A605" s="92"/>
    </row>
    <row r="606" spans="1:1" ht="16.5" customHeight="1">
      <c r="A606" s="92"/>
    </row>
    <row r="607" spans="1:1" ht="16.5" customHeight="1">
      <c r="A607" s="92"/>
    </row>
    <row r="608" spans="1:1" ht="16.5" customHeight="1">
      <c r="A608" s="92"/>
    </row>
    <row r="609" spans="1:1" ht="16.5" customHeight="1">
      <c r="A609" s="92"/>
    </row>
    <row r="610" spans="1:1" ht="16.5" customHeight="1">
      <c r="A610" s="92"/>
    </row>
    <row r="611" spans="1:1" ht="16.5" customHeight="1">
      <c r="A611" s="92"/>
    </row>
    <row r="612" spans="1:1" ht="16.5" customHeight="1">
      <c r="A612" s="92"/>
    </row>
    <row r="613" spans="1:1" ht="16.5" customHeight="1">
      <c r="A613" s="92"/>
    </row>
    <row r="614" spans="1:1" ht="16.5" customHeight="1">
      <c r="A614" s="92"/>
    </row>
    <row r="615" spans="1:1" ht="16.5" customHeight="1">
      <c r="A615" s="92"/>
    </row>
    <row r="616" spans="1:1" ht="16.5" customHeight="1">
      <c r="A616" s="92"/>
    </row>
    <row r="617" spans="1:1" ht="16.5" customHeight="1">
      <c r="A617" s="92"/>
    </row>
    <row r="618" spans="1:1" ht="16.5" customHeight="1">
      <c r="A618" s="92"/>
    </row>
    <row r="619" spans="1:1" ht="16.5" customHeight="1">
      <c r="A619" s="92"/>
    </row>
    <row r="620" spans="1:1" ht="16.5" customHeight="1">
      <c r="A620" s="92"/>
    </row>
    <row r="621" spans="1:1" ht="16.5" customHeight="1">
      <c r="A621" s="92"/>
    </row>
    <row r="622" spans="1:1" ht="16.5" customHeight="1">
      <c r="A622" s="92"/>
    </row>
    <row r="623" spans="1:1" ht="16.5" customHeight="1">
      <c r="A623" s="92"/>
    </row>
    <row r="624" spans="1:1" ht="16.5" customHeight="1">
      <c r="A624" s="92"/>
    </row>
    <row r="625" spans="1:1" ht="16.5" customHeight="1">
      <c r="A625" s="92"/>
    </row>
    <row r="626" spans="1:1" ht="16.5" customHeight="1">
      <c r="A626" s="92"/>
    </row>
    <row r="627" spans="1:1" ht="16.5" customHeight="1">
      <c r="A627" s="92"/>
    </row>
    <row r="628" spans="1:1" ht="16.5" customHeight="1">
      <c r="A628" s="92"/>
    </row>
    <row r="629" spans="1:1" ht="16.5" customHeight="1">
      <c r="A629" s="92"/>
    </row>
    <row r="630" spans="1:1" ht="16.5" customHeight="1">
      <c r="A630" s="92"/>
    </row>
    <row r="631" spans="1:1" ht="16.5" customHeight="1">
      <c r="A631" s="92"/>
    </row>
    <row r="632" spans="1:1" ht="16.5" customHeight="1">
      <c r="A632" s="92"/>
    </row>
    <row r="633" spans="1:1" ht="16.5" customHeight="1">
      <c r="A633" s="92"/>
    </row>
    <row r="634" spans="1:1" ht="16.5" customHeight="1">
      <c r="A634" s="92"/>
    </row>
    <row r="635" spans="1:1" ht="16.5" customHeight="1">
      <c r="A635" s="92"/>
    </row>
    <row r="636" spans="1:1" ht="16.5" customHeight="1">
      <c r="A636" s="92"/>
    </row>
    <row r="637" spans="1:1" ht="16.5" customHeight="1">
      <c r="A637" s="92"/>
    </row>
    <row r="638" spans="1:1" ht="16.5" customHeight="1">
      <c r="A638" s="92"/>
    </row>
    <row r="639" spans="1:1" ht="16.5" customHeight="1">
      <c r="A639" s="92"/>
    </row>
    <row r="640" spans="1:1" ht="16.5" customHeight="1">
      <c r="A640" s="92"/>
    </row>
    <row r="641" spans="1:1" ht="16.5" customHeight="1">
      <c r="A641" s="92"/>
    </row>
    <row r="642" spans="1:1" ht="16.5" customHeight="1">
      <c r="A642" s="92"/>
    </row>
    <row r="643" spans="1:1" ht="16.5" customHeight="1">
      <c r="A643" s="92"/>
    </row>
    <row r="644" spans="1:1" ht="16.5" customHeight="1">
      <c r="A644" s="92"/>
    </row>
    <row r="645" spans="1:1" ht="16.5" customHeight="1">
      <c r="A645" s="92"/>
    </row>
    <row r="646" spans="1:1" ht="16.5" customHeight="1">
      <c r="A646" s="92"/>
    </row>
    <row r="647" spans="1:1" ht="16.5" customHeight="1">
      <c r="A647" s="92"/>
    </row>
    <row r="648" spans="1:1" ht="16.5" customHeight="1">
      <c r="A648" s="92"/>
    </row>
    <row r="649" spans="1:1" ht="16.5" customHeight="1">
      <c r="A649" s="92"/>
    </row>
    <row r="650" spans="1:1" ht="16.5" customHeight="1">
      <c r="A650" s="92"/>
    </row>
    <row r="651" spans="1:1" ht="16.5" customHeight="1">
      <c r="A651" s="92"/>
    </row>
    <row r="652" spans="1:1" ht="16.5" customHeight="1">
      <c r="A652" s="92"/>
    </row>
    <row r="653" spans="1:1" ht="16.5" customHeight="1">
      <c r="A653" s="92"/>
    </row>
    <row r="654" spans="1:1" ht="16.5" customHeight="1">
      <c r="A654" s="92"/>
    </row>
    <row r="655" spans="1:1" ht="16.5" customHeight="1">
      <c r="A655" s="92"/>
    </row>
    <row r="656" spans="1:1" ht="16.5" customHeight="1">
      <c r="A656" s="92"/>
    </row>
    <row r="657" spans="1:1" ht="16.5" customHeight="1">
      <c r="A657" s="92"/>
    </row>
    <row r="658" spans="1:1" ht="16.5" customHeight="1">
      <c r="A658" s="92"/>
    </row>
    <row r="659" spans="1:1" ht="16.5" customHeight="1">
      <c r="A659" s="92"/>
    </row>
    <row r="660" spans="1:1" ht="16.5" customHeight="1">
      <c r="A660" s="92"/>
    </row>
    <row r="661" spans="1:1" ht="16.5" customHeight="1">
      <c r="A661" s="92"/>
    </row>
    <row r="662" spans="1:1" ht="16.5" customHeight="1">
      <c r="A662" s="92"/>
    </row>
    <row r="663" spans="1:1" ht="16.5" customHeight="1">
      <c r="A663" s="92"/>
    </row>
    <row r="664" spans="1:1" ht="16.5" customHeight="1">
      <c r="A664" s="92"/>
    </row>
    <row r="665" spans="1:1" ht="16.5" customHeight="1">
      <c r="A665" s="92"/>
    </row>
    <row r="666" spans="1:1" ht="16.5" customHeight="1">
      <c r="A666" s="92"/>
    </row>
    <row r="667" spans="1:1" ht="16.5" customHeight="1">
      <c r="A667" s="92"/>
    </row>
    <row r="668" spans="1:1" ht="16.5" customHeight="1">
      <c r="A668" s="92"/>
    </row>
    <row r="669" spans="1:1" ht="16.5" customHeight="1">
      <c r="A669" s="92"/>
    </row>
    <row r="670" spans="1:1" ht="16.5" customHeight="1">
      <c r="A670" s="92"/>
    </row>
    <row r="671" spans="1:1" ht="16.5" customHeight="1">
      <c r="A671" s="92"/>
    </row>
    <row r="672" spans="1:1" ht="16.5" customHeight="1">
      <c r="A672" s="92"/>
    </row>
    <row r="673" spans="1:1" ht="16.5" customHeight="1">
      <c r="A673" s="92"/>
    </row>
    <row r="674" spans="1:1" ht="16.5" customHeight="1">
      <c r="A674" s="92"/>
    </row>
    <row r="675" spans="1:1" ht="16.5" customHeight="1">
      <c r="A675" s="92"/>
    </row>
    <row r="676" spans="1:1" ht="16.5" customHeight="1">
      <c r="A676" s="92"/>
    </row>
    <row r="677" spans="1:1" ht="16.5" customHeight="1">
      <c r="A677" s="92"/>
    </row>
    <row r="678" spans="1:1" ht="16.5" customHeight="1">
      <c r="A678" s="92"/>
    </row>
    <row r="679" spans="1:1" ht="16.5" customHeight="1">
      <c r="A679" s="92"/>
    </row>
    <row r="680" spans="1:1" ht="16.5" customHeight="1">
      <c r="A680" s="92"/>
    </row>
    <row r="681" spans="1:1" ht="16.5" customHeight="1">
      <c r="A681" s="92"/>
    </row>
    <row r="682" spans="1:1" ht="16.5" customHeight="1">
      <c r="A682" s="92"/>
    </row>
    <row r="683" spans="1:1" ht="16.5" customHeight="1">
      <c r="A683" s="92"/>
    </row>
    <row r="684" spans="1:1" ht="16.5" customHeight="1">
      <c r="A684" s="92"/>
    </row>
    <row r="685" spans="1:1" ht="16.5" customHeight="1">
      <c r="A685" s="92"/>
    </row>
    <row r="686" spans="1:1" ht="16.5" customHeight="1">
      <c r="A686" s="92"/>
    </row>
    <row r="687" spans="1:1" ht="16.5" customHeight="1">
      <c r="A687" s="92"/>
    </row>
    <row r="688" spans="1:1" ht="16.5" customHeight="1">
      <c r="A688" s="92"/>
    </row>
    <row r="689" spans="1:1" ht="16.5" customHeight="1">
      <c r="A689" s="92"/>
    </row>
    <row r="690" spans="1:1" ht="16.5" customHeight="1">
      <c r="A690" s="92"/>
    </row>
    <row r="691" spans="1:1" ht="16.5" customHeight="1">
      <c r="A691" s="92"/>
    </row>
    <row r="692" spans="1:1" ht="16.5" customHeight="1">
      <c r="A692" s="92"/>
    </row>
    <row r="693" spans="1:1" ht="16.5" customHeight="1">
      <c r="A693" s="92"/>
    </row>
    <row r="694" spans="1:1" ht="16.5" customHeight="1">
      <c r="A694" s="92"/>
    </row>
    <row r="695" spans="1:1" ht="16.5" customHeight="1">
      <c r="A695" s="92"/>
    </row>
    <row r="696" spans="1:1" ht="16.5" customHeight="1">
      <c r="A696" s="92"/>
    </row>
    <row r="697" spans="1:1" ht="16.5" customHeight="1">
      <c r="A697" s="92"/>
    </row>
    <row r="698" spans="1:1" ht="16.5" customHeight="1">
      <c r="A698" s="92"/>
    </row>
    <row r="699" spans="1:1" ht="16.5" customHeight="1">
      <c r="A699" s="92"/>
    </row>
    <row r="700" spans="1:1" ht="16.5" customHeight="1">
      <c r="A700" s="92"/>
    </row>
    <row r="701" spans="1:1" ht="16.5" customHeight="1">
      <c r="A701" s="92"/>
    </row>
    <row r="702" spans="1:1" ht="16.5" customHeight="1">
      <c r="A702" s="92"/>
    </row>
    <row r="703" spans="1:1" ht="16.5" customHeight="1">
      <c r="A703" s="92"/>
    </row>
    <row r="704" spans="1:1" ht="16.5" customHeight="1">
      <c r="A704" s="92"/>
    </row>
    <row r="705" spans="1:1" ht="16.5" customHeight="1">
      <c r="A705" s="92"/>
    </row>
    <row r="706" spans="1:1" ht="16.5" customHeight="1">
      <c r="A706" s="92"/>
    </row>
    <row r="707" spans="1:1" ht="16.5" customHeight="1">
      <c r="A707" s="92"/>
    </row>
    <row r="708" spans="1:1" ht="16.5" customHeight="1">
      <c r="A708" s="92"/>
    </row>
    <row r="709" spans="1:1" ht="16.5" customHeight="1">
      <c r="A709" s="92"/>
    </row>
    <row r="710" spans="1:1" ht="16.5" customHeight="1">
      <c r="A710" s="92"/>
    </row>
    <row r="711" spans="1:1" ht="16.5" customHeight="1">
      <c r="A711" s="92"/>
    </row>
    <row r="712" spans="1:1" ht="16.5" customHeight="1">
      <c r="A712" s="92"/>
    </row>
    <row r="713" spans="1:1" ht="16.5" customHeight="1">
      <c r="A713" s="92"/>
    </row>
    <row r="714" spans="1:1" ht="16.5" customHeight="1">
      <c r="A714" s="92"/>
    </row>
    <row r="715" spans="1:1" ht="16.5" customHeight="1">
      <c r="A715" s="92"/>
    </row>
    <row r="716" spans="1:1" ht="16.5" customHeight="1">
      <c r="A716" s="92"/>
    </row>
    <row r="717" spans="1:1" ht="16.5" customHeight="1">
      <c r="A717" s="92"/>
    </row>
    <row r="718" spans="1:1" ht="16.5" customHeight="1">
      <c r="A718" s="92"/>
    </row>
    <row r="719" spans="1:1" ht="16.5" customHeight="1">
      <c r="A719" s="92"/>
    </row>
    <row r="720" spans="1:1" ht="16.5" customHeight="1">
      <c r="A720" s="92"/>
    </row>
    <row r="721" spans="1:1" ht="16.5" customHeight="1">
      <c r="A721" s="92"/>
    </row>
    <row r="722" spans="1:1" ht="16.5" customHeight="1">
      <c r="A722" s="92"/>
    </row>
    <row r="723" spans="1:1" ht="16.5" customHeight="1">
      <c r="A723" s="92"/>
    </row>
    <row r="724" spans="1:1" ht="16.5" customHeight="1">
      <c r="A724" s="92"/>
    </row>
    <row r="725" spans="1:1" ht="16.5" customHeight="1">
      <c r="A725" s="92"/>
    </row>
    <row r="726" spans="1:1" ht="16.5" customHeight="1">
      <c r="A726" s="92"/>
    </row>
    <row r="727" spans="1:1" ht="16.5" customHeight="1">
      <c r="A727" s="92"/>
    </row>
    <row r="728" spans="1:1" ht="16.5" customHeight="1">
      <c r="A728" s="92"/>
    </row>
    <row r="729" spans="1:1" ht="16.5" customHeight="1">
      <c r="A729" s="92"/>
    </row>
    <row r="730" spans="1:1" ht="16.5" customHeight="1">
      <c r="A730" s="92"/>
    </row>
    <row r="731" spans="1:1" ht="16.5" customHeight="1">
      <c r="A731" s="92"/>
    </row>
    <row r="732" spans="1:1" ht="16.5" customHeight="1">
      <c r="A732" s="92"/>
    </row>
    <row r="733" spans="1:1" ht="16.5" customHeight="1">
      <c r="A733" s="92"/>
    </row>
    <row r="734" spans="1:1" ht="16.5" customHeight="1">
      <c r="A734" s="92"/>
    </row>
    <row r="735" spans="1:1" ht="16.5" customHeight="1">
      <c r="A735" s="92"/>
    </row>
    <row r="736" spans="1:1" ht="16.5" customHeight="1">
      <c r="A736" s="92"/>
    </row>
    <row r="737" spans="1:1" ht="16.5" customHeight="1">
      <c r="A737" s="92"/>
    </row>
    <row r="738" spans="1:1" ht="16.5" customHeight="1">
      <c r="A738" s="92"/>
    </row>
    <row r="739" spans="1:1" ht="16.5" customHeight="1">
      <c r="A739" s="92"/>
    </row>
    <row r="740" spans="1:1" ht="16.5" customHeight="1">
      <c r="A740" s="92"/>
    </row>
    <row r="741" spans="1:1" ht="16.5" customHeight="1">
      <c r="A741" s="92"/>
    </row>
    <row r="742" spans="1:1" ht="16.5" customHeight="1">
      <c r="A742" s="92"/>
    </row>
    <row r="743" spans="1:1" ht="16.5" customHeight="1">
      <c r="A743" s="92"/>
    </row>
    <row r="744" spans="1:1" ht="16.5" customHeight="1">
      <c r="A744" s="92"/>
    </row>
    <row r="745" spans="1:1" ht="16.5" customHeight="1">
      <c r="A745" s="92"/>
    </row>
    <row r="746" spans="1:1" ht="16.5" customHeight="1">
      <c r="A746" s="92"/>
    </row>
    <row r="747" spans="1:1" ht="16.5" customHeight="1">
      <c r="A747" s="92"/>
    </row>
    <row r="748" spans="1:1" ht="16.5" customHeight="1">
      <c r="A748" s="92"/>
    </row>
    <row r="749" spans="1:1" ht="16.5" customHeight="1">
      <c r="A749" s="92"/>
    </row>
    <row r="750" spans="1:1" ht="16.5" customHeight="1">
      <c r="A750" s="92"/>
    </row>
    <row r="751" spans="1:1" ht="16.5" customHeight="1">
      <c r="A751" s="92"/>
    </row>
    <row r="752" spans="1:1" ht="16.5" customHeight="1">
      <c r="A752" s="92"/>
    </row>
    <row r="753" spans="1:1" ht="16.5" customHeight="1">
      <c r="A753" s="92"/>
    </row>
    <row r="754" spans="1:1" ht="16.5" customHeight="1">
      <c r="A754" s="92"/>
    </row>
    <row r="755" spans="1:1" ht="16.5" customHeight="1">
      <c r="A755" s="92"/>
    </row>
    <row r="756" spans="1:1" ht="16.5" customHeight="1">
      <c r="A756" s="92"/>
    </row>
    <row r="757" spans="1:1" ht="16.5" customHeight="1">
      <c r="A757" s="92"/>
    </row>
    <row r="758" spans="1:1" ht="16.5" customHeight="1">
      <c r="A758" s="92"/>
    </row>
    <row r="759" spans="1:1" ht="16.5" customHeight="1">
      <c r="A759" s="92"/>
    </row>
    <row r="760" spans="1:1" ht="16.5" customHeight="1">
      <c r="A760" s="92"/>
    </row>
    <row r="761" spans="1:1" ht="16.5" customHeight="1">
      <c r="A761" s="92"/>
    </row>
    <row r="762" spans="1:1" ht="16.5" customHeight="1">
      <c r="A762" s="92"/>
    </row>
    <row r="763" spans="1:1" ht="16.5" customHeight="1">
      <c r="A763" s="92"/>
    </row>
    <row r="764" spans="1:1" ht="16.5" customHeight="1">
      <c r="A764" s="92"/>
    </row>
    <row r="765" spans="1:1" ht="16.5" customHeight="1">
      <c r="A765" s="92"/>
    </row>
    <row r="766" spans="1:1" ht="16.5" customHeight="1">
      <c r="A766" s="92"/>
    </row>
    <row r="767" spans="1:1" ht="16.5" customHeight="1">
      <c r="A767" s="92"/>
    </row>
    <row r="768" spans="1:1" ht="16.5" customHeight="1">
      <c r="A768" s="92"/>
    </row>
    <row r="769" spans="1:1" ht="16.5" customHeight="1">
      <c r="A769" s="92"/>
    </row>
    <row r="770" spans="1:1" ht="16.5" customHeight="1">
      <c r="A770" s="92"/>
    </row>
    <row r="771" spans="1:1" ht="16.5" customHeight="1">
      <c r="A771" s="92"/>
    </row>
    <row r="772" spans="1:1" ht="16.5" customHeight="1">
      <c r="A772" s="92"/>
    </row>
    <row r="773" spans="1:1" ht="16.5" customHeight="1">
      <c r="A773" s="92"/>
    </row>
    <row r="774" spans="1:1" ht="16.5" customHeight="1">
      <c r="A774" s="92"/>
    </row>
    <row r="775" spans="1:1" ht="16.5" customHeight="1">
      <c r="A775" s="92"/>
    </row>
    <row r="776" spans="1:1" ht="16.5" customHeight="1">
      <c r="A776" s="92"/>
    </row>
    <row r="777" spans="1:1" ht="16.5" customHeight="1">
      <c r="A777" s="92"/>
    </row>
    <row r="778" spans="1:1" ht="16.5" customHeight="1">
      <c r="A778" s="92"/>
    </row>
    <row r="779" spans="1:1" ht="16.5" customHeight="1">
      <c r="A779" s="92"/>
    </row>
    <row r="780" spans="1:1" ht="16.5" customHeight="1">
      <c r="A780" s="92"/>
    </row>
    <row r="781" spans="1:1" ht="16.5" customHeight="1">
      <c r="A781" s="92"/>
    </row>
    <row r="782" spans="1:1" ht="16.5" customHeight="1">
      <c r="A782" s="92"/>
    </row>
    <row r="783" spans="1:1" ht="16.5" customHeight="1">
      <c r="A783" s="92"/>
    </row>
    <row r="784" spans="1:1" ht="16.5" customHeight="1">
      <c r="A784" s="92"/>
    </row>
    <row r="785" spans="1:1" ht="16.5" customHeight="1">
      <c r="A785" s="92"/>
    </row>
    <row r="786" spans="1:1" ht="16.5" customHeight="1">
      <c r="A786" s="92"/>
    </row>
    <row r="787" spans="1:1" ht="16.5" customHeight="1">
      <c r="A787" s="92"/>
    </row>
    <row r="788" spans="1:1" ht="16.5" customHeight="1">
      <c r="A788" s="92"/>
    </row>
    <row r="789" spans="1:1" ht="16.5" customHeight="1">
      <c r="A789" s="92"/>
    </row>
    <row r="790" spans="1:1" ht="16.5" customHeight="1">
      <c r="A790" s="92"/>
    </row>
    <row r="791" spans="1:1" ht="16.5" customHeight="1">
      <c r="A791" s="92"/>
    </row>
    <row r="792" spans="1:1" ht="16.5" customHeight="1">
      <c r="A792" s="92"/>
    </row>
    <row r="793" spans="1:1" ht="16.5" customHeight="1">
      <c r="A793" s="92"/>
    </row>
    <row r="794" spans="1:1" ht="16.5" customHeight="1">
      <c r="A794" s="92"/>
    </row>
    <row r="795" spans="1:1" ht="16.5" customHeight="1">
      <c r="A795" s="92"/>
    </row>
    <row r="796" spans="1:1" ht="16.5" customHeight="1">
      <c r="A796" s="92"/>
    </row>
    <row r="797" spans="1:1" ht="16.5" customHeight="1">
      <c r="A797" s="92"/>
    </row>
    <row r="798" spans="1:1" ht="16.5" customHeight="1">
      <c r="A798" s="92"/>
    </row>
    <row r="799" spans="1:1" ht="16.5" customHeight="1">
      <c r="A799" s="92"/>
    </row>
    <row r="800" spans="1:1" ht="16.5" customHeight="1">
      <c r="A800" s="92"/>
    </row>
    <row r="801" spans="1:1" ht="16.5" customHeight="1">
      <c r="A801" s="92"/>
    </row>
    <row r="802" spans="1:1" ht="16.5" customHeight="1">
      <c r="A802" s="92"/>
    </row>
    <row r="803" spans="1:1" ht="16.5" customHeight="1">
      <c r="A803" s="92"/>
    </row>
    <row r="804" spans="1:1" ht="16.5" customHeight="1">
      <c r="A804" s="92"/>
    </row>
    <row r="805" spans="1:1" ht="16.5" customHeight="1">
      <c r="A805" s="92"/>
    </row>
    <row r="806" spans="1:1" ht="16.5" customHeight="1">
      <c r="A806" s="92"/>
    </row>
    <row r="807" spans="1:1" ht="16.5" customHeight="1">
      <c r="A807" s="92"/>
    </row>
    <row r="808" spans="1:1" ht="16.5" customHeight="1">
      <c r="A808" s="92"/>
    </row>
    <row r="809" spans="1:1" ht="16.5" customHeight="1">
      <c r="A809" s="92"/>
    </row>
    <row r="810" spans="1:1" ht="16.5" customHeight="1">
      <c r="A810" s="92"/>
    </row>
    <row r="811" spans="1:1" ht="16.5" customHeight="1">
      <c r="A811" s="92"/>
    </row>
    <row r="812" spans="1:1" ht="16.5" customHeight="1">
      <c r="A812" s="92"/>
    </row>
    <row r="813" spans="1:1" ht="16.5" customHeight="1">
      <c r="A813" s="92"/>
    </row>
    <row r="814" spans="1:1" ht="16.5" customHeight="1">
      <c r="A814" s="92"/>
    </row>
    <row r="815" spans="1:1" ht="16.5" customHeight="1">
      <c r="A815" s="92"/>
    </row>
    <row r="816" spans="1:1" ht="16.5" customHeight="1">
      <c r="A816" s="92"/>
    </row>
    <row r="817" spans="1:1" ht="16.5" customHeight="1">
      <c r="A817" s="92"/>
    </row>
    <row r="818" spans="1:1" ht="16.5" customHeight="1">
      <c r="A818" s="92"/>
    </row>
    <row r="819" spans="1:1" ht="16.5" customHeight="1">
      <c r="A819" s="92"/>
    </row>
    <row r="820" spans="1:1" ht="16.5" customHeight="1">
      <c r="A820" s="92"/>
    </row>
    <row r="821" spans="1:1" ht="16.5" customHeight="1">
      <c r="A821" s="92"/>
    </row>
    <row r="822" spans="1:1" ht="16.5" customHeight="1">
      <c r="A822" s="92"/>
    </row>
    <row r="823" spans="1:1" ht="16.5" customHeight="1">
      <c r="A823" s="92"/>
    </row>
    <row r="824" spans="1:1" ht="16.5" customHeight="1">
      <c r="A824" s="92"/>
    </row>
    <row r="825" spans="1:1" ht="16.5" customHeight="1">
      <c r="A825" s="92"/>
    </row>
    <row r="826" spans="1:1" ht="16.5" customHeight="1">
      <c r="A826" s="92"/>
    </row>
    <row r="827" spans="1:1" ht="16.5" customHeight="1">
      <c r="A827" s="92"/>
    </row>
    <row r="828" spans="1:1" ht="16.5" customHeight="1">
      <c r="A828" s="92"/>
    </row>
    <row r="829" spans="1:1" ht="16.5" customHeight="1">
      <c r="A829" s="92"/>
    </row>
    <row r="830" spans="1:1" ht="16.5" customHeight="1">
      <c r="A830" s="92"/>
    </row>
    <row r="831" spans="1:1" ht="16.5" customHeight="1">
      <c r="A831" s="92"/>
    </row>
    <row r="832" spans="1:1" ht="16.5" customHeight="1">
      <c r="A832" s="92"/>
    </row>
    <row r="833" spans="1:1" ht="16.5" customHeight="1">
      <c r="A833" s="92"/>
    </row>
    <row r="834" spans="1:1" ht="16.5" customHeight="1">
      <c r="A834" s="92"/>
    </row>
    <row r="835" spans="1:1" ht="16.5" customHeight="1">
      <c r="A835" s="92"/>
    </row>
    <row r="836" spans="1:1" ht="16.5" customHeight="1">
      <c r="A836" s="92"/>
    </row>
    <row r="837" spans="1:1" ht="16.5" customHeight="1">
      <c r="A837" s="92"/>
    </row>
    <row r="838" spans="1:1" ht="16.5" customHeight="1">
      <c r="A838" s="92"/>
    </row>
    <row r="839" spans="1:1" ht="16.5" customHeight="1">
      <c r="A839" s="92"/>
    </row>
    <row r="840" spans="1:1" ht="16.5" customHeight="1">
      <c r="A840" s="92"/>
    </row>
    <row r="841" spans="1:1" ht="16.5" customHeight="1">
      <c r="A841" s="92"/>
    </row>
    <row r="842" spans="1:1" ht="16.5" customHeight="1">
      <c r="A842" s="92"/>
    </row>
    <row r="843" spans="1:1" ht="16.5" customHeight="1">
      <c r="A843" s="92"/>
    </row>
    <row r="844" spans="1:1" ht="16.5" customHeight="1">
      <c r="A844" s="92"/>
    </row>
    <row r="845" spans="1:1" ht="16.5" customHeight="1">
      <c r="A845" s="92"/>
    </row>
    <row r="846" spans="1:1" ht="16.5" customHeight="1">
      <c r="A846" s="92"/>
    </row>
    <row r="847" spans="1:1" ht="16.5" customHeight="1">
      <c r="A847" s="92"/>
    </row>
    <row r="848" spans="1:1" ht="16.5" customHeight="1">
      <c r="A848" s="92"/>
    </row>
    <row r="849" spans="1:1" ht="16.5" customHeight="1">
      <c r="A849" s="92"/>
    </row>
    <row r="850" spans="1:1" ht="16.5" customHeight="1">
      <c r="A850" s="92"/>
    </row>
    <row r="851" spans="1:1" ht="16.5" customHeight="1">
      <c r="A851" s="92"/>
    </row>
    <row r="852" spans="1:1" ht="16.5" customHeight="1">
      <c r="A852" s="92"/>
    </row>
    <row r="853" spans="1:1" ht="16.5" customHeight="1">
      <c r="A853" s="92"/>
    </row>
    <row r="854" spans="1:1" ht="16.5" customHeight="1">
      <c r="A854" s="92"/>
    </row>
    <row r="855" spans="1:1" ht="16.5" customHeight="1">
      <c r="A855" s="92"/>
    </row>
    <row r="856" spans="1:1" ht="16.5" customHeight="1">
      <c r="A856" s="92"/>
    </row>
    <row r="857" spans="1:1" ht="16.5" customHeight="1">
      <c r="A857" s="92"/>
    </row>
    <row r="858" spans="1:1" ht="16.5" customHeight="1">
      <c r="A858" s="92"/>
    </row>
    <row r="859" spans="1:1" ht="16.5" customHeight="1">
      <c r="A859" s="92"/>
    </row>
    <row r="860" spans="1:1" ht="16.5" customHeight="1">
      <c r="A860" s="92"/>
    </row>
    <row r="861" spans="1:1" ht="16.5" customHeight="1">
      <c r="A861" s="92"/>
    </row>
    <row r="862" spans="1:1" ht="16.5" customHeight="1">
      <c r="A862" s="92"/>
    </row>
    <row r="863" spans="1:1" ht="16.5" customHeight="1">
      <c r="A863" s="92"/>
    </row>
    <row r="864" spans="1:1" ht="16.5" customHeight="1">
      <c r="A864" s="92"/>
    </row>
    <row r="865" spans="1:1" ht="16.5" customHeight="1">
      <c r="A865" s="92"/>
    </row>
    <row r="866" spans="1:1" ht="16.5" customHeight="1">
      <c r="A866" s="92"/>
    </row>
    <row r="867" spans="1:1" ht="16.5" customHeight="1">
      <c r="A867" s="92"/>
    </row>
    <row r="868" spans="1:1" ht="16.5" customHeight="1">
      <c r="A868" s="92"/>
    </row>
    <row r="869" spans="1:1" ht="16.5" customHeight="1">
      <c r="A869" s="92"/>
    </row>
    <row r="870" spans="1:1" ht="16.5" customHeight="1">
      <c r="A870" s="92"/>
    </row>
    <row r="871" spans="1:1" ht="16.5" customHeight="1">
      <c r="A871" s="92"/>
    </row>
    <row r="872" spans="1:1" ht="16.5" customHeight="1">
      <c r="A872" s="92"/>
    </row>
    <row r="873" spans="1:1" ht="16.5" customHeight="1">
      <c r="A873" s="92"/>
    </row>
    <row r="874" spans="1:1" ht="16.5" customHeight="1">
      <c r="A874" s="92"/>
    </row>
    <row r="875" spans="1:1" ht="16.5" customHeight="1">
      <c r="A875" s="92"/>
    </row>
    <row r="876" spans="1:1" ht="16.5" customHeight="1">
      <c r="A876" s="92"/>
    </row>
    <row r="877" spans="1:1" ht="16.5" customHeight="1">
      <c r="A877" s="92"/>
    </row>
    <row r="878" spans="1:1" ht="16.5" customHeight="1">
      <c r="A878" s="92"/>
    </row>
    <row r="879" spans="1:1" ht="16.5" customHeight="1">
      <c r="A879" s="92"/>
    </row>
    <row r="880" spans="1:1" ht="16.5" customHeight="1">
      <c r="A880" s="92"/>
    </row>
    <row r="881" spans="1:1" ht="16.5" customHeight="1">
      <c r="A881" s="92"/>
    </row>
    <row r="882" spans="1:1" ht="16.5" customHeight="1">
      <c r="A882" s="92"/>
    </row>
    <row r="883" spans="1:1" ht="16.5" customHeight="1">
      <c r="A883" s="92"/>
    </row>
    <row r="884" spans="1:1" ht="16.5" customHeight="1">
      <c r="A884" s="92"/>
    </row>
    <row r="885" spans="1:1" ht="16.5" customHeight="1">
      <c r="A885" s="92"/>
    </row>
    <row r="886" spans="1:1" ht="16.5" customHeight="1">
      <c r="A886" s="92"/>
    </row>
    <row r="887" spans="1:1" ht="16.5" customHeight="1">
      <c r="A887" s="92"/>
    </row>
    <row r="888" spans="1:1" ht="16.5" customHeight="1">
      <c r="A888" s="92"/>
    </row>
    <row r="889" spans="1:1" ht="16.5" customHeight="1">
      <c r="A889" s="92"/>
    </row>
    <row r="890" spans="1:1" ht="16.5" customHeight="1">
      <c r="A890" s="92"/>
    </row>
    <row r="891" spans="1:1" ht="16.5" customHeight="1">
      <c r="A891" s="92"/>
    </row>
    <row r="892" spans="1:1" ht="16.5" customHeight="1">
      <c r="A892" s="92"/>
    </row>
    <row r="893" spans="1:1" ht="16.5" customHeight="1">
      <c r="A893" s="92"/>
    </row>
    <row r="894" spans="1:1" ht="16.5" customHeight="1">
      <c r="A894" s="92"/>
    </row>
    <row r="895" spans="1:1" ht="16.5" customHeight="1">
      <c r="A895" s="92"/>
    </row>
    <row r="896" spans="1:1" ht="16.5" customHeight="1">
      <c r="A896" s="92"/>
    </row>
    <row r="897" spans="1:1" ht="16.5" customHeight="1">
      <c r="A897" s="92"/>
    </row>
    <row r="898" spans="1:1" ht="16.5" customHeight="1">
      <c r="A898" s="92"/>
    </row>
    <row r="899" spans="1:1" ht="16.5" customHeight="1">
      <c r="A899" s="92"/>
    </row>
    <row r="900" spans="1:1" ht="16.5" customHeight="1">
      <c r="A900" s="92"/>
    </row>
    <row r="901" spans="1:1" ht="16.5" customHeight="1">
      <c r="A901" s="92"/>
    </row>
    <row r="902" spans="1:1" ht="16.5" customHeight="1">
      <c r="A902" s="92"/>
    </row>
    <row r="903" spans="1:1" ht="16.5" customHeight="1">
      <c r="A903" s="92"/>
    </row>
    <row r="904" spans="1:1" ht="16.5" customHeight="1">
      <c r="A904" s="92"/>
    </row>
    <row r="905" spans="1:1" ht="16.5" customHeight="1">
      <c r="A905" s="92"/>
    </row>
    <row r="906" spans="1:1" ht="16.5" customHeight="1">
      <c r="A906" s="92"/>
    </row>
    <row r="907" spans="1:1" ht="16.5" customHeight="1">
      <c r="A907" s="92"/>
    </row>
    <row r="908" spans="1:1" ht="16.5" customHeight="1">
      <c r="A908" s="92"/>
    </row>
    <row r="909" spans="1:1" ht="16.5" customHeight="1">
      <c r="A909" s="92"/>
    </row>
    <row r="910" spans="1:1" ht="16.5" customHeight="1">
      <c r="A910" s="92"/>
    </row>
    <row r="911" spans="1:1" ht="16.5" customHeight="1">
      <c r="A911" s="92"/>
    </row>
    <row r="912" spans="1:1" ht="16.5" customHeight="1">
      <c r="A912" s="92"/>
    </row>
    <row r="913" spans="1:1" ht="16.5" customHeight="1">
      <c r="A913" s="92"/>
    </row>
    <row r="914" spans="1:1" ht="16.5" customHeight="1">
      <c r="A914" s="92"/>
    </row>
    <row r="915" spans="1:1" ht="16.5" customHeight="1">
      <c r="A915" s="92"/>
    </row>
    <row r="916" spans="1:1" ht="16.5" customHeight="1">
      <c r="A916" s="92"/>
    </row>
    <row r="917" spans="1:1" ht="16.5" customHeight="1">
      <c r="A917" s="92"/>
    </row>
    <row r="918" spans="1:1" ht="16.5" customHeight="1">
      <c r="A918" s="92"/>
    </row>
    <row r="919" spans="1:1" ht="16.5" customHeight="1">
      <c r="A919" s="92"/>
    </row>
    <row r="920" spans="1:1" ht="16.5" customHeight="1">
      <c r="A920" s="92"/>
    </row>
    <row r="921" spans="1:1" ht="16.5" customHeight="1">
      <c r="A921" s="92"/>
    </row>
    <row r="922" spans="1:1" ht="16.5" customHeight="1">
      <c r="A922" s="92"/>
    </row>
    <row r="923" spans="1:1" ht="16.5" customHeight="1">
      <c r="A923" s="92"/>
    </row>
    <row r="924" spans="1:1" ht="16.5" customHeight="1">
      <c r="A924" s="92"/>
    </row>
    <row r="925" spans="1:1" ht="16.5" customHeight="1">
      <c r="A925" s="92"/>
    </row>
    <row r="926" spans="1:1" ht="16.5" customHeight="1">
      <c r="A926" s="92"/>
    </row>
    <row r="927" spans="1:1" ht="16.5" customHeight="1">
      <c r="A927" s="92"/>
    </row>
    <row r="928" spans="1:1" ht="16.5" customHeight="1">
      <c r="A928" s="92"/>
    </row>
    <row r="929" spans="1:1" ht="16.5" customHeight="1">
      <c r="A929" s="92"/>
    </row>
    <row r="930" spans="1:1" ht="16.5" customHeight="1">
      <c r="A930" s="92"/>
    </row>
    <row r="931" spans="1:1" ht="16.5" customHeight="1">
      <c r="A931" s="92"/>
    </row>
    <row r="932" spans="1:1" ht="16.5" customHeight="1">
      <c r="A932" s="92"/>
    </row>
    <row r="933" spans="1:1" ht="16.5" customHeight="1">
      <c r="A933" s="92"/>
    </row>
    <row r="934" spans="1:1" ht="16.5" customHeight="1">
      <c r="A934" s="92"/>
    </row>
    <row r="935" spans="1:1" ht="16.5" customHeight="1">
      <c r="A935" s="92"/>
    </row>
    <row r="936" spans="1:1" ht="16.5" customHeight="1">
      <c r="A936" s="92"/>
    </row>
    <row r="937" spans="1:1" ht="16.5" customHeight="1">
      <c r="A937" s="92"/>
    </row>
    <row r="938" spans="1:1" ht="16.5" customHeight="1">
      <c r="A938" s="92"/>
    </row>
    <row r="939" spans="1:1" ht="16.5" customHeight="1">
      <c r="A939" s="92"/>
    </row>
    <row r="940" spans="1:1" ht="16.5" customHeight="1">
      <c r="A940" s="92"/>
    </row>
    <row r="941" spans="1:1" ht="16.5" customHeight="1">
      <c r="A941" s="92"/>
    </row>
    <row r="942" spans="1:1" ht="16.5" customHeight="1">
      <c r="A942" s="92"/>
    </row>
    <row r="943" spans="1:1" ht="16.5" customHeight="1">
      <c r="A943" s="92"/>
    </row>
    <row r="944" spans="1:1" ht="16.5" customHeight="1">
      <c r="A944" s="92"/>
    </row>
    <row r="945" spans="1:1" ht="16.5" customHeight="1">
      <c r="A945" s="92"/>
    </row>
    <row r="946" spans="1:1" ht="16.5" customHeight="1">
      <c r="A946" s="92"/>
    </row>
    <row r="947" spans="1:1" ht="16.5" customHeight="1">
      <c r="A947" s="92"/>
    </row>
    <row r="948" spans="1:1" ht="16.5" customHeight="1">
      <c r="A948" s="92"/>
    </row>
    <row r="949" spans="1:1" ht="16.5" customHeight="1">
      <c r="A949" s="92"/>
    </row>
    <row r="950" spans="1:1" ht="16.5" customHeight="1">
      <c r="A950" s="92"/>
    </row>
    <row r="951" spans="1:1" ht="16.5" customHeight="1">
      <c r="A951" s="92"/>
    </row>
    <row r="952" spans="1:1" ht="16.5" customHeight="1">
      <c r="A952" s="92"/>
    </row>
    <row r="953" spans="1:1" ht="16.5" customHeight="1">
      <c r="A953" s="92"/>
    </row>
    <row r="954" spans="1:1" ht="16.5" customHeight="1">
      <c r="A954" s="92"/>
    </row>
    <row r="955" spans="1:1" ht="16.5" customHeight="1">
      <c r="A955" s="92"/>
    </row>
    <row r="956" spans="1:1" ht="16.5" customHeight="1">
      <c r="A956" s="92"/>
    </row>
    <row r="957" spans="1:1" ht="16.5" customHeight="1">
      <c r="A957" s="92"/>
    </row>
    <row r="958" spans="1:1" ht="16.5" customHeight="1">
      <c r="A958" s="92"/>
    </row>
    <row r="959" spans="1:1" ht="16.5" customHeight="1">
      <c r="A959" s="92"/>
    </row>
    <row r="960" spans="1:1" ht="16.5" customHeight="1">
      <c r="A960" s="92"/>
    </row>
    <row r="961" spans="1:1" ht="16.5" customHeight="1">
      <c r="A961" s="92"/>
    </row>
    <row r="962" spans="1:1" ht="16.5" customHeight="1">
      <c r="A962" s="92"/>
    </row>
    <row r="963" spans="1:1" ht="16.5" customHeight="1">
      <c r="A963" s="92"/>
    </row>
    <row r="964" spans="1:1" ht="16.5" customHeight="1">
      <c r="A964" s="92"/>
    </row>
    <row r="965" spans="1:1" ht="16.5" customHeight="1">
      <c r="A965" s="92"/>
    </row>
    <row r="966" spans="1:1" ht="16.5" customHeight="1">
      <c r="A966" s="92"/>
    </row>
    <row r="967" spans="1:1" ht="16.5" customHeight="1">
      <c r="A967" s="92"/>
    </row>
    <row r="968" spans="1:1" ht="16.5" customHeight="1">
      <c r="A968" s="92"/>
    </row>
    <row r="969" spans="1:1" ht="16.5" customHeight="1">
      <c r="A969" s="92"/>
    </row>
    <row r="970" spans="1:1" ht="16.5" customHeight="1">
      <c r="A970" s="92"/>
    </row>
    <row r="971" spans="1:1" ht="16.5" customHeight="1">
      <c r="A971" s="92"/>
    </row>
    <row r="972" spans="1:1" ht="16.5" customHeight="1">
      <c r="A972" s="92"/>
    </row>
    <row r="973" spans="1:1" ht="16.5" customHeight="1">
      <c r="A973" s="92"/>
    </row>
    <row r="974" spans="1:1" ht="16.5" customHeight="1">
      <c r="A974" s="92"/>
    </row>
    <row r="975" spans="1:1" ht="16.5" customHeight="1">
      <c r="A975" s="92"/>
    </row>
    <row r="976" spans="1:1" ht="16.5" customHeight="1">
      <c r="A976" s="92"/>
    </row>
    <row r="977" spans="1:1" ht="16.5" customHeight="1">
      <c r="A977" s="92"/>
    </row>
    <row r="978" spans="1:1" ht="16.5" customHeight="1">
      <c r="A978" s="92"/>
    </row>
    <row r="979" spans="1:1" ht="16.5" customHeight="1">
      <c r="A979" s="92"/>
    </row>
    <row r="980" spans="1:1" ht="16.5" customHeight="1">
      <c r="A980" s="92"/>
    </row>
    <row r="981" spans="1:1" ht="16.5" customHeight="1">
      <c r="A981" s="92"/>
    </row>
    <row r="982" spans="1:1" ht="16.5" customHeight="1">
      <c r="A982" s="92"/>
    </row>
    <row r="983" spans="1:1" ht="16.5" customHeight="1">
      <c r="A983" s="92"/>
    </row>
    <row r="984" spans="1:1" ht="16.5" customHeight="1">
      <c r="A984" s="92"/>
    </row>
    <row r="985" spans="1:1" ht="16.5" customHeight="1">
      <c r="A985" s="92"/>
    </row>
    <row r="986" spans="1:1" ht="16.5" customHeight="1">
      <c r="A986" s="92"/>
    </row>
    <row r="987" spans="1:1" ht="16.5" customHeight="1">
      <c r="A987" s="92"/>
    </row>
    <row r="988" spans="1:1" ht="16.5" customHeight="1">
      <c r="A988" s="92"/>
    </row>
    <row r="989" spans="1:1" ht="16.5" customHeight="1">
      <c r="A989" s="92"/>
    </row>
    <row r="990" spans="1:1" ht="16.5" customHeight="1">
      <c r="A990" s="92"/>
    </row>
    <row r="991" spans="1:1" ht="16.5" customHeight="1">
      <c r="A991" s="92"/>
    </row>
    <row r="992" spans="1:1" ht="16.5" customHeight="1">
      <c r="A992" s="92"/>
    </row>
    <row r="993" spans="1:1" ht="16.5" customHeight="1">
      <c r="A993" s="92"/>
    </row>
    <row r="994" spans="1:1" ht="16.5" customHeight="1">
      <c r="A994" s="92"/>
    </row>
    <row r="995" spans="1:1" ht="16.5" customHeight="1">
      <c r="A995" s="92"/>
    </row>
    <row r="996" spans="1:1" ht="16.5" customHeight="1">
      <c r="A996" s="92"/>
    </row>
    <row r="997" spans="1:1" ht="16.5" customHeight="1">
      <c r="A997" s="92"/>
    </row>
    <row r="998" spans="1:1" ht="16.5" customHeight="1">
      <c r="A998" s="92"/>
    </row>
    <row r="999" spans="1:1" ht="16.5" customHeight="1">
      <c r="A999" s="92"/>
    </row>
    <row r="1000" spans="1:1" ht="16.5" customHeight="1">
      <c r="A1000" s="92"/>
    </row>
  </sheetData>
  <mergeCells count="2">
    <mergeCell ref="M1:N1"/>
    <mergeCell ref="O1:P1"/>
  </mergeCells>
  <phoneticPr fontId="40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Sheet1</vt:lpstr>
      <vt:lpstr>주문 슬롯 참고</vt:lpstr>
      <vt:lpstr>근거리 무기 참조표</vt:lpstr>
      <vt:lpstr>근력 기반 장거리 무기표</vt:lpstr>
      <vt:lpstr>방패 참조표</vt:lpstr>
      <vt:lpstr>갑옷 참조표</vt:lpstr>
      <vt:lpstr>MM용 시트</vt:lpstr>
      <vt:lpstr>참조 테이블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Registered User</cp:lastModifiedBy>
  <cp:lastPrinted>2017-04-01T05:18:10Z</cp:lastPrinted>
  <dcterms:created xsi:type="dcterms:W3CDTF">2017-03-31T15:00:47Z</dcterms:created>
  <dcterms:modified xsi:type="dcterms:W3CDTF">2017-05-05T15:35:52Z</dcterms:modified>
</cp:coreProperties>
</file>