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PycharmProjects\Pont_order_bot\Bot\"/>
    </mc:Choice>
  </mc:AlternateContent>
  <xr:revisionPtr revIDLastSave="0" documentId="8_{48979DC9-11E6-4103-9389-072ED96FD5A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Бланк_заказ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1" i="1" l="1"/>
  <c r="G111" i="1"/>
  <c r="F111" i="1"/>
  <c r="E111" i="1"/>
  <c r="I111" i="1" s="1"/>
  <c r="C111" i="1"/>
  <c r="H110" i="1"/>
  <c r="G110" i="1"/>
  <c r="F110" i="1"/>
  <c r="E110" i="1"/>
  <c r="I110" i="1" s="1"/>
  <c r="C110" i="1"/>
  <c r="H109" i="1"/>
  <c r="G109" i="1"/>
  <c r="F109" i="1"/>
  <c r="E109" i="1"/>
  <c r="I109" i="1" s="1"/>
  <c r="C109" i="1"/>
  <c r="H108" i="1"/>
  <c r="G108" i="1"/>
  <c r="F108" i="1"/>
  <c r="E108" i="1"/>
  <c r="I108" i="1" s="1"/>
  <c r="C108" i="1"/>
  <c r="H107" i="1"/>
  <c r="G107" i="1"/>
  <c r="F107" i="1"/>
  <c r="E107" i="1"/>
  <c r="I107" i="1" s="1"/>
  <c r="C107" i="1"/>
  <c r="H106" i="1"/>
  <c r="G106" i="1"/>
  <c r="F106" i="1"/>
  <c r="E106" i="1"/>
  <c r="I106" i="1" s="1"/>
  <c r="C106" i="1"/>
  <c r="H105" i="1"/>
  <c r="G105" i="1"/>
  <c r="F105" i="1"/>
  <c r="E105" i="1"/>
  <c r="I105" i="1" s="1"/>
  <c r="C105" i="1"/>
  <c r="H104" i="1"/>
  <c r="G104" i="1"/>
  <c r="F104" i="1"/>
  <c r="E104" i="1"/>
  <c r="I104" i="1" s="1"/>
  <c r="C104" i="1"/>
  <c r="H103" i="1"/>
  <c r="G103" i="1"/>
  <c r="F103" i="1"/>
  <c r="E103" i="1"/>
  <c r="I103" i="1" s="1"/>
  <c r="C103" i="1"/>
  <c r="H102" i="1"/>
  <c r="G102" i="1"/>
  <c r="F102" i="1"/>
  <c r="E102" i="1"/>
  <c r="I102" i="1" s="1"/>
  <c r="C102" i="1"/>
  <c r="H101" i="1"/>
  <c r="G101" i="1"/>
  <c r="F101" i="1"/>
  <c r="E101" i="1"/>
  <c r="I101" i="1" s="1"/>
  <c r="C101" i="1"/>
  <c r="H100" i="1"/>
  <c r="G100" i="1"/>
  <c r="F100" i="1"/>
  <c r="E100" i="1"/>
  <c r="I100" i="1" s="1"/>
  <c r="C100" i="1"/>
  <c r="H99" i="1"/>
  <c r="G99" i="1"/>
  <c r="F99" i="1"/>
  <c r="E99" i="1"/>
  <c r="I99" i="1" s="1"/>
  <c r="C99" i="1"/>
  <c r="H98" i="1"/>
  <c r="G98" i="1"/>
  <c r="F98" i="1"/>
  <c r="E98" i="1"/>
  <c r="I98" i="1" s="1"/>
  <c r="C98" i="1"/>
  <c r="H97" i="1"/>
  <c r="G97" i="1"/>
  <c r="F97" i="1"/>
  <c r="E97" i="1"/>
  <c r="I97" i="1" s="1"/>
  <c r="C97" i="1"/>
  <c r="H96" i="1"/>
  <c r="G96" i="1"/>
  <c r="F96" i="1"/>
  <c r="E96" i="1"/>
  <c r="I96" i="1" s="1"/>
  <c r="C96" i="1"/>
  <c r="H95" i="1"/>
  <c r="G95" i="1"/>
  <c r="F95" i="1"/>
  <c r="E95" i="1"/>
  <c r="I95" i="1" s="1"/>
  <c r="C95" i="1"/>
  <c r="H94" i="1"/>
  <c r="G94" i="1"/>
  <c r="F94" i="1"/>
  <c r="E94" i="1"/>
  <c r="I94" i="1" s="1"/>
  <c r="C94" i="1"/>
  <c r="H93" i="1"/>
  <c r="G93" i="1"/>
  <c r="F93" i="1"/>
  <c r="E93" i="1"/>
  <c r="I93" i="1" s="1"/>
  <c r="C93" i="1"/>
  <c r="H92" i="1"/>
  <c r="G92" i="1"/>
  <c r="F92" i="1"/>
  <c r="E92" i="1"/>
  <c r="I92" i="1" s="1"/>
  <c r="C92" i="1"/>
  <c r="H91" i="1"/>
  <c r="G91" i="1"/>
  <c r="F91" i="1"/>
  <c r="E91" i="1"/>
  <c r="I91" i="1" s="1"/>
  <c r="C91" i="1"/>
  <c r="H90" i="1"/>
  <c r="G90" i="1"/>
  <c r="F90" i="1"/>
  <c r="E90" i="1"/>
  <c r="I90" i="1" s="1"/>
  <c r="C90" i="1"/>
  <c r="H89" i="1"/>
  <c r="G89" i="1"/>
  <c r="F89" i="1"/>
  <c r="E89" i="1"/>
  <c r="I89" i="1" s="1"/>
  <c r="C89" i="1"/>
  <c r="H88" i="1"/>
  <c r="G88" i="1"/>
  <c r="F88" i="1"/>
  <c r="E88" i="1"/>
  <c r="I88" i="1" s="1"/>
  <c r="C88" i="1"/>
  <c r="H87" i="1"/>
  <c r="G87" i="1"/>
  <c r="F87" i="1"/>
  <c r="E87" i="1"/>
  <c r="I87" i="1" s="1"/>
  <c r="C87" i="1"/>
  <c r="H86" i="1"/>
  <c r="G86" i="1"/>
  <c r="F86" i="1"/>
  <c r="E86" i="1"/>
  <c r="I86" i="1" s="1"/>
  <c r="C86" i="1"/>
  <c r="H85" i="1"/>
  <c r="G85" i="1"/>
  <c r="F85" i="1"/>
  <c r="E85" i="1"/>
  <c r="I85" i="1" s="1"/>
  <c r="C85" i="1"/>
  <c r="H84" i="1"/>
  <c r="G84" i="1"/>
  <c r="F84" i="1"/>
  <c r="E84" i="1"/>
  <c r="I84" i="1" s="1"/>
  <c r="C84" i="1"/>
  <c r="H82" i="1"/>
  <c r="G82" i="1"/>
  <c r="F82" i="1"/>
  <c r="E82" i="1"/>
  <c r="I82" i="1" s="1"/>
  <c r="C82" i="1"/>
  <c r="H81" i="1"/>
  <c r="G81" i="1"/>
  <c r="F81" i="1"/>
  <c r="E81" i="1"/>
  <c r="I81" i="1" s="1"/>
  <c r="C81" i="1"/>
  <c r="H80" i="1"/>
  <c r="G80" i="1"/>
  <c r="F80" i="1"/>
  <c r="E80" i="1"/>
  <c r="I80" i="1" s="1"/>
  <c r="C80" i="1"/>
  <c r="H79" i="1"/>
  <c r="G79" i="1"/>
  <c r="F79" i="1"/>
  <c r="E79" i="1"/>
  <c r="I79" i="1" s="1"/>
  <c r="C79" i="1"/>
  <c r="H78" i="1"/>
  <c r="G78" i="1"/>
  <c r="F78" i="1"/>
  <c r="E78" i="1"/>
  <c r="I78" i="1" s="1"/>
  <c r="C78" i="1"/>
  <c r="H77" i="1"/>
  <c r="G77" i="1"/>
  <c r="F77" i="1"/>
  <c r="E77" i="1"/>
  <c r="I77" i="1" s="1"/>
  <c r="C77" i="1"/>
  <c r="H76" i="1"/>
  <c r="G76" i="1"/>
  <c r="F76" i="1"/>
  <c r="E76" i="1"/>
  <c r="I76" i="1" s="1"/>
  <c r="C76" i="1"/>
  <c r="H75" i="1"/>
  <c r="G75" i="1"/>
  <c r="F75" i="1"/>
  <c r="E75" i="1"/>
  <c r="I75" i="1" s="1"/>
  <c r="C75" i="1"/>
  <c r="H74" i="1"/>
  <c r="G74" i="1"/>
  <c r="F74" i="1"/>
  <c r="E74" i="1"/>
  <c r="I74" i="1" s="1"/>
  <c r="C74" i="1"/>
  <c r="H73" i="1"/>
  <c r="G73" i="1"/>
  <c r="F73" i="1"/>
  <c r="E73" i="1"/>
  <c r="I73" i="1" s="1"/>
  <c r="C73" i="1"/>
  <c r="H72" i="1"/>
  <c r="G72" i="1"/>
  <c r="F72" i="1"/>
  <c r="E72" i="1"/>
  <c r="I72" i="1" s="1"/>
  <c r="C72" i="1"/>
  <c r="H71" i="1"/>
  <c r="G71" i="1"/>
  <c r="F71" i="1"/>
  <c r="E71" i="1"/>
  <c r="I71" i="1" s="1"/>
  <c r="C71" i="1"/>
  <c r="H70" i="1"/>
  <c r="G70" i="1"/>
  <c r="F70" i="1"/>
  <c r="E70" i="1"/>
  <c r="I70" i="1" s="1"/>
  <c r="C70" i="1"/>
  <c r="H69" i="1"/>
  <c r="G69" i="1"/>
  <c r="F69" i="1"/>
  <c r="E69" i="1"/>
  <c r="I69" i="1" s="1"/>
  <c r="C69" i="1"/>
  <c r="H68" i="1"/>
  <c r="G68" i="1"/>
  <c r="F68" i="1"/>
  <c r="E68" i="1"/>
  <c r="I68" i="1" s="1"/>
  <c r="C68" i="1"/>
  <c r="H67" i="1"/>
  <c r="G67" i="1"/>
  <c r="F67" i="1"/>
  <c r="E67" i="1"/>
  <c r="I67" i="1" s="1"/>
  <c r="C67" i="1"/>
  <c r="H66" i="1"/>
  <c r="G66" i="1"/>
  <c r="F66" i="1"/>
  <c r="E66" i="1"/>
  <c r="I66" i="1" s="1"/>
  <c r="C66" i="1"/>
  <c r="H65" i="1"/>
  <c r="G65" i="1"/>
  <c r="F65" i="1"/>
  <c r="E65" i="1"/>
  <c r="I65" i="1" s="1"/>
  <c r="C65" i="1"/>
  <c r="H64" i="1"/>
  <c r="G64" i="1"/>
  <c r="F64" i="1"/>
  <c r="E64" i="1"/>
  <c r="I64" i="1" s="1"/>
  <c r="C64" i="1"/>
  <c r="H63" i="1"/>
  <c r="G63" i="1"/>
  <c r="F63" i="1"/>
  <c r="E63" i="1"/>
  <c r="I63" i="1" s="1"/>
  <c r="C63" i="1"/>
  <c r="H62" i="1"/>
  <c r="G62" i="1"/>
  <c r="F62" i="1"/>
  <c r="E62" i="1"/>
  <c r="I62" i="1" s="1"/>
  <c r="C62" i="1"/>
  <c r="H61" i="1"/>
  <c r="G61" i="1"/>
  <c r="F61" i="1"/>
  <c r="E61" i="1"/>
  <c r="I61" i="1" s="1"/>
  <c r="C61" i="1"/>
  <c r="H60" i="1"/>
  <c r="G60" i="1"/>
  <c r="F60" i="1"/>
  <c r="E60" i="1"/>
  <c r="I60" i="1" s="1"/>
  <c r="C60" i="1"/>
  <c r="H59" i="1"/>
  <c r="G59" i="1"/>
  <c r="F59" i="1"/>
  <c r="E59" i="1"/>
  <c r="I59" i="1" s="1"/>
  <c r="C59" i="1"/>
  <c r="H58" i="1"/>
  <c r="G58" i="1"/>
  <c r="F58" i="1"/>
  <c r="E58" i="1"/>
  <c r="I58" i="1" s="1"/>
  <c r="C58" i="1"/>
  <c r="H57" i="1"/>
  <c r="G57" i="1"/>
  <c r="F57" i="1"/>
  <c r="E57" i="1"/>
  <c r="I57" i="1" s="1"/>
  <c r="C57" i="1"/>
  <c r="H56" i="1"/>
  <c r="G56" i="1"/>
  <c r="F56" i="1"/>
  <c r="E56" i="1"/>
  <c r="I56" i="1" s="1"/>
  <c r="C56" i="1"/>
  <c r="H55" i="1"/>
  <c r="G55" i="1"/>
  <c r="F55" i="1"/>
  <c r="E55" i="1"/>
  <c r="I55" i="1" s="1"/>
  <c r="C55" i="1"/>
  <c r="H54" i="1"/>
  <c r="G54" i="1"/>
  <c r="F54" i="1"/>
  <c r="E54" i="1"/>
  <c r="I54" i="1" s="1"/>
  <c r="C54" i="1"/>
  <c r="H53" i="1"/>
  <c r="G53" i="1"/>
  <c r="F53" i="1"/>
  <c r="E53" i="1"/>
  <c r="I53" i="1" s="1"/>
  <c r="C53" i="1"/>
  <c r="H52" i="1"/>
  <c r="G52" i="1"/>
  <c r="F52" i="1"/>
  <c r="E52" i="1"/>
  <c r="I52" i="1" s="1"/>
  <c r="C52" i="1"/>
  <c r="H51" i="1"/>
  <c r="G51" i="1"/>
  <c r="F51" i="1"/>
  <c r="E51" i="1"/>
  <c r="I51" i="1" s="1"/>
  <c r="C51" i="1"/>
  <c r="H50" i="1"/>
  <c r="G50" i="1"/>
  <c r="F50" i="1"/>
  <c r="E50" i="1"/>
  <c r="I50" i="1" s="1"/>
  <c r="C50" i="1"/>
  <c r="H49" i="1"/>
  <c r="G49" i="1"/>
  <c r="F49" i="1"/>
  <c r="E49" i="1"/>
  <c r="I49" i="1" s="1"/>
  <c r="C49" i="1"/>
  <c r="H48" i="1"/>
  <c r="G48" i="1"/>
  <c r="F48" i="1"/>
  <c r="E48" i="1"/>
  <c r="I48" i="1" s="1"/>
  <c r="C48" i="1"/>
  <c r="H47" i="1"/>
  <c r="G47" i="1"/>
  <c r="F47" i="1"/>
  <c r="E47" i="1"/>
  <c r="I47" i="1" s="1"/>
  <c r="C47" i="1"/>
  <c r="H45" i="1"/>
  <c r="G45" i="1"/>
  <c r="F45" i="1"/>
  <c r="E45" i="1"/>
  <c r="I45" i="1" s="1"/>
  <c r="C45" i="1"/>
  <c r="H44" i="1"/>
  <c r="G44" i="1"/>
  <c r="F44" i="1"/>
  <c r="E44" i="1"/>
  <c r="I44" i="1" s="1"/>
  <c r="C44" i="1"/>
  <c r="H43" i="1"/>
  <c r="G43" i="1"/>
  <c r="F43" i="1"/>
  <c r="E43" i="1"/>
  <c r="I43" i="1" s="1"/>
  <c r="C43" i="1"/>
  <c r="H42" i="1"/>
  <c r="G42" i="1"/>
  <c r="F42" i="1"/>
  <c r="E42" i="1"/>
  <c r="I42" i="1" s="1"/>
  <c r="C42" i="1"/>
  <c r="H41" i="1"/>
  <c r="G41" i="1"/>
  <c r="F41" i="1"/>
  <c r="E41" i="1"/>
  <c r="I41" i="1" s="1"/>
  <c r="C41" i="1"/>
  <c r="H40" i="1"/>
  <c r="G40" i="1"/>
  <c r="F40" i="1"/>
  <c r="E40" i="1"/>
  <c r="I40" i="1" s="1"/>
  <c r="C40" i="1"/>
  <c r="H39" i="1"/>
  <c r="G39" i="1"/>
  <c r="F39" i="1"/>
  <c r="E39" i="1"/>
  <c r="I39" i="1" s="1"/>
  <c r="C39" i="1"/>
  <c r="H38" i="1"/>
  <c r="G38" i="1"/>
  <c r="F38" i="1"/>
  <c r="E38" i="1"/>
  <c r="I38" i="1" s="1"/>
  <c r="C38" i="1"/>
  <c r="H37" i="1"/>
  <c r="G37" i="1"/>
  <c r="F37" i="1"/>
  <c r="E37" i="1"/>
  <c r="I37" i="1" s="1"/>
  <c r="C37" i="1"/>
  <c r="H36" i="1"/>
  <c r="G36" i="1"/>
  <c r="F36" i="1"/>
  <c r="E36" i="1"/>
  <c r="I36" i="1" s="1"/>
  <c r="C36" i="1"/>
  <c r="H35" i="1"/>
  <c r="G35" i="1"/>
  <c r="F35" i="1"/>
  <c r="E35" i="1"/>
  <c r="I35" i="1" s="1"/>
  <c r="C35" i="1"/>
  <c r="H34" i="1"/>
  <c r="G34" i="1"/>
  <c r="F34" i="1"/>
  <c r="E34" i="1"/>
  <c r="I34" i="1" s="1"/>
  <c r="C34" i="1"/>
  <c r="H33" i="1"/>
  <c r="G33" i="1"/>
  <c r="F33" i="1"/>
  <c r="E33" i="1"/>
  <c r="I33" i="1" s="1"/>
  <c r="C33" i="1"/>
  <c r="H32" i="1"/>
  <c r="G32" i="1"/>
  <c r="F32" i="1"/>
  <c r="E32" i="1"/>
  <c r="I32" i="1" s="1"/>
  <c r="C32" i="1"/>
  <c r="H31" i="1"/>
  <c r="G31" i="1"/>
  <c r="F31" i="1"/>
  <c r="E31" i="1"/>
  <c r="I31" i="1" s="1"/>
  <c r="C31" i="1"/>
  <c r="H30" i="1"/>
  <c r="G30" i="1"/>
  <c r="F30" i="1"/>
  <c r="E30" i="1"/>
  <c r="I30" i="1" s="1"/>
  <c r="C30" i="1"/>
  <c r="H29" i="1"/>
  <c r="G29" i="1"/>
  <c r="F29" i="1"/>
  <c r="E29" i="1"/>
  <c r="I29" i="1" s="1"/>
  <c r="C29" i="1"/>
  <c r="H28" i="1"/>
  <c r="G28" i="1"/>
  <c r="F28" i="1"/>
  <c r="E28" i="1"/>
  <c r="I28" i="1" s="1"/>
  <c r="C28" i="1"/>
  <c r="H27" i="1"/>
  <c r="G27" i="1"/>
  <c r="F27" i="1"/>
  <c r="E27" i="1"/>
  <c r="I27" i="1" s="1"/>
  <c r="C27" i="1"/>
  <c r="H26" i="1"/>
  <c r="G26" i="1"/>
  <c r="F26" i="1"/>
  <c r="E26" i="1"/>
  <c r="I26" i="1" s="1"/>
  <c r="C26" i="1"/>
  <c r="H25" i="1"/>
  <c r="G25" i="1"/>
  <c r="F25" i="1"/>
  <c r="E25" i="1"/>
  <c r="I25" i="1" s="1"/>
  <c r="C25" i="1"/>
  <c r="H24" i="1"/>
  <c r="G24" i="1"/>
  <c r="F24" i="1"/>
  <c r="E24" i="1"/>
  <c r="I24" i="1" s="1"/>
  <c r="C24" i="1"/>
  <c r="H23" i="1"/>
  <c r="G23" i="1"/>
  <c r="F23" i="1"/>
  <c r="E23" i="1"/>
  <c r="I23" i="1" s="1"/>
  <c r="C23" i="1"/>
  <c r="H22" i="1"/>
  <c r="G22" i="1"/>
  <c r="F22" i="1"/>
  <c r="E22" i="1"/>
  <c r="I22" i="1" s="1"/>
  <c r="C22" i="1"/>
  <c r="H21" i="1"/>
  <c r="G21" i="1"/>
  <c r="F21" i="1"/>
  <c r="E21" i="1"/>
  <c r="I21" i="1" s="1"/>
  <c r="C21" i="1"/>
  <c r="H20" i="1"/>
  <c r="G20" i="1"/>
  <c r="F20" i="1"/>
  <c r="E20" i="1"/>
  <c r="I20" i="1" s="1"/>
  <c r="C20" i="1"/>
  <c r="H19" i="1"/>
  <c r="G19" i="1"/>
  <c r="F19" i="1"/>
  <c r="E19" i="1"/>
  <c r="I19" i="1" s="1"/>
  <c r="C19" i="1"/>
  <c r="H18" i="1"/>
  <c r="G18" i="1"/>
  <c r="F18" i="1"/>
  <c r="E18" i="1"/>
  <c r="I18" i="1" s="1"/>
  <c r="C18" i="1"/>
  <c r="H17" i="1"/>
  <c r="G17" i="1"/>
  <c r="F17" i="1"/>
  <c r="E17" i="1"/>
  <c r="I17" i="1" s="1"/>
  <c r="C17" i="1"/>
  <c r="H16" i="1"/>
  <c r="G16" i="1"/>
  <c r="F16" i="1"/>
  <c r="E16" i="1"/>
  <c r="I16" i="1" s="1"/>
  <c r="C16" i="1"/>
  <c r="H15" i="1"/>
  <c r="G15" i="1"/>
  <c r="F15" i="1"/>
  <c r="E15" i="1"/>
  <c r="I15" i="1" s="1"/>
  <c r="C15" i="1"/>
  <c r="H14" i="1"/>
  <c r="G14" i="1"/>
  <c r="F14" i="1"/>
  <c r="E14" i="1"/>
  <c r="I14" i="1" s="1"/>
  <c r="C14" i="1"/>
  <c r="H13" i="1"/>
  <c r="G13" i="1"/>
  <c r="F13" i="1"/>
  <c r="E13" i="1"/>
  <c r="I13" i="1" s="1"/>
  <c r="C13" i="1"/>
  <c r="H12" i="1"/>
  <c r="G12" i="1"/>
  <c r="F12" i="1"/>
  <c r="E12" i="1"/>
  <c r="I12" i="1" s="1"/>
  <c r="C12" i="1"/>
  <c r="H11" i="1"/>
  <c r="G11" i="1"/>
  <c r="F11" i="1"/>
  <c r="E11" i="1"/>
  <c r="I11" i="1" s="1"/>
  <c r="C11" i="1"/>
  <c r="H10" i="1"/>
  <c r="G10" i="1"/>
  <c r="F10" i="1"/>
  <c r="E10" i="1"/>
  <c r="I10" i="1" s="1"/>
  <c r="C10" i="1"/>
  <c r="H9" i="1"/>
  <c r="G9" i="1"/>
  <c r="F9" i="1"/>
  <c r="E9" i="1"/>
  <c r="I9" i="1" s="1"/>
  <c r="C9" i="1"/>
  <c r="H8" i="1"/>
  <c r="G8" i="1"/>
  <c r="F8" i="1"/>
  <c r="E8" i="1"/>
  <c r="I8" i="1" s="1"/>
  <c r="C8" i="1"/>
  <c r="H7" i="1"/>
  <c r="G7" i="1"/>
  <c r="F7" i="1"/>
  <c r="E7" i="1"/>
  <c r="I7" i="1" s="1"/>
  <c r="C7" i="1"/>
  <c r="H6" i="1"/>
  <c r="G6" i="1"/>
  <c r="F6" i="1"/>
  <c r="E6" i="1"/>
  <c r="I6" i="1" s="1"/>
  <c r="C6" i="1"/>
  <c r="H5" i="1"/>
  <c r="G5" i="1"/>
  <c r="F5" i="1"/>
  <c r="E5" i="1"/>
  <c r="I5" i="1" s="1"/>
  <c r="C5" i="1"/>
  <c r="D113" i="1" l="1"/>
  <c r="D114" i="1"/>
  <c r="I114" i="1" s="1"/>
  <c r="D115" i="1" s="1"/>
</calcChain>
</file>

<file path=xl/sharedStrings.xml><?xml version="1.0" encoding="utf-8"?>
<sst xmlns="http://schemas.openxmlformats.org/spreadsheetml/2006/main" count="140" uniqueCount="36">
  <si>
    <t>New</t>
  </si>
  <si>
    <t>Для заказа целого торта укажите 12 в графе количество</t>
  </si>
  <si>
    <t>Наименование</t>
  </si>
  <si>
    <t>Кол-во</t>
  </si>
  <si>
    <t>Цена, ₽</t>
  </si>
  <si>
    <t>Вес, г.</t>
  </si>
  <si>
    <t>Сроки</t>
  </si>
  <si>
    <t>t* хранения</t>
  </si>
  <si>
    <t>Итого</t>
  </si>
  <si>
    <t>Кондитерская</t>
  </si>
  <si>
    <t>-</t>
  </si>
  <si>
    <t>Кексы</t>
  </si>
  <si>
    <t>К</t>
  </si>
  <si>
    <t>Банкейки</t>
  </si>
  <si>
    <t>Bake &amp; Cake</t>
  </si>
  <si>
    <t>Веган</t>
  </si>
  <si>
    <t>Тарты</t>
  </si>
  <si>
    <t>Торты</t>
  </si>
  <si>
    <t>Эклеры</t>
  </si>
  <si>
    <t>Кулинария</t>
  </si>
  <si>
    <t>Завтраки</t>
  </si>
  <si>
    <t>Е</t>
  </si>
  <si>
    <t>Сендвичи</t>
  </si>
  <si>
    <t>Роллы</t>
  </si>
  <si>
    <t>Салаты</t>
  </si>
  <si>
    <t>Супы</t>
  </si>
  <si>
    <t xml:space="preserve"> </t>
  </si>
  <si>
    <t>Горячие блюда</t>
  </si>
  <si>
    <t>Чиабатты</t>
  </si>
  <si>
    <t>Пекарня</t>
  </si>
  <si>
    <t>Булки</t>
  </si>
  <si>
    <t>П</t>
  </si>
  <si>
    <t>Круассаны &amp; Краффины</t>
  </si>
  <si>
    <t>Итого без учёта доставки:</t>
  </si>
  <si>
    <t>Доставка (при заказе до 5500)</t>
  </si>
  <si>
    <t>Итого с учетом доставки: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</si>
</sst>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  <scheme val="minor"/>
    </font>
    <font>
      <b/>
      <sz val="10"/>
      <color rgb="FF000000"/>
      <name val="Comfortaa"/>
    </font>
    <font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000000"/>
      <name val="Arial"/>
      <family val="2"/>
      <charset val="204"/>
    </font>
    <font>
      <b/>
      <i/>
      <sz val="14"/>
      <color rgb="FF000000"/>
      <name val="Calibri"/>
      <family val="2"/>
      <charset val="204"/>
    </font>
    <font>
      <b/>
      <i/>
      <sz val="12"/>
      <color rgb="FF000000"/>
      <name val="Calibri"/>
      <family val="2"/>
      <charset val="204"/>
    </font>
    <font>
      <b/>
      <i/>
      <sz val="8"/>
      <color rgb="FF000000"/>
      <name val="Calibri"/>
      <family val="2"/>
      <charset val="204"/>
    </font>
    <font>
      <b/>
      <i/>
      <sz val="14"/>
      <color rgb="FF000000"/>
      <name val="Comfortaa"/>
    </font>
    <font>
      <b/>
      <i/>
      <sz val="14"/>
      <color rgb="FFD9E7FD"/>
      <name val="Calibri"/>
      <family val="2"/>
      <charset val="204"/>
    </font>
    <font>
      <sz val="12"/>
      <color rgb="FF000000"/>
      <name val="Calibri"/>
      <family val="2"/>
      <charset val="204"/>
    </font>
    <font>
      <sz val="12"/>
      <color rgb="FF808080"/>
      <name val="Calibri"/>
      <family val="2"/>
      <charset val="204"/>
    </font>
    <font>
      <sz val="11"/>
      <color theme="1"/>
      <name val="Calibri"/>
      <family val="2"/>
      <charset val="204"/>
    </font>
    <font>
      <sz val="10"/>
      <color rgb="FF000000"/>
      <name val="Roboto"/>
    </font>
    <font>
      <sz val="10"/>
      <color theme="1"/>
      <name val="Arial"/>
      <family val="2"/>
      <charset val="204"/>
    </font>
    <font>
      <i/>
      <sz val="12"/>
      <color rgb="FF000000"/>
      <name val="Calibri"/>
      <family val="2"/>
      <charset val="204"/>
    </font>
    <font>
      <sz val="10"/>
      <color theme="1"/>
      <name val="Arial"/>
      <family val="2"/>
      <charset val="204"/>
      <scheme val="minor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color rgb="FF666666"/>
      <name val="Calibri"/>
      <family val="2"/>
      <charset val="204"/>
    </font>
    <font>
      <b/>
      <sz val="10"/>
      <color theme="1"/>
      <name val="Comfortaa"/>
    </font>
  </fonts>
  <fills count="12">
    <fill>
      <patternFill patternType="none"/>
    </fill>
    <fill>
      <patternFill patternType="gray125"/>
    </fill>
    <fill>
      <patternFill patternType="solid">
        <fgColor rgb="FFD9E7FD"/>
        <bgColor rgb="FFD9E7FD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FBDAD7"/>
        <bgColor rgb="FFFBDAD7"/>
      </patternFill>
    </fill>
    <fill>
      <patternFill patternType="solid">
        <fgColor rgb="FFFEF2CD"/>
        <bgColor rgb="FFFEF2CD"/>
      </patternFill>
    </fill>
    <fill>
      <patternFill patternType="solid">
        <fgColor rgb="FFD1F1DA"/>
        <bgColor rgb="FFD1F1DA"/>
      </patternFill>
    </fill>
    <fill>
      <patternFill patternType="solid">
        <fgColor rgb="FFFFFFFF"/>
        <bgColor rgb="FFFFFFFF"/>
      </patternFill>
    </fill>
    <fill>
      <patternFill patternType="solid">
        <fgColor rgb="FFFFE1CC"/>
        <bgColor rgb="FFFFE1CC"/>
      </patternFill>
    </fill>
    <fill>
      <patternFill patternType="solid">
        <fgColor rgb="FFDAF1F3"/>
        <bgColor rgb="FFDAF1F3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2" borderId="0" xfId="0" applyFont="1" applyFill="1" applyAlignment="1">
      <alignment horizontal="center" vertical="center" textRotation="90"/>
    </xf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3" borderId="1" xfId="0" applyFont="1" applyFill="1" applyBorder="1"/>
    <xf numFmtId="0" fontId="3" fillId="3" borderId="2" xfId="0" applyFont="1" applyFill="1" applyBorder="1"/>
    <xf numFmtId="0" fontId="5" fillId="2" borderId="0" xfId="0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9" fillId="2" borderId="3" xfId="0" applyFont="1" applyFill="1" applyBorder="1"/>
    <xf numFmtId="0" fontId="5" fillId="2" borderId="4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2" fillId="2" borderId="0" xfId="0" applyFont="1" applyFill="1" applyAlignment="1">
      <alignment horizontal="center"/>
    </xf>
    <xf numFmtId="0" fontId="10" fillId="0" borderId="6" xfId="0" applyFont="1" applyBorder="1"/>
    <xf numFmtId="0" fontId="10" fillId="0" borderId="7" xfId="0" applyFont="1" applyBorder="1" applyAlignment="1">
      <alignment horizontal="center"/>
    </xf>
    <xf numFmtId="0" fontId="10" fillId="0" borderId="8" xfId="0" applyFont="1" applyBorder="1"/>
    <xf numFmtId="0" fontId="11" fillId="0" borderId="9" xfId="0" applyFont="1" applyBorder="1" applyAlignment="1">
      <alignment horizontal="center"/>
    </xf>
    <xf numFmtId="0" fontId="10" fillId="0" borderId="4" xfId="0" applyFont="1" applyBorder="1"/>
    <xf numFmtId="0" fontId="10" fillId="0" borderId="3" xfId="0" applyFont="1" applyBorder="1" applyAlignment="1">
      <alignment horizontal="center"/>
    </xf>
    <xf numFmtId="0" fontId="10" fillId="0" borderId="0" xfId="0" applyFont="1"/>
    <xf numFmtId="0" fontId="11" fillId="0" borderId="5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0" fontId="10" fillId="0" borderId="12" xfId="0" applyFont="1" applyBorder="1"/>
    <xf numFmtId="0" fontId="11" fillId="0" borderId="13" xfId="0" applyFont="1" applyBorder="1" applyAlignment="1">
      <alignment horizontal="center"/>
    </xf>
    <xf numFmtId="0" fontId="1" fillId="5" borderId="0" xfId="0" applyFont="1" applyFill="1" applyAlignment="1">
      <alignment horizontal="center" vertical="center" textRotation="90"/>
    </xf>
    <xf numFmtId="0" fontId="2" fillId="5" borderId="0" xfId="0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3" fillId="8" borderId="0" xfId="0" applyFont="1" applyFill="1"/>
    <xf numFmtId="0" fontId="2" fillId="9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4" fillId="0" borderId="3" xfId="0" applyFont="1" applyBorder="1"/>
    <xf numFmtId="0" fontId="14" fillId="0" borderId="11" xfId="0" applyFont="1" applyBorder="1"/>
    <xf numFmtId="0" fontId="3" fillId="0" borderId="7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10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5" fillId="11" borderId="11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6" fillId="0" borderId="0" xfId="0" applyFont="1"/>
    <xf numFmtId="0" fontId="12" fillId="7" borderId="0" xfId="0" applyFont="1" applyFill="1" applyAlignment="1">
      <alignment horizontal="center"/>
    </xf>
    <xf numFmtId="0" fontId="16" fillId="8" borderId="0" xfId="0" applyFont="1" applyFill="1"/>
    <xf numFmtId="0" fontId="3" fillId="2" borderId="0" xfId="0" applyFont="1" applyFill="1" applyAlignment="1">
      <alignment horizontal="center" vertical="center" textRotation="90"/>
    </xf>
    <xf numFmtId="0" fontId="17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20" fillId="0" borderId="0" xfId="0" applyFont="1" applyAlignment="1">
      <alignment horizontal="center" vertical="center" textRotation="90"/>
    </xf>
    <xf numFmtId="0" fontId="1" fillId="2" borderId="0" xfId="0" applyFont="1" applyFill="1" applyAlignment="1">
      <alignment horizontal="center" vertical="center" textRotation="90"/>
    </xf>
    <xf numFmtId="0" fontId="0" fillId="0" borderId="0" xfId="0"/>
    <xf numFmtId="0" fontId="1" fillId="5" borderId="0" xfId="0" applyFont="1" applyFill="1" applyAlignment="1">
      <alignment horizontal="center" vertical="center" textRotation="90"/>
    </xf>
    <xf numFmtId="0" fontId="1" fillId="6" borderId="0" xfId="0" applyFont="1" applyFill="1" applyAlignment="1">
      <alignment horizontal="center" vertical="center" textRotation="90"/>
    </xf>
    <xf numFmtId="0" fontId="1" fillId="7" borderId="0" xfId="0" applyFont="1" applyFill="1" applyAlignment="1">
      <alignment horizontal="center" vertical="center" textRotation="90"/>
    </xf>
    <xf numFmtId="0" fontId="1" fillId="9" borderId="0" xfId="0" applyFont="1" applyFill="1" applyAlignment="1">
      <alignment horizontal="center" vertical="center" textRotation="90"/>
    </xf>
    <xf numFmtId="0" fontId="1" fillId="10" borderId="0" xfId="0" applyFont="1" applyFill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794"/>
  <sheetViews>
    <sheetView tabSelected="1" topLeftCell="A3" workbookViewId="0">
      <selection activeCell="L11" sqref="L11"/>
    </sheetView>
  </sheetViews>
  <sheetFormatPr defaultColWidth="12.5546875" defaultRowHeight="15.75" customHeight="1"/>
  <cols>
    <col min="1" max="1" width="3.5546875" customWidth="1"/>
    <col min="2" max="2" width="3.6640625" customWidth="1"/>
    <col min="3" max="3" width="56.6640625" customWidth="1"/>
    <col min="4" max="4" width="7.33203125" customWidth="1"/>
    <col min="5" max="5" width="7.44140625" customWidth="1"/>
    <col min="6" max="6" width="6.44140625" customWidth="1"/>
    <col min="7" max="7" width="7" customWidth="1"/>
    <col min="8" max="8" width="7.44140625" customWidth="1"/>
    <col min="9" max="9" width="10.109375" hidden="1" customWidth="1"/>
    <col min="10" max="10" width="7.6640625" customWidth="1"/>
  </cols>
  <sheetData>
    <row r="1" spans="1:9" ht="14.4" hidden="1">
      <c r="A1" s="1"/>
      <c r="B1" s="2"/>
      <c r="C1" s="2"/>
      <c r="D1" s="3"/>
      <c r="E1" s="3"/>
      <c r="F1" s="3"/>
      <c r="G1" s="3"/>
      <c r="H1" s="3"/>
      <c r="I1" s="3"/>
    </row>
    <row r="2" spans="1:9" ht="15.6" hidden="1">
      <c r="A2" s="1"/>
      <c r="B2" s="3"/>
      <c r="C2" s="4" t="s">
        <v>0</v>
      </c>
      <c r="D2" s="5" t="s">
        <v>1</v>
      </c>
      <c r="E2" s="6"/>
      <c r="F2" s="6"/>
      <c r="G2" s="6"/>
      <c r="H2" s="6"/>
      <c r="I2" s="5"/>
    </row>
    <row r="3" spans="1:9" ht="32.25" customHeight="1">
      <c r="A3" s="1"/>
      <c r="B3" s="7"/>
      <c r="C3" s="8" t="s">
        <v>2</v>
      </c>
      <c r="D3" s="8" t="s">
        <v>3</v>
      </c>
      <c r="E3" s="8" t="s">
        <v>4</v>
      </c>
      <c r="F3" s="9" t="s">
        <v>5</v>
      </c>
      <c r="G3" s="9" t="s">
        <v>6</v>
      </c>
      <c r="H3" s="10" t="s">
        <v>7</v>
      </c>
      <c r="I3" s="9" t="s">
        <v>8</v>
      </c>
    </row>
    <row r="4" spans="1:9" ht="18">
      <c r="A4" s="1"/>
      <c r="B4" s="7"/>
      <c r="C4" s="11" t="s">
        <v>9</v>
      </c>
      <c r="D4" s="12" t="s">
        <v>10</v>
      </c>
      <c r="E4" s="13"/>
      <c r="F4" s="14"/>
      <c r="G4" s="14"/>
      <c r="H4" s="14"/>
      <c r="I4" s="15"/>
    </row>
    <row r="5" spans="1:9" ht="15.6">
      <c r="A5" s="54" t="s">
        <v>11</v>
      </c>
      <c r="B5" s="16" t="s">
        <v>12</v>
      </c>
      <c r="C5" s="17" t="str">
        <f ca="1">IFERROR(__xludf.DUMMYFUNCTION("IMPORTRANGE(""1-UhNsOeztW9Pb9erDsF-VyNtqmgMF6YtUafhy7MSifo"",""Бланк_заказа!C5"")"),"Веганский кекс апельсиново-миндальный")</f>
        <v>Веганский кекс апельсиново-миндальный</v>
      </c>
      <c r="D5" s="18"/>
      <c r="E5" s="17">
        <f ca="1">IFERROR(__xludf.DUMMYFUNCTION("IMPORTRANGE(""1-UhNsOeztW9Pb9erDsF-VyNtqmgMF6YtUafhy7MSifo"",""Бланк_заказа!E5"")"),950)</f>
        <v>950</v>
      </c>
      <c r="F5" s="19">
        <f ca="1">IFERROR(__xludf.DUMMYFUNCTION("IMPORTRANGE(""1-UhNsOeztW9Pb9erDsF-VyNtqmgMF6YtUafhy7MSifo"",""Бланк_заказа!F5"")"),1000)</f>
        <v>1000</v>
      </c>
      <c r="G5" s="19">
        <f ca="1">IFERROR(__xludf.DUMMYFUNCTION("IMPORTRANGE(""1-UhNsOeztW9Pb9erDsF-VyNtqmgMF6YtUafhy7MSifo"",""Бланк_заказа!G5"")"),72)</f>
        <v>72</v>
      </c>
      <c r="H5" s="19" t="str">
        <f ca="1">IFERROR(__xludf.DUMMYFUNCTION("IMPORTRANGE(""1-UhNsOeztW9Pb9erDsF-VyNtqmgMF6YtUafhy7MSifo"",""Бланк_заказа!H5"")")," +2+4")</f>
        <v xml:space="preserve"> +2+4</v>
      </c>
      <c r="I5" s="20">
        <f t="shared" ref="I5:I45" ca="1" si="0">E5*D5</f>
        <v>0</v>
      </c>
    </row>
    <row r="6" spans="1:9" ht="15.6">
      <c r="A6" s="55"/>
      <c r="B6" s="16" t="s">
        <v>12</v>
      </c>
      <c r="C6" s="21" t="str">
        <f ca="1">IFERROR(__xludf.DUMMYFUNCTION("IMPORTRANGE(""1-UhNsOeztW9Pb9erDsF-VyNtqmgMF6YtUafhy7MSifo"",""Бланк_заказа!C6"")"),"Веганский кекс Банановый")</f>
        <v>Веганский кекс Банановый</v>
      </c>
      <c r="D6" s="22"/>
      <c r="E6" s="21">
        <f ca="1">IFERROR(__xludf.DUMMYFUNCTION("IMPORTRANGE(""1-UhNsOeztW9Pb9erDsF-VyNtqmgMF6YtUafhy7MSifo"",""Бланк_заказа!E6"")"),890)</f>
        <v>890</v>
      </c>
      <c r="F6" s="23">
        <f ca="1">IFERROR(__xludf.DUMMYFUNCTION("IMPORTRANGE(""1-UhNsOeztW9Pb9erDsF-VyNtqmgMF6YtUafhy7MSifo"",""Бланк_заказа!F6"")"),1005)</f>
        <v>1005</v>
      </c>
      <c r="G6" s="23">
        <f ca="1">IFERROR(__xludf.DUMMYFUNCTION("IMPORTRANGE(""1-UhNsOeztW9Pb9erDsF-VyNtqmgMF6YtUafhy7MSifo"",""Бланк_заказа!G6"")"),72)</f>
        <v>72</v>
      </c>
      <c r="H6" s="23" t="str">
        <f ca="1">IFERROR(__xludf.DUMMYFUNCTION("IMPORTRANGE(""1-UhNsOeztW9Pb9erDsF-VyNtqmgMF6YtUafhy7MSifo"",""Бланк_заказа!H6"")")," +2+4")</f>
        <v xml:space="preserve"> +2+4</v>
      </c>
      <c r="I6" s="24">
        <f t="shared" ca="1" si="0"/>
        <v>0</v>
      </c>
    </row>
    <row r="7" spans="1:9" ht="15.6">
      <c r="A7" s="55"/>
      <c r="B7" s="16" t="s">
        <v>12</v>
      </c>
      <c r="C7" s="21" t="str">
        <f ca="1">IFERROR(__xludf.DUMMYFUNCTION("IMPORTRANGE(""1-UhNsOeztW9Pb9erDsF-VyNtqmgMF6YtUafhy7MSifo"",""Бланк_заказа!C7"")"),"Веганский кекс Лаймовый с маком")</f>
        <v>Веганский кекс Лаймовый с маком</v>
      </c>
      <c r="D7" s="22"/>
      <c r="E7" s="21">
        <f ca="1">IFERROR(__xludf.DUMMYFUNCTION("IMPORTRANGE(""1-UhNsOeztW9Pb9erDsF-VyNtqmgMF6YtUafhy7MSifo"",""Бланк_заказа!E7"")"),950)</f>
        <v>950</v>
      </c>
      <c r="F7" s="23">
        <f ca="1">IFERROR(__xludf.DUMMYFUNCTION("IMPORTRANGE(""1-UhNsOeztW9Pb9erDsF-VyNtqmgMF6YtUafhy7MSifo"",""Бланк_заказа!F7"")"),1010)</f>
        <v>1010</v>
      </c>
      <c r="G7" s="23">
        <f ca="1">IFERROR(__xludf.DUMMYFUNCTION("IMPORTRANGE(""1-UhNsOeztW9Pb9erDsF-VyNtqmgMF6YtUafhy7MSifo"",""Бланк_заказа!G7"")"),72)</f>
        <v>72</v>
      </c>
      <c r="H7" s="23" t="str">
        <f ca="1">IFERROR(__xludf.DUMMYFUNCTION("IMPORTRANGE(""1-UhNsOeztW9Pb9erDsF-VyNtqmgMF6YtUafhy7MSifo"",""Бланк_заказа!H7"")")," +2+4")</f>
        <v xml:space="preserve"> +2+4</v>
      </c>
      <c r="I7" s="24">
        <f t="shared" ca="1" si="0"/>
        <v>0</v>
      </c>
    </row>
    <row r="8" spans="1:9" ht="15.6">
      <c r="A8" s="55"/>
      <c r="B8" s="16" t="s">
        <v>12</v>
      </c>
      <c r="C8" s="21" t="str">
        <f ca="1">IFERROR(__xludf.DUMMYFUNCTION("IMPORTRANGE(""1-UhNsOeztW9Pb9erDsF-VyNtqmgMF6YtUafhy7MSifo"",""Бланк_заказа!C8"")"),"Веганский кекс Малиновый")</f>
        <v>Веганский кекс Малиновый</v>
      </c>
      <c r="D8" s="22"/>
      <c r="E8" s="21">
        <f ca="1">IFERROR(__xludf.DUMMYFUNCTION("IMPORTRANGE(""1-UhNsOeztW9Pb9erDsF-VyNtqmgMF6YtUafhy7MSifo"",""Бланк_заказа!E8"")"),990)</f>
        <v>990</v>
      </c>
      <c r="F8" s="23">
        <f ca="1">IFERROR(__xludf.DUMMYFUNCTION("IMPORTRANGE(""1-UhNsOeztW9Pb9erDsF-VyNtqmgMF6YtUafhy7MSifo"",""Бланк_заказа!F8"")"),1005)</f>
        <v>1005</v>
      </c>
      <c r="G8" s="23">
        <f ca="1">IFERROR(__xludf.DUMMYFUNCTION("IMPORTRANGE(""1-UhNsOeztW9Pb9erDsF-VyNtqmgMF6YtUafhy7MSifo"",""Бланк_заказа!G8"")"),72)</f>
        <v>72</v>
      </c>
      <c r="H8" s="23" t="str">
        <f ca="1">IFERROR(__xludf.DUMMYFUNCTION("IMPORTRANGE(""1-UhNsOeztW9Pb9erDsF-VyNtqmgMF6YtUafhy7MSifo"",""Бланк_заказа!H8"")")," +2+4")</f>
        <v xml:space="preserve"> +2+4</v>
      </c>
      <c r="I8" s="24">
        <f t="shared" ca="1" si="0"/>
        <v>0</v>
      </c>
    </row>
    <row r="9" spans="1:9" ht="15.6">
      <c r="A9" s="55"/>
      <c r="B9" s="16" t="s">
        <v>12</v>
      </c>
      <c r="C9" s="25" t="str">
        <f ca="1">IFERROR(__xludf.DUMMYFUNCTION("IMPORTRANGE(""1-UhNsOeztW9Pb9erDsF-VyNtqmgMF6YtUafhy7MSifo"",""Бланк_заказа!C9"")"),"Кекс Морковный")</f>
        <v>Кекс Морковный</v>
      </c>
      <c r="D9" s="26"/>
      <c r="E9" s="25">
        <f ca="1">IFERROR(__xludf.DUMMYFUNCTION("IMPORTRANGE(""1-UhNsOeztW9Pb9erDsF-VyNtqmgMF6YtUafhy7MSifo"",""Бланк_заказа!E9"")"),890)</f>
        <v>890</v>
      </c>
      <c r="F9" s="27">
        <f ca="1">IFERROR(__xludf.DUMMYFUNCTION("IMPORTRANGE(""1-UhNsOeztW9Pb9erDsF-VyNtqmgMF6YtUafhy7MSifo"",""Бланк_заказа!F9"")"),1105)</f>
        <v>1105</v>
      </c>
      <c r="G9" s="27">
        <f ca="1">IFERROR(__xludf.DUMMYFUNCTION("IMPORTRANGE(""1-UhNsOeztW9Pb9erDsF-VyNtqmgMF6YtUafhy7MSifo"",""Бланк_заказа!G9"")"),48)</f>
        <v>48</v>
      </c>
      <c r="H9" s="27" t="str">
        <f ca="1">IFERROR(__xludf.DUMMYFUNCTION("IMPORTRANGE(""1-UhNsOeztW9Pb9erDsF-VyNtqmgMF6YtUafhy7MSifo"",""Бланк_заказа!H9"")")," +2+4")</f>
        <v xml:space="preserve"> +2+4</v>
      </c>
      <c r="I9" s="28">
        <f t="shared" ca="1" si="0"/>
        <v>0</v>
      </c>
    </row>
    <row r="10" spans="1:9" ht="15.6">
      <c r="A10" s="56" t="s">
        <v>13</v>
      </c>
      <c r="B10" s="30" t="s">
        <v>12</v>
      </c>
      <c r="C10" s="17" t="str">
        <f ca="1">IFERROR(__xludf.DUMMYFUNCTION("IMPORTRANGE(""1-UhNsOeztW9Pb9erDsF-VyNtqmgMF6YtUafhy7MSifo"",""Бланк_заказа!C10"")"),"Десерт Банкейк Карамельный")</f>
        <v>Десерт Банкейк Карамельный</v>
      </c>
      <c r="D10" s="18"/>
      <c r="E10" s="17">
        <f ca="1">IFERROR(__xludf.DUMMYFUNCTION("IMPORTRANGE(""1-UhNsOeztW9Pb9erDsF-VyNtqmgMF6YtUafhy7MSifo"",""Бланк_заказа!E10"")"),177)</f>
        <v>177</v>
      </c>
      <c r="F10" s="19">
        <f ca="1">IFERROR(__xludf.DUMMYFUNCTION("IMPORTRANGE(""1-UhNsOeztW9Pb9erDsF-VyNtqmgMF6YtUafhy7MSifo"",""Бланк_заказа!F10"")"),165)</f>
        <v>165</v>
      </c>
      <c r="G10" s="19">
        <f ca="1">IFERROR(__xludf.DUMMYFUNCTION("IMPORTRANGE(""1-UhNsOeztW9Pb9erDsF-VyNtqmgMF6YtUafhy7MSifo"",""Бланк_заказа!G10"")"),48)</f>
        <v>48</v>
      </c>
      <c r="H10" s="19" t="str">
        <f ca="1">IFERROR(__xludf.DUMMYFUNCTION("IMPORTRANGE(""1-UhNsOeztW9Pb9erDsF-VyNtqmgMF6YtUafhy7MSifo"",""Бланк_заказа!H10"")")," +2+4")</f>
        <v xml:space="preserve"> +2+4</v>
      </c>
      <c r="I10" s="20">
        <f t="shared" ca="1" si="0"/>
        <v>0</v>
      </c>
    </row>
    <row r="11" spans="1:9" ht="15.6">
      <c r="A11" s="55"/>
      <c r="B11" s="30" t="s">
        <v>12</v>
      </c>
      <c r="C11" s="21" t="str">
        <f ca="1">IFERROR(__xludf.DUMMYFUNCTION("IMPORTRANGE(""1-UhNsOeztW9Pb9erDsF-VyNtqmgMF6YtUafhy7MSifo"",""Бланк_заказа!C11"")"),"Десерт Банкейк Лимон")</f>
        <v>Десерт Банкейк Лимон</v>
      </c>
      <c r="D11" s="22"/>
      <c r="E11" s="21">
        <f ca="1">IFERROR(__xludf.DUMMYFUNCTION("IMPORTRANGE(""1-UhNsOeztW9Pb9erDsF-VyNtqmgMF6YtUafhy7MSifo"",""Бланк_заказа!E11"")"),177)</f>
        <v>177</v>
      </c>
      <c r="F11" s="23">
        <f ca="1">IFERROR(__xludf.DUMMYFUNCTION("IMPORTRANGE(""1-UhNsOeztW9Pb9erDsF-VyNtqmgMF6YtUafhy7MSifo"",""Бланк_заказа!F11"")"),165)</f>
        <v>165</v>
      </c>
      <c r="G11" s="23">
        <f ca="1">IFERROR(__xludf.DUMMYFUNCTION("IMPORTRANGE(""1-UhNsOeztW9Pb9erDsF-VyNtqmgMF6YtUafhy7MSifo"",""Бланк_заказа!G11"")"),48)</f>
        <v>48</v>
      </c>
      <c r="H11" s="23" t="str">
        <f ca="1">IFERROR(__xludf.DUMMYFUNCTION("IMPORTRANGE(""1-UhNsOeztW9Pb9erDsF-VyNtqmgMF6YtUafhy7MSifo"",""Бланк_заказа!H11"")")," +2+4")</f>
        <v xml:space="preserve"> +2+4</v>
      </c>
      <c r="I11" s="24">
        <f t="shared" ca="1" si="0"/>
        <v>0</v>
      </c>
    </row>
    <row r="12" spans="1:9" ht="15.6">
      <c r="A12" s="55"/>
      <c r="B12" s="30" t="s">
        <v>12</v>
      </c>
      <c r="C12" s="25" t="str">
        <f ca="1">IFERROR(__xludf.DUMMYFUNCTION("IMPORTRANGE(""1-UhNsOeztW9Pb9erDsF-VyNtqmgMF6YtUafhy7MSifo"",""Бланк_заказа!C12"")"),"Десерт Банкейк Черничный")</f>
        <v>Десерт Банкейк Черничный</v>
      </c>
      <c r="D12" s="26"/>
      <c r="E12" s="25">
        <f ca="1">IFERROR(__xludf.DUMMYFUNCTION("IMPORTRANGE(""1-UhNsOeztW9Pb9erDsF-VyNtqmgMF6YtUafhy7MSifo"",""Бланк_заказа!E12"")"),177)</f>
        <v>177</v>
      </c>
      <c r="F12" s="27">
        <f ca="1">IFERROR(__xludf.DUMMYFUNCTION("IMPORTRANGE(""1-UhNsOeztW9Pb9erDsF-VyNtqmgMF6YtUafhy7MSifo"",""Бланк_заказа!F12"")"),165)</f>
        <v>165</v>
      </c>
      <c r="G12" s="27">
        <f ca="1">IFERROR(__xludf.DUMMYFUNCTION("IMPORTRANGE(""1-UhNsOeztW9Pb9erDsF-VyNtqmgMF6YtUafhy7MSifo"",""Бланк_заказа!G12"")"),48)</f>
        <v>48</v>
      </c>
      <c r="H12" s="27" t="str">
        <f ca="1">IFERROR(__xludf.DUMMYFUNCTION("IMPORTRANGE(""1-UhNsOeztW9Pb9erDsF-VyNtqmgMF6YtUafhy7MSifo"",""Бланк_заказа!H12"")")," +2+4")</f>
        <v xml:space="preserve"> +2+4</v>
      </c>
      <c r="I12" s="28">
        <f t="shared" ca="1" si="0"/>
        <v>0</v>
      </c>
    </row>
    <row r="13" spans="1:9" ht="15.6">
      <c r="A13" s="57" t="s">
        <v>14</v>
      </c>
      <c r="B13" s="31" t="s">
        <v>12</v>
      </c>
      <c r="C13" s="21" t="str">
        <f ca="1">IFERROR(__xludf.DUMMYFUNCTION("IMPORTRANGE(""1-UhNsOeztW9Pb9erDsF-VyNtqmgMF6YtUafhy7MSifo"",""Бланк_заказа!C13"")"),"Канеле Classique (С)")</f>
        <v>Канеле Classique (С)</v>
      </c>
      <c r="D13" s="22"/>
      <c r="E13" s="21">
        <f ca="1">IFERROR(__xludf.DUMMYFUNCTION("IMPORTRANGE(""1-UhNsOeztW9Pb9erDsF-VyNtqmgMF6YtUafhy7MSifo"",""Бланк_заказа!E13"")"),51)</f>
        <v>51</v>
      </c>
      <c r="F13" s="23">
        <f ca="1">IFERROR(__xludf.DUMMYFUNCTION("IMPORTRANGE(""1-UhNsOeztW9Pb9erDsF-VyNtqmgMF6YtUafhy7MSifo"",""Бланк_заказа!F13"")"),32)</f>
        <v>32</v>
      </c>
      <c r="G13" s="23">
        <f ca="1">IFERROR(__xludf.DUMMYFUNCTION("IMPORTRANGE(""1-UhNsOeztW9Pb9erDsF-VyNtqmgMF6YtUafhy7MSifo"",""Бланк_заказа!G13"")"),48)</f>
        <v>48</v>
      </c>
      <c r="H13" s="23" t="str">
        <f ca="1">IFERROR(__xludf.DUMMYFUNCTION("IMPORTRANGE(""1-UhNsOeztW9Pb9erDsF-VyNtqmgMF6YtUafhy7MSifo"",""Бланк_заказа!H13"")")," +2+6")</f>
        <v xml:space="preserve"> +2+6</v>
      </c>
      <c r="I13" s="24">
        <f t="shared" ca="1" si="0"/>
        <v>0</v>
      </c>
    </row>
    <row r="14" spans="1:9" ht="15.6">
      <c r="A14" s="55"/>
      <c r="B14" s="31" t="s">
        <v>12</v>
      </c>
      <c r="C14" s="21" t="str">
        <f ca="1">IFERROR(__xludf.DUMMYFUNCTION("IMPORTRANGE(""1-UhNsOeztW9Pb9erDsF-VyNtqmgMF6YtUafhy7MSifo"",""Бланк_заказа!C14"")"),"Канеле с малиной (С)")</f>
        <v>Канеле с малиной (С)</v>
      </c>
      <c r="D14" s="22"/>
      <c r="E14" s="21">
        <f ca="1">IFERROR(__xludf.DUMMYFUNCTION("IMPORTRANGE(""1-UhNsOeztW9Pb9erDsF-VyNtqmgMF6YtUafhy7MSifo"",""Бланк_заказа!E14"")"),63)</f>
        <v>63</v>
      </c>
      <c r="F14" s="23">
        <f ca="1">IFERROR(__xludf.DUMMYFUNCTION("IMPORTRANGE(""1-UhNsOeztW9Pb9erDsF-VyNtqmgMF6YtUafhy7MSifo"",""Бланк_заказа!F14"")"),38)</f>
        <v>38</v>
      </c>
      <c r="G14" s="23">
        <f ca="1">IFERROR(__xludf.DUMMYFUNCTION("IMPORTRANGE(""1-UhNsOeztW9Pb9erDsF-VyNtqmgMF6YtUafhy7MSifo"",""Бланк_заказа!G14"")"),48)</f>
        <v>48</v>
      </c>
      <c r="H14" s="23" t="str">
        <f ca="1">IFERROR(__xludf.DUMMYFUNCTION("IMPORTRANGE(""1-UhNsOeztW9Pb9erDsF-VyNtqmgMF6YtUafhy7MSifo"",""Бланк_заказа!H14"")")," +2+6")</f>
        <v xml:space="preserve"> +2+6</v>
      </c>
      <c r="I14" s="24">
        <f t="shared" ca="1" si="0"/>
        <v>0</v>
      </c>
    </row>
    <row r="15" spans="1:9" ht="15.6">
      <c r="A15" s="55"/>
      <c r="B15" s="31" t="s">
        <v>12</v>
      </c>
      <c r="C15" s="21" t="str">
        <f ca="1">IFERROR(__xludf.DUMMYFUNCTION("IMPORTRANGE(""1-UhNsOeztW9Pb9erDsF-VyNtqmgMF6YtUafhy7MSifo"",""Бланк_заказа!C15"")"),"Канеле с карамелью (С)")</f>
        <v>Канеле с карамелью (С)</v>
      </c>
      <c r="D15" s="22"/>
      <c r="E15" s="21">
        <f ca="1">IFERROR(__xludf.DUMMYFUNCTION("IMPORTRANGE(""1-UhNsOeztW9Pb9erDsF-VyNtqmgMF6YtUafhy7MSifo"",""Бланк_заказа!E15"")"),63)</f>
        <v>63</v>
      </c>
      <c r="F15" s="23">
        <f ca="1">IFERROR(__xludf.DUMMYFUNCTION("IMPORTRANGE(""1-UhNsOeztW9Pb9erDsF-VyNtqmgMF6YtUafhy7MSifo"",""Бланк_заказа!F15"")"),39)</f>
        <v>39</v>
      </c>
      <c r="G15" s="23">
        <f ca="1">IFERROR(__xludf.DUMMYFUNCTION("IMPORTRANGE(""1-UhNsOeztW9Pb9erDsF-VyNtqmgMF6YtUafhy7MSifo"",""Бланк_заказа!G15"")"),48)</f>
        <v>48</v>
      </c>
      <c r="H15" s="23" t="str">
        <f ca="1">IFERROR(__xludf.DUMMYFUNCTION("IMPORTRANGE(""1-UhNsOeztW9Pb9erDsF-VyNtqmgMF6YtUafhy7MSifo"",""Бланк_заказа!H15"")")," +2+6")</f>
        <v xml:space="preserve"> +2+6</v>
      </c>
      <c r="I15" s="24">
        <f t="shared" ca="1" si="0"/>
        <v>0</v>
      </c>
    </row>
    <row r="16" spans="1:9" ht="15.6">
      <c r="A16" s="55"/>
      <c r="B16" s="31" t="s">
        <v>12</v>
      </c>
      <c r="C16" s="21" t="str">
        <f ca="1">IFERROR(__xludf.DUMMYFUNCTION("IMPORTRANGE(""1-UhNsOeztW9Pb9erDsF-VyNtqmgMF6YtUafhy7MSifo"",""Бланк_заказа!C15"")"),"Канеле с карамелью (С)")</f>
        <v>Канеле с карамелью (С)</v>
      </c>
      <c r="D16" s="22"/>
      <c r="E16" s="21">
        <f ca="1">IFERROR(__xludf.DUMMYFUNCTION("IMPORTRANGE(""1-UhNsOeztW9Pb9erDsF-VyNtqmgMF6YtUafhy7MSifo"",""Бланк_заказа!E16"")"),63)</f>
        <v>63</v>
      </c>
      <c r="F16" s="23">
        <f ca="1">IFERROR(__xludf.DUMMYFUNCTION("IMPORTRANGE(""1-UhNsOeztW9Pb9erDsF-VyNtqmgMF6YtUafhy7MSifo"",""Бланк_заказа!F16"")"),39)</f>
        <v>39</v>
      </c>
      <c r="G16" s="23">
        <f ca="1">IFERROR(__xludf.DUMMYFUNCTION("IMPORTRANGE(""1-UhNsOeztW9Pb9erDsF-VyNtqmgMF6YtUafhy7MSifo"",""Бланк_заказа!G16"")"),48)</f>
        <v>48</v>
      </c>
      <c r="H16" s="23" t="str">
        <f ca="1">IFERROR(__xludf.DUMMYFUNCTION("IMPORTRANGE(""1-UhNsOeztW9Pb9erDsF-VyNtqmgMF6YtUafhy7MSifo"",""Бланк_заказа!H16"")")," +2+6")</f>
        <v xml:space="preserve"> +2+6</v>
      </c>
      <c r="I16" s="24">
        <f t="shared" ca="1" si="0"/>
        <v>0</v>
      </c>
    </row>
    <row r="17" spans="1:11" ht="15.6">
      <c r="A17" s="55"/>
      <c r="B17" s="32" t="s">
        <v>12</v>
      </c>
      <c r="C17" s="21" t="str">
        <f ca="1">IFERROR(__xludf.DUMMYFUNCTION("IMPORTRANGE(""1-UhNsOeztW9Pb9erDsF-VyNtqmgMF6YtUafhy7MSifo"",""Бланк_заказа!C17"")"),"Вупи пай Банан")</f>
        <v>Вупи пай Банан</v>
      </c>
      <c r="D17" s="22"/>
      <c r="E17" s="21">
        <f ca="1">IFERROR(__xludf.DUMMYFUNCTION("IMPORTRANGE(""1-UhNsOeztW9Pb9erDsF-VyNtqmgMF6YtUafhy7MSifo"",""Бланк_заказа!E17"")"),129)</f>
        <v>129</v>
      </c>
      <c r="F17" s="23">
        <f ca="1">IFERROR(__xludf.DUMMYFUNCTION("IMPORTRANGE(""1-UhNsOeztW9Pb9erDsF-VyNtqmgMF6YtUafhy7MSifo"",""Бланк_заказа!F17"")"),130)</f>
        <v>130</v>
      </c>
      <c r="G17" s="23">
        <f ca="1">IFERROR(__xludf.DUMMYFUNCTION("IMPORTRANGE(""1-UhNsOeztW9Pb9erDsF-VyNtqmgMF6YtUafhy7MSifo"",""Бланк_заказа!G17"")"),48)</f>
        <v>48</v>
      </c>
      <c r="H17" s="23" t="str">
        <f ca="1">IFERROR(__xludf.DUMMYFUNCTION("IMPORTRANGE(""1-UhNsOeztW9Pb9erDsF-VyNtqmgMF6YtUafhy7MSifo"",""Бланк_заказа!H17"")")," +2+4")</f>
        <v xml:space="preserve"> +2+4</v>
      </c>
      <c r="I17" s="24">
        <f t="shared" ca="1" si="0"/>
        <v>0</v>
      </c>
    </row>
    <row r="18" spans="1:11" ht="15.6">
      <c r="A18" s="55"/>
      <c r="B18" s="32" t="s">
        <v>12</v>
      </c>
      <c r="C18" s="21" t="str">
        <f ca="1">IFERROR(__xludf.DUMMYFUNCTION("IMPORTRANGE(""1-UhNsOeztW9Pb9erDsF-VyNtqmgMF6YtUafhy7MSifo"",""Бланк_заказа!C18"")"),"Вупи пай классический")</f>
        <v>Вупи пай классический</v>
      </c>
      <c r="D18" s="22"/>
      <c r="E18" s="21">
        <f ca="1">IFERROR(__xludf.DUMMYFUNCTION("IMPORTRANGE(""1-UhNsOeztW9Pb9erDsF-VyNtqmgMF6YtUafhy7MSifo"",""Бланк_заказа!E18"")"),129)</f>
        <v>129</v>
      </c>
      <c r="F18" s="23">
        <f ca="1">IFERROR(__xludf.DUMMYFUNCTION("IMPORTRANGE(""1-UhNsOeztW9Pb9erDsF-VyNtqmgMF6YtUafhy7MSifo"",""Бланк_заказа!F18"")"),130)</f>
        <v>130</v>
      </c>
      <c r="G18" s="23">
        <f ca="1">IFERROR(__xludf.DUMMYFUNCTION("IMPORTRANGE(""1-UhNsOeztW9Pb9erDsF-VyNtqmgMF6YtUafhy7MSifo"",""Бланк_заказа!G18"")"),48)</f>
        <v>48</v>
      </c>
      <c r="H18" s="23" t="str">
        <f ca="1">IFERROR(__xludf.DUMMYFUNCTION("IMPORTRANGE(""1-UhNsOeztW9Pb9erDsF-VyNtqmgMF6YtUafhy7MSifo"",""Бланк_заказа!H18"")")," +2+4")</f>
        <v xml:space="preserve"> +2+4</v>
      </c>
      <c r="I18" s="24">
        <f t="shared" ca="1" si="0"/>
        <v>0</v>
      </c>
    </row>
    <row r="19" spans="1:11" ht="15.6">
      <c r="A19" s="55"/>
      <c r="B19" s="32" t="s">
        <v>12</v>
      </c>
      <c r="C19" s="21" t="str">
        <f ca="1">IFERROR(__xludf.DUMMYFUNCTION("IMPORTRANGE(""1-UhNsOeztW9Pb9erDsF-VyNtqmgMF6YtUafhy7MSifo"",""Бланк_заказа!C19"")"),"Вупи пай Кокосовый")</f>
        <v>Вупи пай Кокосовый</v>
      </c>
      <c r="D19" s="22"/>
      <c r="E19" s="21">
        <f ca="1">IFERROR(__xludf.DUMMYFUNCTION("IMPORTRANGE(""1-UhNsOeztW9Pb9erDsF-VyNtqmgMF6YtUafhy7MSifo"",""Бланк_заказа!E19"")"),129)</f>
        <v>129</v>
      </c>
      <c r="F19" s="23">
        <f ca="1">IFERROR(__xludf.DUMMYFUNCTION("IMPORTRANGE(""1-UhNsOeztW9Pb9erDsF-VyNtqmgMF6YtUafhy7MSifo"",""Бланк_заказа!F19"")"),130)</f>
        <v>130</v>
      </c>
      <c r="G19" s="23">
        <f ca="1">IFERROR(__xludf.DUMMYFUNCTION("IMPORTRANGE(""1-UhNsOeztW9Pb9erDsF-VyNtqmgMF6YtUafhy7MSifo"",""Бланк_заказа!G19"")"),48)</f>
        <v>48</v>
      </c>
      <c r="H19" s="23" t="str">
        <f ca="1">IFERROR(__xludf.DUMMYFUNCTION("IMPORTRANGE(""1-UhNsOeztW9Pb9erDsF-VyNtqmgMF6YtUafhy7MSifo"",""Бланк_заказа!H19"")")," +2+4")</f>
        <v xml:space="preserve"> +2+4</v>
      </c>
      <c r="I19" s="24">
        <f t="shared" ca="1" si="0"/>
        <v>0</v>
      </c>
    </row>
    <row r="20" spans="1:11" ht="15.6">
      <c r="A20" s="55"/>
      <c r="B20" s="32" t="s">
        <v>12</v>
      </c>
      <c r="C20" s="21" t="str">
        <f ca="1">IFERROR(__xludf.DUMMYFUNCTION("IMPORTRANGE(""1-UhNsOeztW9Pb9erDsF-VyNtqmgMF6YtUafhy7MSifo"",""Бланк_заказа!C20"")"),"Вупи пай Черничный")</f>
        <v>Вупи пай Черничный</v>
      </c>
      <c r="D20" s="22"/>
      <c r="E20" s="21">
        <f ca="1">IFERROR(__xludf.DUMMYFUNCTION("IMPORTRANGE(""1-UhNsOeztW9Pb9erDsF-VyNtqmgMF6YtUafhy7MSifo"",""Бланк_заказа!E20"")"),129)</f>
        <v>129</v>
      </c>
      <c r="F20" s="23">
        <f ca="1">IFERROR(__xludf.DUMMYFUNCTION("IMPORTRANGE(""1-UhNsOeztW9Pb9erDsF-VyNtqmgMF6YtUafhy7MSifo"",""Бланк_заказа!F20"")"),130)</f>
        <v>130</v>
      </c>
      <c r="G20" s="23">
        <f ca="1">IFERROR(__xludf.DUMMYFUNCTION("IMPORTRANGE(""1-UhNsOeztW9Pb9erDsF-VyNtqmgMF6YtUafhy7MSifo"",""Бланк_заказа!G20"")"),48)</f>
        <v>48</v>
      </c>
      <c r="H20" s="23" t="str">
        <f ca="1">IFERROR(__xludf.DUMMYFUNCTION("IMPORTRANGE(""1-UhNsOeztW9Pb9erDsF-VyNtqmgMF6YtUafhy7MSifo"",""Бланк_заказа!H20"")")," +2+4")</f>
        <v xml:space="preserve"> +2+4</v>
      </c>
      <c r="I20" s="24">
        <f t="shared" ca="1" si="0"/>
        <v>0</v>
      </c>
    </row>
    <row r="21" spans="1:11" ht="15.6">
      <c r="A21" s="55"/>
      <c r="B21" s="32" t="s">
        <v>12</v>
      </c>
      <c r="C21" s="21" t="str">
        <f ca="1">IFERROR(__xludf.DUMMYFUNCTION("IMPORTRANGE(""1-UhNsOeztW9Pb9erDsF-VyNtqmgMF6YtUafhy7MSifo"",""Бланк_заказа!C21"")"),"Кейк Попс")</f>
        <v>Кейк Попс</v>
      </c>
      <c r="D21" s="22"/>
      <c r="E21" s="21">
        <f ca="1">IFERROR(__xludf.DUMMYFUNCTION("IMPORTRANGE(""1-UhNsOeztW9Pb9erDsF-VyNtqmgMF6YtUafhy7MSifo"",""Бланк_заказа!E21"")"),74)</f>
        <v>74</v>
      </c>
      <c r="F21" s="23">
        <f ca="1">IFERROR(__xludf.DUMMYFUNCTION("IMPORTRANGE(""1-UhNsOeztW9Pb9erDsF-VyNtqmgMF6YtUafhy7MSifo"",""Бланк_заказа!F21"")"),60)</f>
        <v>60</v>
      </c>
      <c r="G21" s="23">
        <f ca="1">IFERROR(__xludf.DUMMYFUNCTION("IMPORTRANGE(""1-UhNsOeztW9Pb9erDsF-VyNtqmgMF6YtUafhy7MSifo"",""Бланк_заказа!G21"")"),48)</f>
        <v>48</v>
      </c>
      <c r="H21" s="23" t="str">
        <f ca="1">IFERROR(__xludf.DUMMYFUNCTION("IMPORTRANGE(""1-UhNsOeztW9Pb9erDsF-VyNtqmgMF6YtUafhy7MSifo"",""Бланк_заказа!H21"")")," +2+4")</f>
        <v xml:space="preserve"> +2+4</v>
      </c>
      <c r="I21" s="24">
        <f t="shared" ca="1" si="0"/>
        <v>0</v>
      </c>
    </row>
    <row r="22" spans="1:11" ht="15.6">
      <c r="A22" s="55"/>
      <c r="B22" s="32" t="s">
        <v>12</v>
      </c>
      <c r="C22" s="21" t="str">
        <f ca="1">IFERROR(__xludf.DUMMYFUNCTION("IMPORTRANGE(""1-UhNsOeztW9Pb9erDsF-VyNtqmgMF6YtUafhy7MSifo"",""Бланк_заказа!C22"")"),"Павлова с ягодами")</f>
        <v>Павлова с ягодами</v>
      </c>
      <c r="D22" s="22"/>
      <c r="E22" s="21">
        <f ca="1">IFERROR(__xludf.DUMMYFUNCTION("IMPORTRANGE(""1-UhNsOeztW9Pb9erDsF-VyNtqmgMF6YtUafhy7MSifo"",""Бланк_заказа!E22"")"),178)</f>
        <v>178</v>
      </c>
      <c r="F22" s="23">
        <f ca="1">IFERROR(__xludf.DUMMYFUNCTION("IMPORTRANGE(""1-UhNsOeztW9Pb9erDsF-VyNtqmgMF6YtUafhy7MSifo"",""Бланк_заказа!F22"")"),154)</f>
        <v>154</v>
      </c>
      <c r="G22" s="23">
        <f ca="1">IFERROR(__xludf.DUMMYFUNCTION("IMPORTRANGE(""1-UhNsOeztW9Pb9erDsF-VyNtqmgMF6YtUafhy7MSifo"",""Бланк_заказа!G22"")"),24)</f>
        <v>24</v>
      </c>
      <c r="H22" s="23" t="str">
        <f ca="1">IFERROR(__xludf.DUMMYFUNCTION("IMPORTRANGE(""1-UhNsOeztW9Pb9erDsF-VyNtqmgMF6YtUafhy7MSifo"",""Бланк_заказа!H22"")")," +2+4")</f>
        <v xml:space="preserve"> +2+4</v>
      </c>
      <c r="I22" s="24">
        <f t="shared" ca="1" si="0"/>
        <v>0</v>
      </c>
    </row>
    <row r="23" spans="1:11" ht="15.6">
      <c r="A23" s="55"/>
      <c r="B23" s="32" t="s">
        <v>12</v>
      </c>
      <c r="C23" s="21" t="str">
        <f ca="1">IFERROR(__xludf.DUMMYFUNCTION("IMPORTRANGE(""1-UhNsOeztW9Pb9erDsF-VyNtqmgMF6YtUafhy7MSifo"",""Бланк_заказа!C23"")"),"Печенье Сникердудл")</f>
        <v>Печенье Сникердудл</v>
      </c>
      <c r="D23" s="22"/>
      <c r="E23" s="21">
        <f ca="1">IFERROR(__xludf.DUMMYFUNCTION("IMPORTRANGE(""1-UhNsOeztW9Pb9erDsF-VyNtqmgMF6YtUafhy7MSifo"",""Бланк_заказа!E23"")"),58)</f>
        <v>58</v>
      </c>
      <c r="F23" s="23">
        <f ca="1">IFERROR(__xludf.DUMMYFUNCTION("IMPORTRANGE(""1-UhNsOeztW9Pb9erDsF-VyNtqmgMF6YtUafhy7MSifo"",""Бланк_заказа!F23"")"),60)</f>
        <v>60</v>
      </c>
      <c r="G23" s="23">
        <f ca="1">IFERROR(__xludf.DUMMYFUNCTION("IMPORTRANGE(""1-UhNsOeztW9Pb9erDsF-VyNtqmgMF6YtUafhy7MSifo"",""Бланк_заказа!G23"")"),120)</f>
        <v>120</v>
      </c>
      <c r="H23" s="23" t="str">
        <f ca="1">IFERROR(__xludf.DUMMYFUNCTION("IMPORTRANGE(""1-UhNsOeztW9Pb9erDsF-VyNtqmgMF6YtUafhy7MSifo"",""Бланк_заказа!H23"")")," +5+18")</f>
        <v xml:space="preserve"> +5+18</v>
      </c>
      <c r="I23" s="24">
        <f t="shared" ca="1" si="0"/>
        <v>0</v>
      </c>
    </row>
    <row r="24" spans="1:11" ht="15.6">
      <c r="A24" s="55"/>
      <c r="B24" s="32" t="s">
        <v>12</v>
      </c>
      <c r="C24" s="21" t="str">
        <f ca="1">IFERROR(__xludf.DUMMYFUNCTION("IMPORTRANGE(""1-UhNsOeztW9Pb9erDsF-VyNtqmgMF6YtUafhy7MSifo"",""Бланк_заказа!C24"")"),"Печенье Шоколадное")</f>
        <v>Печенье Шоколадное</v>
      </c>
      <c r="D24" s="22"/>
      <c r="E24" s="21">
        <f ca="1">IFERROR(__xludf.DUMMYFUNCTION("IMPORTRANGE(""1-UhNsOeztW9Pb9erDsF-VyNtqmgMF6YtUafhy7MSifo"",""Бланк_заказа!E24"")"),58)</f>
        <v>58</v>
      </c>
      <c r="F24" s="23">
        <f ca="1">IFERROR(__xludf.DUMMYFUNCTION("IMPORTRANGE(""1-UhNsOeztW9Pb9erDsF-VyNtqmgMF6YtUafhy7MSifo"",""Бланк_заказа!F24"")"),60)</f>
        <v>60</v>
      </c>
      <c r="G24" s="23">
        <f ca="1">IFERROR(__xludf.DUMMYFUNCTION("IMPORTRANGE(""1-UhNsOeztW9Pb9erDsF-VyNtqmgMF6YtUafhy7MSifo"",""Бланк_заказа!G24"")"),120)</f>
        <v>120</v>
      </c>
      <c r="H24" s="23" t="str">
        <f ca="1">IFERROR(__xludf.DUMMYFUNCTION("IMPORTRANGE(""1-UhNsOeztW9Pb9erDsF-VyNtqmgMF6YtUafhy7MSifo"",""Бланк_заказа!H24"")")," +5+18")</f>
        <v xml:space="preserve"> +5+18</v>
      </c>
      <c r="I24" s="24">
        <f t="shared" ca="1" si="0"/>
        <v>0</v>
      </c>
    </row>
    <row r="25" spans="1:11" ht="15.6">
      <c r="A25" s="55"/>
      <c r="B25" s="32" t="s">
        <v>12</v>
      </c>
      <c r="C25" s="21" t="str">
        <f ca="1">IFERROR(__xludf.DUMMYFUNCTION("IMPORTRANGE(""1-UhNsOeztW9Pb9erDsF-VyNtqmgMF6YtUafhy7MSifo"",""Бланк_заказа!C25"")"),"Печенье Кукис с Нутелла")</f>
        <v>Печенье Кукис с Нутелла</v>
      </c>
      <c r="D25" s="22"/>
      <c r="E25" s="21">
        <f ca="1">IFERROR(__xludf.DUMMYFUNCTION("IMPORTRANGE(""1-UhNsOeztW9Pb9erDsF-VyNtqmgMF6YtUafhy7MSifo"",""Бланк_заказа!E25"")"),83)</f>
        <v>83</v>
      </c>
      <c r="F25" s="23">
        <f ca="1">IFERROR(__xludf.DUMMYFUNCTION("IMPORTRANGE(""1-UhNsOeztW9Pb9erDsF-VyNtqmgMF6YtUafhy7MSifo"",""Бланк_заказа!F25"")"),60)</f>
        <v>60</v>
      </c>
      <c r="G25" s="23">
        <f ca="1">IFERROR(__xludf.DUMMYFUNCTION("IMPORTRANGE(""1-UhNsOeztW9Pb9erDsF-VyNtqmgMF6YtUafhy7MSifo"",""Бланк_заказа!G25"")"),120)</f>
        <v>120</v>
      </c>
      <c r="H25" s="23" t="str">
        <f ca="1">IFERROR(__xludf.DUMMYFUNCTION("IMPORTRANGE(""1-UhNsOeztW9Pb9erDsF-VyNtqmgMF6YtUafhy7MSifo"",""Бланк_заказа!H25"")")," +5+18")</f>
        <v xml:space="preserve"> +5+18</v>
      </c>
      <c r="I25" s="24">
        <f t="shared" ca="1" si="0"/>
        <v>0</v>
      </c>
    </row>
    <row r="26" spans="1:11" ht="15.6">
      <c r="A26" s="55"/>
      <c r="B26" s="32" t="s">
        <v>12</v>
      </c>
      <c r="C26" s="21" t="str">
        <f ca="1">IFERROR(__xludf.DUMMYFUNCTION("IMPORTRANGE(""1-UhNsOeztW9Pb9erDsF-VyNtqmgMF6YtUafhy7MSifo"",""Бланк_заказа!C26"")"),"Овсяное печенье с вяленой клюквой")</f>
        <v>Овсяное печенье с вяленой клюквой</v>
      </c>
      <c r="D26" s="22"/>
      <c r="E26" s="21">
        <f ca="1">IFERROR(__xludf.DUMMYFUNCTION("IMPORTRANGE(""1-UhNsOeztW9Pb9erDsF-VyNtqmgMF6YtUafhy7MSifo"",""Бланк_заказа!E26"")"),90)</f>
        <v>90</v>
      </c>
      <c r="F26" s="23">
        <f ca="1">IFERROR(__xludf.DUMMYFUNCTION("IMPORTRANGE(""1-UhNsOeztW9Pb9erDsF-VyNtqmgMF6YtUafhy7MSifo"",""Бланк_заказа!F26"")"),60)</f>
        <v>60</v>
      </c>
      <c r="G26" s="23">
        <f ca="1">IFERROR(__xludf.DUMMYFUNCTION("IMPORTRANGE(""1-UhNsOeztW9Pb9erDsF-VyNtqmgMF6YtUafhy7MSifo"",""Бланк_заказа!G26"")"),120)</f>
        <v>120</v>
      </c>
      <c r="H26" s="23" t="str">
        <f ca="1">IFERROR(__xludf.DUMMYFUNCTION("IMPORTRANGE(""1-UhNsOeztW9Pb9erDsF-VyNtqmgMF6YtUafhy7MSifo"",""Бланк_заказа!H26"")")," +5+18")</f>
        <v xml:space="preserve"> +5+18</v>
      </c>
      <c r="I26" s="24">
        <f t="shared" ca="1" si="0"/>
        <v>0</v>
      </c>
    </row>
    <row r="27" spans="1:11" ht="15.6">
      <c r="A27" s="55"/>
      <c r="B27" s="32" t="s">
        <v>12</v>
      </c>
      <c r="C27" s="21" t="str">
        <f ca="1">IFERROR(__xludf.DUMMYFUNCTION("IMPORTRANGE(""1-UhNsOeztW9Pb9erDsF-VyNtqmgMF6YtUafhy7MSifo"",""Бланк_заказа!C27"")"),"Трубочка с вареной сгущенкой")</f>
        <v>Трубочка с вареной сгущенкой</v>
      </c>
      <c r="D27" s="22"/>
      <c r="E27" s="21">
        <f ca="1">IFERROR(__xludf.DUMMYFUNCTION("IMPORTRANGE(""1-UhNsOeztW9Pb9erDsF-VyNtqmgMF6YtUafhy7MSifo"",""Бланк_заказа!E27"")"),93)</f>
        <v>93</v>
      </c>
      <c r="F27" s="23">
        <f ca="1">IFERROR(__xludf.DUMMYFUNCTION("IMPORTRANGE(""1-UhNsOeztW9Pb9erDsF-VyNtqmgMF6YtUafhy7MSifo"",""Бланк_заказа!F27"")"),100)</f>
        <v>100</v>
      </c>
      <c r="G27" s="23">
        <f ca="1">IFERROR(__xludf.DUMMYFUNCTION("IMPORTRANGE(""1-UhNsOeztW9Pb9erDsF-VyNtqmgMF6YtUafhy7MSifo"",""Бланк_заказа!G27"")"),48)</f>
        <v>48</v>
      </c>
      <c r="H27" s="23" t="str">
        <f ca="1">IFERROR(__xludf.DUMMYFUNCTION("IMPORTRANGE(""1-UhNsOeztW9Pb9erDsF-VyNtqmgMF6YtUafhy7MSifo"",""Бланк_заказа!H27"")")," +5+18")</f>
        <v xml:space="preserve"> +5+18</v>
      </c>
      <c r="I27" s="24">
        <f t="shared" ca="1" si="0"/>
        <v>0</v>
      </c>
    </row>
    <row r="28" spans="1:11" ht="15.6">
      <c r="A28" s="58" t="s">
        <v>15</v>
      </c>
      <c r="B28" s="33" t="s">
        <v>12</v>
      </c>
      <c r="C28" s="17" t="str">
        <f ca="1">IFERROR(__xludf.DUMMYFUNCTION("IMPORTRANGE(""1-UhNsOeztW9Pb9erDsF-VyNtqmgMF6YtUafhy7MSifo"",""Бланк_заказа!C28"")"),"Конфета шоколад&amp;фундук")</f>
        <v>Конфета шоколад&amp;фундук</v>
      </c>
      <c r="D28" s="18"/>
      <c r="E28" s="17">
        <f ca="1">IFERROR(__xludf.DUMMYFUNCTION("IMPORTRANGE(""1-UhNsOeztW9Pb9erDsF-VyNtqmgMF6YtUafhy7MSifo"",""Бланк_заказа!E28"")"),48)</f>
        <v>48</v>
      </c>
      <c r="F28" s="19">
        <f ca="1">IFERROR(__xludf.DUMMYFUNCTION("IMPORTRANGE(""1-UhNsOeztW9Pb9erDsF-VyNtqmgMF6YtUafhy7MSifo"",""Бланк_заказа!F28"")"),21)</f>
        <v>21</v>
      </c>
      <c r="G28" s="19">
        <f ca="1">IFERROR(__xludf.DUMMYFUNCTION("IMPORTRANGE(""1-UhNsOeztW9Pb9erDsF-VyNtqmgMF6YtUafhy7MSifo"",""Бланк_заказа!G28"")"),120)</f>
        <v>120</v>
      </c>
      <c r="H28" s="19" t="str">
        <f ca="1">IFERROR(__xludf.DUMMYFUNCTION("IMPORTRANGE(""1-UhNsOeztW9Pb9erDsF-VyNtqmgMF6YtUafhy7MSifo"",""Бланк_заказа!H28"")")," +5+18")</f>
        <v xml:space="preserve"> +5+18</v>
      </c>
      <c r="I28" s="20">
        <f t="shared" ca="1" si="0"/>
        <v>0</v>
      </c>
    </row>
    <row r="29" spans="1:11" ht="15.6">
      <c r="A29" s="55"/>
      <c r="B29" s="33" t="s">
        <v>12</v>
      </c>
      <c r="C29" s="21" t="str">
        <f ca="1">IFERROR(__xludf.DUMMYFUNCTION("IMPORTRANGE(""1-UhNsOeztW9Pb9erDsF-VyNtqmgMF6YtUafhy7MSifo"",""Бланк_заказа!C29"")"),"Конфета Бейлиз")</f>
        <v>Конфета Бейлиз</v>
      </c>
      <c r="D29" s="22"/>
      <c r="E29" s="21">
        <f ca="1">IFERROR(__xludf.DUMMYFUNCTION("IMPORTRANGE(""1-UhNsOeztW9Pb9erDsF-VyNtqmgMF6YtUafhy7MSifo"",""Бланк_заказа!E29"")"),55)</f>
        <v>55</v>
      </c>
      <c r="F29" s="23">
        <f ca="1">IFERROR(__xludf.DUMMYFUNCTION("IMPORTRANGE(""1-UhNsOeztW9Pb9erDsF-VyNtqmgMF6YtUafhy7MSifo"",""Бланк_заказа!F29"")"),21)</f>
        <v>21</v>
      </c>
      <c r="G29" s="23">
        <f ca="1">IFERROR(__xludf.DUMMYFUNCTION("IMPORTRANGE(""1-UhNsOeztW9Pb9erDsF-VyNtqmgMF6YtUafhy7MSifo"",""Бланк_заказа!G29"")"),120)</f>
        <v>120</v>
      </c>
      <c r="H29" s="23" t="str">
        <f ca="1">IFERROR(__xludf.DUMMYFUNCTION("IMPORTRANGE(""1-UhNsOeztW9Pb9erDsF-VyNtqmgMF6YtUafhy7MSifo"",""Бланк_заказа!H29"")")," +5+18")</f>
        <v xml:space="preserve"> +5+18</v>
      </c>
      <c r="I29" s="24">
        <f t="shared" ca="1" si="0"/>
        <v>0</v>
      </c>
    </row>
    <row r="30" spans="1:11" ht="15.6">
      <c r="A30" s="55"/>
      <c r="B30" s="33" t="s">
        <v>12</v>
      </c>
      <c r="C30" s="25" t="str">
        <f ca="1">IFERROR(__xludf.DUMMYFUNCTION("IMPORTRANGE(""1-UhNsOeztW9Pb9erDsF-VyNtqmgMF6YtUafhy7MSifo"",""Бланк_заказа!C30"")"),"Конфета Шоколад")</f>
        <v>Конфета Шоколад</v>
      </c>
      <c r="D30" s="26"/>
      <c r="E30" s="25">
        <f ca="1">IFERROR(__xludf.DUMMYFUNCTION("IMPORTRANGE(""1-UhNsOeztW9Pb9erDsF-VyNtqmgMF6YtUafhy7MSifo"",""Бланк_заказа!E30"")"),48)</f>
        <v>48</v>
      </c>
      <c r="F30" s="27">
        <f ca="1">IFERROR(__xludf.DUMMYFUNCTION("IMPORTRANGE(""1-UhNsOeztW9Pb9erDsF-VyNtqmgMF6YtUafhy7MSifo"",""Бланк_заказа!F30"")"),21)</f>
        <v>21</v>
      </c>
      <c r="G30" s="27">
        <f ca="1">IFERROR(__xludf.DUMMYFUNCTION("IMPORTRANGE(""1-UhNsOeztW9Pb9erDsF-VyNtqmgMF6YtUafhy7MSifo"",""Бланк_заказа!G30"")"),120)</f>
        <v>120</v>
      </c>
      <c r="H30" s="27" t="str">
        <f ca="1">IFERROR(__xludf.DUMMYFUNCTION("IMPORTRANGE(""1-UhNsOeztW9Pb9erDsF-VyNtqmgMF6YtUafhy7MSifo"",""Бланк_заказа!H30"")")," +5+18")</f>
        <v xml:space="preserve"> +5+18</v>
      </c>
      <c r="I30" s="28">
        <f t="shared" ca="1" si="0"/>
        <v>0</v>
      </c>
    </row>
    <row r="31" spans="1:11" ht="15.6">
      <c r="A31" s="57" t="s">
        <v>16</v>
      </c>
      <c r="B31" s="32" t="s">
        <v>12</v>
      </c>
      <c r="C31" s="21" t="str">
        <f ca="1">IFERROR(__xludf.DUMMYFUNCTION("IMPORTRANGE(""1-UhNsOeztW9Pb9erDsF-VyNtqmgMF6YtUafhy7MSifo"",""Бланк_заказа!C31"")"),"Тарталетка Голубика")</f>
        <v>Тарталетка Голубика</v>
      </c>
      <c r="D31" s="22"/>
      <c r="E31" s="21">
        <f ca="1">IFERROR(__xludf.DUMMYFUNCTION("IMPORTRANGE(""1-UhNsOeztW9Pb9erDsF-VyNtqmgMF6YtUafhy7MSifo"",""Бланк_заказа!E31"")"),150)</f>
        <v>150</v>
      </c>
      <c r="F31" s="23">
        <f ca="1">IFERROR(__xludf.DUMMYFUNCTION("IMPORTRANGE(""1-UhNsOeztW9Pb9erDsF-VyNtqmgMF6YtUafhy7MSifo"",""Бланк_заказа!F31"")"),85)</f>
        <v>85</v>
      </c>
      <c r="G31" s="23">
        <f ca="1">IFERROR(__xludf.DUMMYFUNCTION("IMPORTRANGE(""1-UhNsOeztW9Pb9erDsF-VyNtqmgMF6YtUafhy7MSifo"",""Бланк_заказа!G31"")"),24)</f>
        <v>24</v>
      </c>
      <c r="H31" s="23" t="str">
        <f ca="1">IFERROR(__xludf.DUMMYFUNCTION("IMPORTRANGE(""1-UhNsOeztW9Pb9erDsF-VyNtqmgMF6YtUafhy7MSifo"",""Бланк_заказа!H31"")")," +2+4")</f>
        <v xml:space="preserve"> +2+4</v>
      </c>
      <c r="I31" s="24">
        <f t="shared" ca="1" si="0"/>
        <v>0</v>
      </c>
    </row>
    <row r="32" spans="1:11" ht="15.6">
      <c r="A32" s="55"/>
      <c r="B32" s="32" t="s">
        <v>12</v>
      </c>
      <c r="C32" s="21" t="str">
        <f ca="1">IFERROR(__xludf.DUMMYFUNCTION("IMPORTRANGE(""1-UhNsOeztW9Pb9erDsF-VyNtqmgMF6YtUafhy7MSifo"",""Бланк_заказа!C32"")"),"Тарталетка Клубничная (Овал)")</f>
        <v>Тарталетка Клубничная (Овал)</v>
      </c>
      <c r="D32" s="22"/>
      <c r="E32" s="21">
        <f ca="1">IFERROR(__xludf.DUMMYFUNCTION("IMPORTRANGE(""1-UhNsOeztW9Pb9erDsF-VyNtqmgMF6YtUafhy7MSifo"",""Бланк_заказа!E32"")"),135)</f>
        <v>135</v>
      </c>
      <c r="F32" s="23">
        <f ca="1">IFERROR(__xludf.DUMMYFUNCTION("IMPORTRANGE(""1-UhNsOeztW9Pb9erDsF-VyNtqmgMF6YtUafhy7MSifo"",""Бланк_заказа!F32"")"),105)</f>
        <v>105</v>
      </c>
      <c r="G32" s="23">
        <f ca="1">IFERROR(__xludf.DUMMYFUNCTION("IMPORTRANGE(""1-UhNsOeztW9Pb9erDsF-VyNtqmgMF6YtUafhy7MSifo"",""Бланк_заказа!G32"")"),24)</f>
        <v>24</v>
      </c>
      <c r="H32" s="23" t="str">
        <f ca="1">IFERROR(__xludf.DUMMYFUNCTION("IMPORTRANGE(""1-UhNsOeztW9Pb9erDsF-VyNtqmgMF6YtUafhy7MSifo"",""Бланк_заказа!H32"")")," +2+4")</f>
        <v xml:space="preserve"> +2+4</v>
      </c>
      <c r="I32" s="24">
        <f t="shared" ca="1" si="0"/>
        <v>0</v>
      </c>
      <c r="K32" s="34"/>
    </row>
    <row r="33" spans="1:9" ht="15.6">
      <c r="A33" s="55"/>
      <c r="B33" s="32" t="s">
        <v>12</v>
      </c>
      <c r="C33" s="21" t="str">
        <f ca="1">IFERROR(__xludf.DUMMYFUNCTION("IMPORTRANGE(""1-UhNsOeztW9Pb9erDsF-VyNtqmgMF6YtUafhy7MSifo"",""Бланк_заказа!C33"")"),"Тарталетка с Малиновым Конфи")</f>
        <v>Тарталетка с Малиновым Конфи</v>
      </c>
      <c r="D33" s="22"/>
      <c r="E33" s="21">
        <f ca="1">IFERROR(__xludf.DUMMYFUNCTION("IMPORTRANGE(""1-UhNsOeztW9Pb9erDsF-VyNtqmgMF6YtUafhy7MSifo"",""Бланк_заказа!E33"")"),135)</f>
        <v>135</v>
      </c>
      <c r="F33" s="23">
        <f ca="1">IFERROR(__xludf.DUMMYFUNCTION("IMPORTRANGE(""1-UhNsOeztW9Pb9erDsF-VyNtqmgMF6YtUafhy7MSifo"",""Бланк_заказа!F33"")"),95)</f>
        <v>95</v>
      </c>
      <c r="G33" s="23">
        <f ca="1">IFERROR(__xludf.DUMMYFUNCTION("IMPORTRANGE(""1-UhNsOeztW9Pb9erDsF-VyNtqmgMF6YtUafhy7MSifo"",""Бланк_заказа!G33"")"),24)</f>
        <v>24</v>
      </c>
      <c r="H33" s="23" t="str">
        <f ca="1">IFERROR(__xludf.DUMMYFUNCTION("IMPORTRANGE(""1-UhNsOeztW9Pb9erDsF-VyNtqmgMF6YtUafhy7MSifo"",""Бланк_заказа!H33"")")," +2+4")</f>
        <v xml:space="preserve"> +2+4</v>
      </c>
      <c r="I33" s="24">
        <f t="shared" ca="1" si="0"/>
        <v>0</v>
      </c>
    </row>
    <row r="34" spans="1:9" ht="15.6">
      <c r="A34" s="55"/>
      <c r="B34" s="32" t="s">
        <v>12</v>
      </c>
      <c r="C34" s="21" t="str">
        <f ca="1">IFERROR(__xludf.DUMMYFUNCTION("IMPORTRANGE(""1-UhNsOeztW9Pb9erDsF-VyNtqmgMF6YtUafhy7MSifo"",""Бланк_заказа!C34"")"),"Тарталетка карамель-арахис")</f>
        <v>Тарталетка карамель-арахис</v>
      </c>
      <c r="D34" s="22"/>
      <c r="E34" s="21">
        <f ca="1">IFERROR(__xludf.DUMMYFUNCTION("IMPORTRANGE(""1-UhNsOeztW9Pb9erDsF-VyNtqmgMF6YtUafhy7MSifo"",""Бланк_заказа!E34"")"),135)</f>
        <v>135</v>
      </c>
      <c r="F34" s="23">
        <f ca="1">IFERROR(__xludf.DUMMYFUNCTION("IMPORTRANGE(""1-UhNsOeztW9Pb9erDsF-VyNtqmgMF6YtUafhy7MSifo"",""Бланк_заказа!F34"")"),95)</f>
        <v>95</v>
      </c>
      <c r="G34" s="23">
        <f ca="1">IFERROR(__xludf.DUMMYFUNCTION("IMPORTRANGE(""1-UhNsOeztW9Pb9erDsF-VyNtqmgMF6YtUafhy7MSifo"",""Бланк_заказа!G34"")"),24)</f>
        <v>24</v>
      </c>
      <c r="H34" s="23" t="str">
        <f ca="1">IFERROR(__xludf.DUMMYFUNCTION("IMPORTRANGE(""1-UhNsOeztW9Pb9erDsF-VyNtqmgMF6YtUafhy7MSifo"",""Бланк_заказа!H34"")")," +2+4")</f>
        <v xml:space="preserve"> +2+4</v>
      </c>
      <c r="I34" s="24">
        <f t="shared" ca="1" si="0"/>
        <v>0</v>
      </c>
    </row>
    <row r="35" spans="1:9" ht="15.6">
      <c r="A35" s="59" t="s">
        <v>17</v>
      </c>
      <c r="B35" s="35" t="s">
        <v>12</v>
      </c>
      <c r="C35" s="17" t="str">
        <f ca="1">IFERROR(__xludf.DUMMYFUNCTION("IMPORTRANGE(""1-UhNsOeztW9Pb9erDsF-VyNtqmgMF6YtUafhy7MSifo"",""Бланк_заказа!C35"")"),"Медовик")</f>
        <v>Медовик</v>
      </c>
      <c r="D35" s="18"/>
      <c r="E35" s="17">
        <f ca="1">IFERROR(__xludf.DUMMYFUNCTION("IMPORTRANGE(""1-UhNsOeztW9Pb9erDsF-VyNtqmgMF6YtUafhy7MSifo"",""Бланк_заказа!E35"")"),115)</f>
        <v>115</v>
      </c>
      <c r="F35" s="19">
        <f ca="1">IFERROR(__xludf.DUMMYFUNCTION("IMPORTRANGE(""1-UhNsOeztW9Pb9erDsF-VyNtqmgMF6YtUafhy7MSifo"",""Бланк_заказа!F35"")"),120)</f>
        <v>120</v>
      </c>
      <c r="G35" s="19">
        <f ca="1">IFERROR(__xludf.DUMMYFUNCTION("IMPORTRANGE(""1-UhNsOeztW9Pb9erDsF-VyNtqmgMF6YtUafhy7MSifo"",""Бланк_заказа!G35"")"),48)</f>
        <v>48</v>
      </c>
      <c r="H35" s="19" t="str">
        <f ca="1">IFERROR(__xludf.DUMMYFUNCTION("IMPORTRANGE(""1-UhNsOeztW9Pb9erDsF-VyNtqmgMF6YtUafhy7MSifo"",""Бланк_заказа!H35"")")," +2+4")</f>
        <v xml:space="preserve"> +2+4</v>
      </c>
      <c r="I35" s="20">
        <f t="shared" ca="1" si="0"/>
        <v>0</v>
      </c>
    </row>
    <row r="36" spans="1:9" ht="15.6">
      <c r="A36" s="55"/>
      <c r="B36" s="35" t="s">
        <v>12</v>
      </c>
      <c r="C36" s="21" t="str">
        <f ca="1">IFERROR(__xludf.DUMMYFUNCTION("IMPORTRANGE(""1-UhNsOeztW9Pb9erDsF-VyNtqmgMF6YtUafhy7MSifo"",""Бланк_заказа!C36"")"),"Торт Блинный")</f>
        <v>Торт Блинный</v>
      </c>
      <c r="D36" s="22"/>
      <c r="E36" s="21">
        <f ca="1">IFERROR(__xludf.DUMMYFUNCTION("IMPORTRANGE(""1-UhNsOeztW9Pb9erDsF-VyNtqmgMF6YtUafhy7MSifo"",""Бланк_заказа!E36"")"),138)</f>
        <v>138</v>
      </c>
      <c r="F36" s="23">
        <f ca="1">IFERROR(__xludf.DUMMYFUNCTION("IMPORTRANGE(""1-UhNsOeztW9Pb9erDsF-VyNtqmgMF6YtUafhy7MSifo"",""Бланк_заказа!F36"")"),135)</f>
        <v>135</v>
      </c>
      <c r="G36" s="23">
        <f ca="1">IFERROR(__xludf.DUMMYFUNCTION("IMPORTRANGE(""1-UhNsOeztW9Pb9erDsF-VyNtqmgMF6YtUafhy7MSifo"",""Бланк_заказа!G36"")"),48)</f>
        <v>48</v>
      </c>
      <c r="H36" s="23" t="str">
        <f ca="1">IFERROR(__xludf.DUMMYFUNCTION("IMPORTRANGE(""1-UhNsOeztW9Pb9erDsF-VyNtqmgMF6YtUafhy7MSifo"",""Бланк_заказа!H36"")")," +2+4")</f>
        <v xml:space="preserve"> +2+4</v>
      </c>
      <c r="I36" s="24">
        <f t="shared" ca="1" si="0"/>
        <v>0</v>
      </c>
    </row>
    <row r="37" spans="1:9" ht="15.6">
      <c r="A37" s="55"/>
      <c r="B37" s="35" t="s">
        <v>12</v>
      </c>
      <c r="C37" s="21" t="str">
        <f ca="1">IFERROR(__xludf.DUMMYFUNCTION("IMPORTRANGE(""1-UhNsOeztW9Pb9erDsF-VyNtqmgMF6YtUafhy7MSifo"",""Бланк_заказа!C37"")"),"Торт Брауни Крем-чиз орех")</f>
        <v>Торт Брауни Крем-чиз орех</v>
      </c>
      <c r="D37" s="22"/>
      <c r="E37" s="21">
        <f ca="1">IFERROR(__xludf.DUMMYFUNCTION("IMPORTRANGE(""1-UhNsOeztW9Pb9erDsF-VyNtqmgMF6YtUafhy7MSifo"",""Бланк_заказа!E37"")"),135)</f>
        <v>135</v>
      </c>
      <c r="F37" s="23">
        <f ca="1">IFERROR(__xludf.DUMMYFUNCTION("IMPORTRANGE(""1-UhNsOeztW9Pb9erDsF-VyNtqmgMF6YtUafhy7MSifo"",""Бланк_заказа!F37"")"),120)</f>
        <v>120</v>
      </c>
      <c r="G37" s="23">
        <f ca="1">IFERROR(__xludf.DUMMYFUNCTION("IMPORTRANGE(""1-UhNsOeztW9Pb9erDsF-VyNtqmgMF6YtUafhy7MSifo"",""Бланк_заказа!G37"")"),48)</f>
        <v>48</v>
      </c>
      <c r="H37" s="23" t="str">
        <f ca="1">IFERROR(__xludf.DUMMYFUNCTION("IMPORTRANGE(""1-UhNsOeztW9Pb9erDsF-VyNtqmgMF6YtUafhy7MSifo"",""Бланк_заказа!H37"")")," +2+4")</f>
        <v xml:space="preserve"> +2+4</v>
      </c>
      <c r="I37" s="24">
        <f t="shared" ca="1" si="0"/>
        <v>0</v>
      </c>
    </row>
    <row r="38" spans="1:9" ht="15.6">
      <c r="A38" s="55"/>
      <c r="B38" s="35" t="s">
        <v>12</v>
      </c>
      <c r="C38" s="25" t="str">
        <f ca="1">IFERROR(__xludf.DUMMYFUNCTION("IMPORTRANGE(""1-UhNsOeztW9Pb9erDsF-VyNtqmgMF6YtUafhy7MSifo"",""Бланк_заказа!C38"")"),"Чизкейк Классик")</f>
        <v>Чизкейк Классик</v>
      </c>
      <c r="D38" s="26"/>
      <c r="E38" s="25">
        <f ca="1">IFERROR(__xludf.DUMMYFUNCTION("IMPORTRANGE(""1-UhNsOeztW9Pb9erDsF-VyNtqmgMF6YtUafhy7MSifo"",""Бланк_заказа!E38"")"),130)</f>
        <v>130</v>
      </c>
      <c r="F38" s="27">
        <f ca="1">IFERROR(__xludf.DUMMYFUNCTION("IMPORTRANGE(""1-UhNsOeztW9Pb9erDsF-VyNtqmgMF6YtUafhy7MSifo"",""Бланк_заказа!F38"")"),104)</f>
        <v>104</v>
      </c>
      <c r="G38" s="27">
        <f ca="1">IFERROR(__xludf.DUMMYFUNCTION("IMPORTRANGE(""1-UhNsOeztW9Pb9erDsF-VyNtqmgMF6YtUafhy7MSifo"",""Бланк_заказа!G38"")"),48)</f>
        <v>48</v>
      </c>
      <c r="H38" s="27" t="str">
        <f ca="1">IFERROR(__xludf.DUMMYFUNCTION("IMPORTRANGE(""1-UhNsOeztW9Pb9erDsF-VyNtqmgMF6YtUafhy7MSifo"",""Бланк_заказа!H38"")")," +2+4")</f>
        <v xml:space="preserve"> +2+4</v>
      </c>
      <c r="I38" s="28">
        <f t="shared" ca="1" si="0"/>
        <v>0</v>
      </c>
    </row>
    <row r="39" spans="1:9" ht="15.6">
      <c r="A39" s="54" t="s">
        <v>18</v>
      </c>
      <c r="B39" s="36" t="s">
        <v>12</v>
      </c>
      <c r="C39" s="21" t="str">
        <f ca="1">IFERROR(__xludf.DUMMYFUNCTION("IMPORTRANGE(""1-UhNsOeztW9Pb9erDsF-VyNtqmgMF6YtUafhy7MSifo"",""Бланк_заказа!C39"")"),"Эклер mini Малина-Фисташка")</f>
        <v>Эклер mini Малина-Фисташка</v>
      </c>
      <c r="D39" s="37"/>
      <c r="E39" s="21">
        <f ca="1">IFERROR(__xludf.DUMMYFUNCTION("IMPORTRANGE(""1-UhNsOeztW9Pb9erDsF-VyNtqmgMF6YtUafhy7MSifo"",""Бланк_заказа!E39"")"),95)</f>
        <v>95</v>
      </c>
      <c r="F39" s="23">
        <f ca="1">IFERROR(__xludf.DUMMYFUNCTION("IMPORTRANGE(""1-UhNsOeztW9Pb9erDsF-VyNtqmgMF6YtUafhy7MSifo"",""Бланк_заказа!F39"")"),75)</f>
        <v>75</v>
      </c>
      <c r="G39" s="23">
        <f ca="1">IFERROR(__xludf.DUMMYFUNCTION("IMPORTRANGE(""1-UhNsOeztW9Pb9erDsF-VyNtqmgMF6YtUafhy7MSifo"",""Бланк_заказа!G39"")"),36)</f>
        <v>36</v>
      </c>
      <c r="H39" s="23" t="str">
        <f ca="1">IFERROR(__xludf.DUMMYFUNCTION("IMPORTRANGE(""1-UhNsOeztW9Pb9erDsF-VyNtqmgMF6YtUafhy7MSifo"",""Бланк_заказа!H39"")")," +2+4")</f>
        <v xml:space="preserve"> +2+4</v>
      </c>
      <c r="I39" s="24">
        <f t="shared" ca="1" si="0"/>
        <v>0</v>
      </c>
    </row>
    <row r="40" spans="1:9" ht="15.6">
      <c r="A40" s="55"/>
      <c r="B40" s="36" t="s">
        <v>12</v>
      </c>
      <c r="C40" s="21" t="str">
        <f ca="1">IFERROR(__xludf.DUMMYFUNCTION("IMPORTRANGE(""1-UhNsOeztW9Pb9erDsF-VyNtqmgMF6YtUafhy7MSifo"",""Бланк_заказа!C40"")"),"Эклер mini с Клубникой")</f>
        <v>Эклер mini с Клубникой</v>
      </c>
      <c r="D40" s="37"/>
      <c r="E40" s="21">
        <f ca="1">IFERROR(__xludf.DUMMYFUNCTION("IMPORTRANGE(""1-UhNsOeztW9Pb9erDsF-VyNtqmgMF6YtUafhy7MSifo"",""Бланк_заказа!E40"")"),95)</f>
        <v>95</v>
      </c>
      <c r="F40" s="23">
        <f ca="1">IFERROR(__xludf.DUMMYFUNCTION("IMPORTRANGE(""1-UhNsOeztW9Pb9erDsF-VyNtqmgMF6YtUafhy7MSifo"",""Бланк_заказа!F40"")"),75)</f>
        <v>75</v>
      </c>
      <c r="G40" s="23">
        <f ca="1">IFERROR(__xludf.DUMMYFUNCTION("IMPORTRANGE(""1-UhNsOeztW9Pb9erDsF-VyNtqmgMF6YtUafhy7MSifo"",""Бланк_заказа!G40"")"),36)</f>
        <v>36</v>
      </c>
      <c r="H40" s="23" t="str">
        <f ca="1">IFERROR(__xludf.DUMMYFUNCTION("IMPORTRANGE(""1-UhNsOeztW9Pb9erDsF-VyNtqmgMF6YtUafhy7MSifo"",""Бланк_заказа!H40"")")," +2+4")</f>
        <v xml:space="preserve"> +2+4</v>
      </c>
      <c r="I40" s="24">
        <f t="shared" ca="1" si="0"/>
        <v>0</v>
      </c>
    </row>
    <row r="41" spans="1:9" ht="15.6">
      <c r="A41" s="55"/>
      <c r="B41" s="36" t="s">
        <v>12</v>
      </c>
      <c r="C41" s="21" t="str">
        <f ca="1">IFERROR(__xludf.DUMMYFUNCTION("IMPORTRANGE(""1-UhNsOeztW9Pb9erDsF-VyNtqmgMF6YtUafhy7MSifo"",""Бланк_заказа!C41"")"),"Эклер mini с Ванильным кремом")</f>
        <v>Эклер mini с Ванильным кремом</v>
      </c>
      <c r="D41" s="37"/>
      <c r="E41" s="21">
        <f ca="1">IFERROR(__xludf.DUMMYFUNCTION("IMPORTRANGE(""1-UhNsOeztW9Pb9erDsF-VyNtqmgMF6YtUafhy7MSifo"",""Бланк_заказа!E41"")"),95)</f>
        <v>95</v>
      </c>
      <c r="F41" s="23">
        <f ca="1">IFERROR(__xludf.DUMMYFUNCTION("IMPORTRANGE(""1-UhNsOeztW9Pb9erDsF-VyNtqmgMF6YtUafhy7MSifo"",""Бланк_заказа!F41"")"),70)</f>
        <v>70</v>
      </c>
      <c r="G41" s="23">
        <f ca="1">IFERROR(__xludf.DUMMYFUNCTION("IMPORTRANGE(""1-UhNsOeztW9Pb9erDsF-VyNtqmgMF6YtUafhy7MSifo"",""Бланк_заказа!G41"")"),36)</f>
        <v>36</v>
      </c>
      <c r="H41" s="23" t="str">
        <f ca="1">IFERROR(__xludf.DUMMYFUNCTION("IMPORTRANGE(""1-UhNsOeztW9Pb9erDsF-VyNtqmgMF6YtUafhy7MSifo"",""Бланк_заказа!H41"")")," +2+4")</f>
        <v xml:space="preserve"> +2+4</v>
      </c>
      <c r="I41" s="24">
        <f t="shared" ca="1" si="0"/>
        <v>0</v>
      </c>
    </row>
    <row r="42" spans="1:9" ht="15.6">
      <c r="A42" s="55"/>
      <c r="B42" s="36" t="s">
        <v>12</v>
      </c>
      <c r="C42" s="21" t="str">
        <f ca="1">IFERROR(__xludf.DUMMYFUNCTION("IMPORTRANGE(""1-UhNsOeztW9Pb9erDsF-VyNtqmgMF6YtUafhy7MSifo"",""Бланк_заказа!C42"")"),"Эклер mini с Бананом")</f>
        <v>Эклер mini с Бананом</v>
      </c>
      <c r="D42" s="37"/>
      <c r="E42" s="21">
        <f ca="1">IFERROR(__xludf.DUMMYFUNCTION("IMPORTRANGE(""1-UhNsOeztW9Pb9erDsF-VyNtqmgMF6YtUafhy7MSifo"",""Бланк_заказа!E42"")"),95)</f>
        <v>95</v>
      </c>
      <c r="F42" s="23">
        <f ca="1">IFERROR(__xludf.DUMMYFUNCTION("IMPORTRANGE(""1-UhNsOeztW9Pb9erDsF-VyNtqmgMF6YtUafhy7MSifo"",""Бланк_заказа!F42"")"),70)</f>
        <v>70</v>
      </c>
      <c r="G42" s="23">
        <f ca="1">IFERROR(__xludf.DUMMYFUNCTION("IMPORTRANGE(""1-UhNsOeztW9Pb9erDsF-VyNtqmgMF6YtUafhy7MSifo"",""Бланк_заказа!G42"")"),36)</f>
        <v>36</v>
      </c>
      <c r="H42" s="23" t="str">
        <f ca="1">IFERROR(__xludf.DUMMYFUNCTION("IMPORTRANGE(""1-UhNsOeztW9Pb9erDsF-VyNtqmgMF6YtUafhy7MSifo"",""Бланк_заказа!H42"")")," +2+4")</f>
        <v xml:space="preserve"> +2+4</v>
      </c>
      <c r="I42" s="24">
        <f t="shared" ca="1" si="0"/>
        <v>0</v>
      </c>
    </row>
    <row r="43" spans="1:9" ht="15.6">
      <c r="A43" s="55"/>
      <c r="B43" s="36" t="s">
        <v>12</v>
      </c>
      <c r="C43" s="21" t="str">
        <f ca="1">IFERROR(__xludf.DUMMYFUNCTION("IMPORTRANGE(""1-UhNsOeztW9Pb9erDsF-VyNtqmgMF6YtUafhy7MSifo"",""Бланк_заказа!C43"")"),"Эклер mini Манго-Маракуйя")</f>
        <v>Эклер mini Манго-Маракуйя</v>
      </c>
      <c r="D43" s="37"/>
      <c r="E43" s="21">
        <f ca="1">IFERROR(__xludf.DUMMYFUNCTION("IMPORTRANGE(""1-UhNsOeztW9Pb9erDsF-VyNtqmgMF6YtUafhy7MSifo"",""Бланк_заказа!E43"")"),95)</f>
        <v>95</v>
      </c>
      <c r="F43" s="23">
        <f ca="1">IFERROR(__xludf.DUMMYFUNCTION("IMPORTRANGE(""1-UhNsOeztW9Pb9erDsF-VyNtqmgMF6YtUafhy7MSifo"",""Бланк_заказа!F43"")"),70)</f>
        <v>70</v>
      </c>
      <c r="G43" s="23">
        <f ca="1">IFERROR(__xludf.DUMMYFUNCTION("IMPORTRANGE(""1-UhNsOeztW9Pb9erDsF-VyNtqmgMF6YtUafhy7MSifo"",""Бланк_заказа!G43"")"),36)</f>
        <v>36</v>
      </c>
      <c r="H43" s="23" t="str">
        <f ca="1">IFERROR(__xludf.DUMMYFUNCTION("IMPORTRANGE(""1-UhNsOeztW9Pb9erDsF-VyNtqmgMF6YtUafhy7MSifo"",""Бланк_заказа!H43"")")," +2+4")</f>
        <v xml:space="preserve"> +2+4</v>
      </c>
      <c r="I43" s="24">
        <f t="shared" ca="1" si="0"/>
        <v>0</v>
      </c>
    </row>
    <row r="44" spans="1:9" ht="15.6">
      <c r="A44" s="1"/>
      <c r="B44" s="36" t="s">
        <v>12</v>
      </c>
      <c r="C44" s="21" t="str">
        <f ca="1">IFERROR(__xludf.DUMMYFUNCTION("IMPORTRANGE(""1-UhNsOeztW9Pb9erDsF-VyNtqmgMF6YtUafhy7MSifo"",""Бланк_заказа!C44"")"),"Эклер mini с Черникой")</f>
        <v>Эклер mini с Черникой</v>
      </c>
      <c r="D44" s="37"/>
      <c r="E44" s="21">
        <f ca="1">IFERROR(__xludf.DUMMYFUNCTION("IMPORTRANGE(""1-UhNsOeztW9Pb9erDsF-VyNtqmgMF6YtUafhy7MSifo"",""Бланк_заказа!E44"")"),95)</f>
        <v>95</v>
      </c>
      <c r="F44" s="23">
        <f ca="1">IFERROR(__xludf.DUMMYFUNCTION("IMPORTRANGE(""1-UhNsOeztW9Pb9erDsF-VyNtqmgMF6YtUafhy7MSifo"",""Бланк_заказа!F44"")"),70)</f>
        <v>70</v>
      </c>
      <c r="G44" s="23">
        <f ca="1">IFERROR(__xludf.DUMMYFUNCTION("IMPORTRANGE(""1-UhNsOeztW9Pb9erDsF-VyNtqmgMF6YtUafhy7MSifo"",""Бланк_заказа!G5"")"),72)</f>
        <v>72</v>
      </c>
      <c r="H44" s="23" t="str">
        <f ca="1">IFERROR(__xludf.DUMMYFUNCTION("IMPORTRANGE(""1-UhNsOeztW9Pb9erDsF-VyNtqmgMF6YtUafhy7MSifo"",""Бланк_заказа!H44"")")," +2+4")</f>
        <v xml:space="preserve"> +2+4</v>
      </c>
      <c r="I44" s="24">
        <f t="shared" ca="1" si="0"/>
        <v>0</v>
      </c>
    </row>
    <row r="45" spans="1:9" ht="15.6">
      <c r="A45" s="1"/>
      <c r="B45" s="36" t="s">
        <v>12</v>
      </c>
      <c r="C45" s="21" t="str">
        <f ca="1">IFERROR(__xludf.DUMMYFUNCTION("IMPORTRANGE(""1-UhNsOeztW9Pb9erDsF-VyNtqmgMF6YtUafhy7MSifo"",""Бланк_заказа!C45"")"),"Эклер mini с Шоколадным кремом")</f>
        <v>Эклер mini с Шоколадным кремом</v>
      </c>
      <c r="D45" s="37"/>
      <c r="E45" s="21">
        <f ca="1">IFERROR(__xludf.DUMMYFUNCTION("IMPORTRANGE(""1-UhNsOeztW9Pb9erDsF-VyNtqmgMF6YtUafhy7MSifo"",""Бланк_заказа!E45"")"),95)</f>
        <v>95</v>
      </c>
      <c r="F45" s="23">
        <f ca="1">IFERROR(__xludf.DUMMYFUNCTION("IMPORTRANGE(""1-UhNsOeztW9Pb9erDsF-VyNtqmgMF6YtUafhy7MSifo"",""Бланк_заказа!F45"")"),75)</f>
        <v>75</v>
      </c>
      <c r="G45" s="23">
        <f ca="1">IFERROR(__xludf.DUMMYFUNCTION("IMPORTRANGE(""1-UhNsOeztW9Pb9erDsF-VyNtqmgMF6YtUafhy7MSifo"",""Бланк_заказа!G45"")"),36)</f>
        <v>36</v>
      </c>
      <c r="H45" s="23" t="str">
        <f ca="1">IFERROR(__xludf.DUMMYFUNCTION("IMPORTRANGE(""1-UhNsOeztW9Pb9erDsF-VyNtqmgMF6YtUafhy7MSifo"",""Бланк_заказа!H45"")")," +2+4")</f>
        <v xml:space="preserve"> +2+4</v>
      </c>
      <c r="I45" s="24">
        <f t="shared" ca="1" si="0"/>
        <v>0</v>
      </c>
    </row>
    <row r="46" spans="1:9" ht="18">
      <c r="A46" s="1"/>
      <c r="B46" s="14"/>
      <c r="C46" s="11" t="s">
        <v>19</v>
      </c>
      <c r="D46" s="12" t="s">
        <v>10</v>
      </c>
      <c r="E46" s="13"/>
      <c r="F46" s="14"/>
      <c r="G46" s="14"/>
      <c r="H46" s="14"/>
      <c r="I46" s="15"/>
    </row>
    <row r="47" spans="1:9" ht="15.6">
      <c r="A47" s="54" t="s">
        <v>20</v>
      </c>
      <c r="B47" s="16" t="s">
        <v>21</v>
      </c>
      <c r="C47" s="17" t="str">
        <f ca="1">IFERROR(__xludf.DUMMYFUNCTION("IMPORTRANGE(""1-UhNsOeztW9Pb9erDsF-VyNtqmgMF6YtUafhy7MSifo"",""Бланк_заказа!C52"")"),"Блинчики с Лососем и творожным сыром")</f>
        <v>Блинчики с Лососем и творожным сыром</v>
      </c>
      <c r="D47" s="39"/>
      <c r="E47" s="17">
        <f ca="1">IFERROR(__xludf.DUMMYFUNCTION("IMPORTRANGE(""1-UhNsOeztW9Pb9erDsF-VyNtqmgMF6YtUafhy7MSifo"",""Бланк_заказа!E52"")"),220)</f>
        <v>220</v>
      </c>
      <c r="F47" s="19">
        <f ca="1">IFERROR(__xludf.DUMMYFUNCTION("IMPORTRANGE(""1-UhNsOeztW9Pb9erDsF-VyNtqmgMF6YtUafhy7MSifo"",""Бланк_заказа!F52"")"),180)</f>
        <v>180</v>
      </c>
      <c r="G47" s="19">
        <f ca="1">IFERROR(__xludf.DUMMYFUNCTION("IMPORTRANGE(""1-UhNsOeztW9Pb9erDsF-VyNtqmgMF6YtUafhy7MSifo"",""Бланк_заказа!G5"")"),72)</f>
        <v>72</v>
      </c>
      <c r="H47" s="19" t="str">
        <f ca="1">IFERROR(__xludf.DUMMYFUNCTION("IMPORTRANGE(""1-UhNsOeztW9Pb9erDsF-VyNtqmgMF6YtUafhy7MSifo"",""Бланк_заказа!H52"")")," +4+6")</f>
        <v xml:space="preserve"> +4+6</v>
      </c>
      <c r="I47" s="20">
        <f t="shared" ref="I47:I82" ca="1" si="1">E47*D47</f>
        <v>0</v>
      </c>
    </row>
    <row r="48" spans="1:9" ht="15.6">
      <c r="A48" s="55"/>
      <c r="B48" s="16" t="s">
        <v>21</v>
      </c>
      <c r="C48" s="21" t="str">
        <f ca="1">IFERROR(__xludf.DUMMYFUNCTION("IMPORTRANGE(""1-UhNsOeztW9Pb9erDsF-VyNtqmgMF6YtUafhy7MSifo"",""Бланк_заказа!C53"")"),"Блинчики с грибным жюльеном и курицей")</f>
        <v>Блинчики с грибным жюльеном и курицей</v>
      </c>
      <c r="D48" s="40"/>
      <c r="E48" s="21">
        <f ca="1">IFERROR(__xludf.DUMMYFUNCTION("IMPORTRANGE(""1-UhNsOeztW9Pb9erDsF-VyNtqmgMF6YtUafhy7MSifo"",""Бланк_заказа!E53"")"),185)</f>
        <v>185</v>
      </c>
      <c r="F48" s="23">
        <f ca="1">IFERROR(__xludf.DUMMYFUNCTION("IMPORTRANGE(""1-UhNsOeztW9Pb9erDsF-VyNtqmgMF6YtUafhy7MSifo"",""Бланк_заказа!F53"")"),220)</f>
        <v>220</v>
      </c>
      <c r="G48" s="23">
        <f ca="1">IFERROR(__xludf.DUMMYFUNCTION("IMPORTRANGE(""1-UhNsOeztW9Pb9erDsF-VyNtqmgMF6YtUafhy7MSifo"",""Бланк_заказа!G53"")"),36)</f>
        <v>36</v>
      </c>
      <c r="H48" s="23" t="str">
        <f ca="1">IFERROR(__xludf.DUMMYFUNCTION("IMPORTRANGE(""1-UhNsOeztW9Pb9erDsF-VyNtqmgMF6YtUafhy7MSifo"",""Бланк_заказа!H53"")")," +2+6")</f>
        <v xml:space="preserve"> +2+6</v>
      </c>
      <c r="I48" s="24">
        <f t="shared" ca="1" si="1"/>
        <v>0</v>
      </c>
    </row>
    <row r="49" spans="1:9" ht="15.6">
      <c r="A49" s="55"/>
      <c r="B49" s="16" t="s">
        <v>21</v>
      </c>
      <c r="C49" s="21" t="str">
        <f ca="1">IFERROR(__xludf.DUMMYFUNCTION("IMPORTRANGE(""1-UhNsOeztW9Pb9erDsF-VyNtqmgMF6YtUafhy7MSifo"",""Бланк_заказа!C54"")"),"Блинчики с творогом")</f>
        <v>Блинчики с творогом</v>
      </c>
      <c r="D49" s="40"/>
      <c r="E49" s="21">
        <f ca="1">IFERROR(__xludf.DUMMYFUNCTION("IMPORTRANGE(""1-UhNsOeztW9Pb9erDsF-VyNtqmgMF6YtUafhy7MSifo"",""Бланк_заказа!E54"")"),130)</f>
        <v>130</v>
      </c>
      <c r="F49" s="23">
        <f ca="1">IFERROR(__xludf.DUMMYFUNCTION("IMPORTRANGE(""1-UhNsOeztW9Pb9erDsF-VyNtqmgMF6YtUafhy7MSifo"",""Бланк_заказа!F54"")"),230)</f>
        <v>230</v>
      </c>
      <c r="G49" s="23">
        <f ca="1">IFERROR(__xludf.DUMMYFUNCTION("IMPORTRANGE(""1-UhNsOeztW9Pb9erDsF-VyNtqmgMF6YtUafhy7MSifo"",""Бланк_заказа!G54"")"),48)</f>
        <v>48</v>
      </c>
      <c r="H49" s="23" t="str">
        <f ca="1">IFERROR(__xludf.DUMMYFUNCTION("IMPORTRANGE(""1-UhNsOeztW9Pb9erDsF-VyNtqmgMF6YtUafhy7MSifo"",""Бланк_заказа!H54"")")," +4+6")</f>
        <v xml:space="preserve"> +4+6</v>
      </c>
      <c r="I49" s="24">
        <f t="shared" ca="1" si="1"/>
        <v>0</v>
      </c>
    </row>
    <row r="50" spans="1:9" ht="15.6">
      <c r="A50" s="55"/>
      <c r="B50" s="36" t="s">
        <v>21</v>
      </c>
      <c r="C50" s="21" t="str">
        <f ca="1">IFERROR(__xludf.DUMMYFUNCTION("IMPORTRANGE(""1-UhNsOeztW9Pb9erDsF-VyNtqmgMF6YtUafhy7MSifo"",""Бланк_заказа!C55"")"),"Омлет с Моцарелла и соусом Песто")</f>
        <v>Омлет с Моцарелла и соусом Песто</v>
      </c>
      <c r="D50" s="37"/>
      <c r="E50" s="21">
        <f ca="1">IFERROR(__xludf.DUMMYFUNCTION("IMPORTRANGE(""1-UhNsOeztW9Pb9erDsF-VyNtqmgMF6YtUafhy7MSifo"",""Бланк_заказа!E55"")"),160)</f>
        <v>160</v>
      </c>
      <c r="F50" s="23">
        <f ca="1">IFERROR(__xludf.DUMMYFUNCTION("IMPORTRANGE(""1-UhNsOeztW9Pb9erDsF-VyNtqmgMF6YtUafhy7MSifo"",""Бланк_заказа!F55"")"),195)</f>
        <v>195</v>
      </c>
      <c r="G50" s="23">
        <f ca="1">IFERROR(__xludf.DUMMYFUNCTION("IMPORTRANGE(""1-UhNsOeztW9Pb9erDsF-VyNtqmgMF6YtUafhy7MSifo"",""Бланк_заказа!G55"")"),36)</f>
        <v>36</v>
      </c>
      <c r="H50" s="23" t="str">
        <f ca="1">IFERROR(__xludf.DUMMYFUNCTION("IMPORTRANGE(""1-UhNsOeztW9Pb9erDsF-VyNtqmgMF6YtUafhy7MSifo"",""Бланк_заказа!H55"")")," +4+6")</f>
        <v xml:space="preserve"> +4+6</v>
      </c>
      <c r="I50" s="24">
        <f t="shared" ca="1" si="1"/>
        <v>0</v>
      </c>
    </row>
    <row r="51" spans="1:9" ht="15.6">
      <c r="A51" s="55"/>
      <c r="B51" s="16" t="s">
        <v>21</v>
      </c>
      <c r="C51" s="21" t="str">
        <f ca="1">IFERROR(__xludf.DUMMYFUNCTION("IMPORTRANGE(""1-UhNsOeztW9Pb9erDsF-VyNtqmgMF6YtUafhy7MSifo"",""Бланк_заказа!C56"")"),"Овсяная каша без глютена с голубикой и клубникой")</f>
        <v>Овсяная каша без глютена с голубикой и клубникой</v>
      </c>
      <c r="D51" s="22"/>
      <c r="E51" s="21">
        <f ca="1">IFERROR(__xludf.DUMMYFUNCTION("IMPORTRANGE(""1-UhNsOeztW9Pb9erDsF-VyNtqmgMF6YtUafhy7MSifo"",""Бланк_заказа!E56"")"),135)</f>
        <v>135</v>
      </c>
      <c r="F51" s="23">
        <f ca="1">IFERROR(__xludf.DUMMYFUNCTION("IMPORTRANGE(""1-UhNsOeztW9Pb9erDsF-VyNtqmgMF6YtUafhy7MSifo"",""Бланк_заказа!F56"")"),206)</f>
        <v>206</v>
      </c>
      <c r="G51" s="23">
        <f ca="1">IFERROR(__xludf.DUMMYFUNCTION("IMPORTRANGE(""1-UhNsOeztW9Pb9erDsF-VyNtqmgMF6YtUafhy7MSifo"",""Бланк_заказа!G56"")"),48)</f>
        <v>48</v>
      </c>
      <c r="H51" s="23" t="str">
        <f ca="1">IFERROR(__xludf.DUMMYFUNCTION("IMPORTRANGE(""1-UhNsOeztW9Pb9erDsF-VyNtqmgMF6YtUafhy7MSifo"",""Бланк_заказа!H56"")")," +4+6")</f>
        <v xml:space="preserve"> +4+6</v>
      </c>
      <c r="I51" s="24">
        <f t="shared" ca="1" si="1"/>
        <v>0</v>
      </c>
    </row>
    <row r="52" spans="1:9" ht="15.6">
      <c r="A52" s="55"/>
      <c r="B52" s="16" t="s">
        <v>21</v>
      </c>
      <c r="C52" s="21" t="str">
        <f ca="1">IFERROR(__xludf.DUMMYFUNCTION("IMPORTRANGE(""1-UhNsOeztW9Pb9erDsF-VyNtqmgMF6YtUafhy7MSifo"",""Бланк_заказа!C57"")"),"Овсяная каша без глютена с карамелизированным яблоком")</f>
        <v>Овсяная каша без глютена с карамелизированным яблоком</v>
      </c>
      <c r="D52" s="22"/>
      <c r="E52" s="21">
        <f ca="1">IFERROR(__xludf.DUMMYFUNCTION("IMPORTRANGE(""1-UhNsOeztW9Pb9erDsF-VyNtqmgMF6YtUafhy7MSifo"",""Бланк_заказа!E57"")"),120)</f>
        <v>120</v>
      </c>
      <c r="F52" s="23">
        <f ca="1">IFERROR(__xludf.DUMMYFUNCTION("IMPORTRANGE(""1-UhNsOeztW9Pb9erDsF-VyNtqmgMF6YtUafhy7MSifo"",""Бланк_заказа!F57"")"),225)</f>
        <v>225</v>
      </c>
      <c r="G52" s="23">
        <f ca="1">IFERROR(__xludf.DUMMYFUNCTION("IMPORTRANGE(""1-UhNsOeztW9Pb9erDsF-VyNtqmgMF6YtUafhy7MSifo"",""Бланк_заказа!G57"")"),48)</f>
        <v>48</v>
      </c>
      <c r="H52" s="23" t="str">
        <f ca="1">IFERROR(__xludf.DUMMYFUNCTION("IMPORTRANGE(""1-UhNsOeztW9Pb9erDsF-VyNtqmgMF6YtUafhy7MSifo"",""Бланк_заказа!H57"")")," +4+6")</f>
        <v xml:space="preserve"> +4+6</v>
      </c>
      <c r="I52" s="24">
        <f t="shared" ca="1" si="1"/>
        <v>0</v>
      </c>
    </row>
    <row r="53" spans="1:9" ht="15.6">
      <c r="A53" s="55"/>
      <c r="B53" s="36" t="s">
        <v>21</v>
      </c>
      <c r="C53" s="21" t="str">
        <f ca="1">IFERROR(__xludf.DUMMYFUNCTION("IMPORTRANGE(""1-UhNsOeztW9Pb9erDsF-VyNtqmgMF6YtUafhy7MSifo"",""Бланк_заказа!C58"")"),"Каша рисовая на кокосовом молоке")</f>
        <v>Каша рисовая на кокосовом молоке</v>
      </c>
      <c r="D53" s="37"/>
      <c r="E53" s="21">
        <f ca="1">IFERROR(__xludf.DUMMYFUNCTION("IMPORTRANGE(""1-UhNsOeztW9Pb9erDsF-VyNtqmgMF6YtUafhy7MSifo"",""Бланк_заказа!E58"")"),150)</f>
        <v>150</v>
      </c>
      <c r="F53" s="23">
        <f ca="1">IFERROR(__xludf.DUMMYFUNCTION("IMPORTRANGE(""1-UhNsOeztW9Pb9erDsF-VyNtqmgMF6YtUafhy7MSifo"",""Бланк_заказа!F58"")"),220)</f>
        <v>220</v>
      </c>
      <c r="G53" s="23">
        <f ca="1">IFERROR(__xludf.DUMMYFUNCTION("IMPORTRANGE(""1-UhNsOeztW9Pb9erDsF-VyNtqmgMF6YtUafhy7MSifo"",""Бланк_заказа!G58"")"),48)</f>
        <v>48</v>
      </c>
      <c r="H53" s="23" t="str">
        <f ca="1">IFERROR(__xludf.DUMMYFUNCTION("IMPORTRANGE(""1-UhNsOeztW9Pb9erDsF-VyNtqmgMF6YtUafhy7MSifo"",""Бланк_заказа!H58"")")," +2+4")</f>
        <v xml:space="preserve"> +2+4</v>
      </c>
      <c r="I53" s="24">
        <f t="shared" ca="1" si="1"/>
        <v>0</v>
      </c>
    </row>
    <row r="54" spans="1:9" ht="15.6">
      <c r="A54" s="55"/>
      <c r="B54" s="16" t="s">
        <v>21</v>
      </c>
      <c r="C54" s="21" t="str">
        <f ca="1">IFERROR(__xludf.DUMMYFUNCTION("IMPORTRANGE(""1-UhNsOeztW9Pb9erDsF-VyNtqmgMF6YtUafhy7MSifo"",""Бланк_заказа!C59"")"),"Сырники 2шт. Варенье, сметана")</f>
        <v>Сырники 2шт. Варенье, сметана</v>
      </c>
      <c r="D54" s="22"/>
      <c r="E54" s="21">
        <f ca="1">IFERROR(__xludf.DUMMYFUNCTION("IMPORTRANGE(""1-UhNsOeztW9Pb9erDsF-VyNtqmgMF6YtUafhy7MSifo"",""Бланк_заказа!E59"")"),130)</f>
        <v>130</v>
      </c>
      <c r="F54" s="23">
        <f ca="1">IFERROR(__xludf.DUMMYFUNCTION("IMPORTRANGE(""1-UhNsOeztW9Pb9erDsF-VyNtqmgMF6YtUafhy7MSifo"",""Бланк_заказа!F59"")"),180)</f>
        <v>180</v>
      </c>
      <c r="G54" s="23">
        <f ca="1">IFERROR(__xludf.DUMMYFUNCTION("IMPORTRANGE(""1-UhNsOeztW9Pb9erDsF-VyNtqmgMF6YtUafhy7MSifo"",""Бланк_заказа!G59"")"),48)</f>
        <v>48</v>
      </c>
      <c r="H54" s="23" t="str">
        <f ca="1">IFERROR(__xludf.DUMMYFUNCTION("IMPORTRANGE(""1-UhNsOeztW9Pb9erDsF-VyNtqmgMF6YtUafhy7MSifo"",""Бланк_заказа!H59"")")," +4+6")</f>
        <v xml:space="preserve"> +4+6</v>
      </c>
      <c r="I54" s="24">
        <f t="shared" ca="1" si="1"/>
        <v>0</v>
      </c>
    </row>
    <row r="55" spans="1:9" ht="15.6">
      <c r="A55" s="55"/>
      <c r="B55" s="16" t="s">
        <v>21</v>
      </c>
      <c r="C55" s="21" t="str">
        <f ca="1">IFERROR(__xludf.DUMMYFUNCTION("IMPORTRANGE(""1-UhNsOeztW9Pb9erDsF-VyNtqmgMF6YtUafhy7MSifo"",""Бланк_заказа!C60"")"),"Сырники 3шт. Варенье, сметана")</f>
        <v>Сырники 3шт. Варенье, сметана</v>
      </c>
      <c r="D55" s="22"/>
      <c r="E55" s="21">
        <f ca="1">IFERROR(__xludf.DUMMYFUNCTION("IMPORTRANGE(""1-UhNsOeztW9Pb9erDsF-VyNtqmgMF6YtUafhy7MSifo"",""Бланк_заказа!E60"")"),170)</f>
        <v>170</v>
      </c>
      <c r="F55" s="23">
        <f ca="1">IFERROR(__xludf.DUMMYFUNCTION("IMPORTRANGE(""1-UhNsOeztW9Pb9erDsF-VyNtqmgMF6YtUafhy7MSifo"",""Бланк_заказа!F60"")"),240)</f>
        <v>240</v>
      </c>
      <c r="G55" s="23">
        <f ca="1">IFERROR(__xludf.DUMMYFUNCTION("IMPORTRANGE(""1-UhNsOeztW9Pb9erDsF-VyNtqmgMF6YtUafhy7MSifo"",""Бланк_заказа!G60"")"),48)</f>
        <v>48</v>
      </c>
      <c r="H55" s="23" t="str">
        <f ca="1">IFERROR(__xludf.DUMMYFUNCTION("IMPORTRANGE(""1-UhNsOeztW9Pb9erDsF-VyNtqmgMF6YtUafhy7MSifo"",""Бланк_заказа!H60"")")," +4+6")</f>
        <v xml:space="preserve"> +4+6</v>
      </c>
      <c r="I55" s="24">
        <f t="shared" ca="1" si="1"/>
        <v>0</v>
      </c>
    </row>
    <row r="56" spans="1:9" ht="15.6">
      <c r="A56" s="55"/>
      <c r="B56" s="16" t="s">
        <v>21</v>
      </c>
      <c r="C56" s="21" t="str">
        <f ca="1">IFERROR(__xludf.DUMMYFUNCTION("IMPORTRANGE(""1-UhNsOeztW9Pb9erDsF-VyNtqmgMF6YtUafhy7MSifo"",""Бланк_заказа!C61"")"),"Картофельные драники с Семгой и яйцом Пашот")</f>
        <v>Картофельные драники с Семгой и яйцом Пашот</v>
      </c>
      <c r="D56" s="22"/>
      <c r="E56" s="21">
        <f ca="1">IFERROR(__xludf.DUMMYFUNCTION("IMPORTRANGE(""1-UhNsOeztW9Pb9erDsF-VyNtqmgMF6YtUafhy7MSifo"",""Бланк_заказа!E61"")"),247)</f>
        <v>247</v>
      </c>
      <c r="F56" s="23">
        <f ca="1">IFERROR(__xludf.DUMMYFUNCTION("IMPORTRANGE(""1-UhNsOeztW9Pb9erDsF-VyNtqmgMF6YtUafhy7MSifo"",""Бланк_заказа!F61"")"),227)</f>
        <v>227</v>
      </c>
      <c r="G56" s="23">
        <f ca="1">IFERROR(__xludf.DUMMYFUNCTION("IMPORTRANGE(""1-UhNsOeztW9Pb9erDsF-VyNtqmgMF6YtUafhy7MSifo"",""Бланк_заказа!G61"")"),24)</f>
        <v>24</v>
      </c>
      <c r="H56" s="23" t="str">
        <f ca="1">IFERROR(__xludf.DUMMYFUNCTION("IMPORTRANGE(""1-UhNsOeztW9Pb9erDsF-VyNtqmgMF6YtUafhy7MSifo"",""Бланк_заказа!H61"")")," +4+6")</f>
        <v xml:space="preserve"> +4+6</v>
      </c>
      <c r="I56" s="24">
        <f t="shared" ca="1" si="1"/>
        <v>0</v>
      </c>
    </row>
    <row r="57" spans="1:9" ht="15.6">
      <c r="A57" s="57" t="s">
        <v>22</v>
      </c>
      <c r="B57" s="32" t="s">
        <v>21</v>
      </c>
      <c r="C57" s="17" t="str">
        <f ca="1">IFERROR(__xludf.DUMMYFUNCTION("IMPORTRANGE(""1-UhNsOeztW9Pb9erDsF-VyNtqmgMF6YtUafhy7MSifo"",""Бланк_заказа!C62"")"),"Круассан ""Курица""")</f>
        <v>Круассан "Курица"</v>
      </c>
      <c r="D57" s="18"/>
      <c r="E57" s="17">
        <f ca="1">IFERROR(__xludf.DUMMYFUNCTION("IMPORTRANGE(""1-UhNsOeztW9Pb9erDsF-VyNtqmgMF6YtUafhy7MSifo"",""Бланк_заказа!E62"")"),195)</f>
        <v>195</v>
      </c>
      <c r="F57" s="19">
        <f ca="1">IFERROR(__xludf.DUMMYFUNCTION("IMPORTRANGE(""1-UhNsOeztW9Pb9erDsF-VyNtqmgMF6YtUafhy7MSifo"",""Бланк_заказа!F62"")"),170)</f>
        <v>170</v>
      </c>
      <c r="G57" s="19">
        <f ca="1">IFERROR(__xludf.DUMMYFUNCTION("IMPORTRANGE(""1-UhNsOeztW9Pb9erDsF-VyNtqmgMF6YtUafhy7MSifo"",""Бланк_заказа!G62"")"),48)</f>
        <v>48</v>
      </c>
      <c r="H57" s="19" t="str">
        <f ca="1">IFERROR(__xludf.DUMMYFUNCTION("IMPORTRANGE(""1-UhNsOeztW9Pb9erDsF-VyNtqmgMF6YtUafhy7MSifo"",""Бланк_заказа!H62"")")," +4+6")</f>
        <v xml:space="preserve"> +4+6</v>
      </c>
      <c r="I57" s="20">
        <f t="shared" ca="1" si="1"/>
        <v>0</v>
      </c>
    </row>
    <row r="58" spans="1:9" ht="15.6">
      <c r="A58" s="55"/>
      <c r="B58" s="32" t="s">
        <v>21</v>
      </c>
      <c r="C58" s="21" t="str">
        <f ca="1">IFERROR(__xludf.DUMMYFUNCTION("IMPORTRANGE(""1-UhNsOeztW9Pb9erDsF-VyNtqmgMF6YtUafhy7MSifo"",""Бланк_заказа!C63"")"),"Круассан ""Лосось""")</f>
        <v>Круассан "Лосось"</v>
      </c>
      <c r="D58" s="22"/>
      <c r="E58" s="21">
        <f ca="1">IFERROR(__xludf.DUMMYFUNCTION("IMPORTRANGE(""1-UhNsOeztW9Pb9erDsF-VyNtqmgMF6YtUafhy7MSifo"",""Бланк_заказа!E63"")"),235)</f>
        <v>235</v>
      </c>
      <c r="F58" s="23">
        <f ca="1">IFERROR(__xludf.DUMMYFUNCTION("IMPORTRANGE(""1-UhNsOeztW9Pb9erDsF-VyNtqmgMF6YtUafhy7MSifo"",""Бланк_заказа!F63"")"),170)</f>
        <v>170</v>
      </c>
      <c r="G58" s="23">
        <f ca="1">IFERROR(__xludf.DUMMYFUNCTION("IMPORTRANGE(""1-UhNsOeztW9Pb9erDsF-VyNtqmgMF6YtUafhy7MSifo"",""Бланк_заказа!G63"")"),36)</f>
        <v>36</v>
      </c>
      <c r="H58" s="23" t="str">
        <f ca="1">IFERROR(__xludf.DUMMYFUNCTION("IMPORTRANGE(""1-UhNsOeztW9Pb9erDsF-VyNtqmgMF6YtUafhy7MSifo"",""Бланк_заказа!H63"")")," +4+6")</f>
        <v xml:space="preserve"> +4+6</v>
      </c>
      <c r="I58" s="24">
        <f t="shared" ca="1" si="1"/>
        <v>0</v>
      </c>
    </row>
    <row r="59" spans="1:9" ht="15.6">
      <c r="A59" s="55"/>
      <c r="B59" s="32" t="s">
        <v>21</v>
      </c>
      <c r="C59" s="21" t="str">
        <f ca="1">IFERROR(__xludf.DUMMYFUNCTION("IMPORTRANGE(""1-UhNsOeztW9Pb9erDsF-VyNtqmgMF6YtUafhy7MSifo"",""Бланк_заказа!C64"")"),"Круассан с индейкой и моцарелла")</f>
        <v>Круассан с индейкой и моцарелла</v>
      </c>
      <c r="D59" s="22"/>
      <c r="E59" s="21">
        <f ca="1">IFERROR(__xludf.DUMMYFUNCTION("IMPORTRANGE(""1-UhNsOeztW9Pb9erDsF-VyNtqmgMF6YtUafhy7MSifo"",""Бланк_заказа!E64"")"),195)</f>
        <v>195</v>
      </c>
      <c r="F59" s="23">
        <f ca="1">IFERROR(__xludf.DUMMYFUNCTION("IMPORTRANGE(""1-UhNsOeztW9Pb9erDsF-VyNtqmgMF6YtUafhy7MSifo"",""Бланк_заказа!F64"")"),175)</f>
        <v>175</v>
      </c>
      <c r="G59" s="23">
        <f ca="1">IFERROR(__xludf.DUMMYFUNCTION("IMPORTRANGE(""1-UhNsOeztW9Pb9erDsF-VyNtqmgMF6YtUafhy7MSifo"",""Бланк_заказа!G64"")"),48)</f>
        <v>48</v>
      </c>
      <c r="H59" s="23" t="str">
        <f ca="1">IFERROR(__xludf.DUMMYFUNCTION("IMPORTRANGE(""1-UhNsOeztW9Pb9erDsF-VyNtqmgMF6YtUafhy7MSifo"",""Бланк_заказа!H64"")")," +2+6")</f>
        <v xml:space="preserve"> +2+6</v>
      </c>
      <c r="I59" s="24">
        <f t="shared" ca="1" si="1"/>
        <v>0</v>
      </c>
    </row>
    <row r="60" spans="1:9" ht="15.6">
      <c r="A60" s="55"/>
      <c r="B60" s="32" t="s">
        <v>21</v>
      </c>
      <c r="C60" s="21" t="str">
        <f ca="1">IFERROR(__xludf.DUMMYFUNCTION("IMPORTRANGE(""1-UhNsOeztW9Pb9erDsF-VyNtqmgMF6YtUafhy7MSifo"",""Бланк_заказа!C65"")"),"Сендвич ""Цезарь""")</f>
        <v>Сендвич "Цезарь"</v>
      </c>
      <c r="D60" s="22"/>
      <c r="E60" s="21">
        <f ca="1">IFERROR(__xludf.DUMMYFUNCTION("IMPORTRANGE(""1-UhNsOeztW9Pb9erDsF-VyNtqmgMF6YtUafhy7MSifo"",""Бланк_заказа!E65"")"),190)</f>
        <v>190</v>
      </c>
      <c r="F60" s="23">
        <f ca="1">IFERROR(__xludf.DUMMYFUNCTION("IMPORTRANGE(""1-UhNsOeztW9Pb9erDsF-VyNtqmgMF6YtUafhy7MSifo"",""Бланк_заказа!F65"")"),235)</f>
        <v>235</v>
      </c>
      <c r="G60" s="23">
        <f ca="1">IFERROR(__xludf.DUMMYFUNCTION("IMPORTRANGE(""1-UhNsOeztW9Pb9erDsF-VyNtqmgMF6YtUafhy7MSifo"",""Бланк_заказа!G65"")"),36)</f>
        <v>36</v>
      </c>
      <c r="H60" s="23" t="str">
        <f ca="1">IFERROR(__xludf.DUMMYFUNCTION("IMPORTRANGE(""1-UhNsOeztW9Pb9erDsF-VyNtqmgMF6YtUafhy7MSifo"",""Бланк_заказа!H65"")")," +2+6")</f>
        <v xml:space="preserve"> +2+6</v>
      </c>
      <c r="I60" s="24">
        <f t="shared" ca="1" si="1"/>
        <v>0</v>
      </c>
    </row>
    <row r="61" spans="1:9" ht="15.6">
      <c r="A61" s="55"/>
      <c r="B61" s="32" t="s">
        <v>21</v>
      </c>
      <c r="C61" s="21" t="str">
        <f ca="1">IFERROR(__xludf.DUMMYFUNCTION("IMPORTRANGE(""1-UhNsOeztW9Pb9erDsF-VyNtqmgMF6YtUafhy7MSifo"",""Бланк_заказа!C66"")"),"Сендвич с Беконом, томатами и горчицей")</f>
        <v>Сендвич с Беконом, томатами и горчицей</v>
      </c>
      <c r="D61" s="22"/>
      <c r="E61" s="21">
        <f ca="1">IFERROR(__xludf.DUMMYFUNCTION("IMPORTRANGE(""1-UhNsOeztW9Pb9erDsF-VyNtqmgMF6YtUafhy7MSifo"",""Бланк_заказа!E66"")"),180)</f>
        <v>180</v>
      </c>
      <c r="F61" s="23">
        <f ca="1">IFERROR(__xludf.DUMMYFUNCTION("IMPORTRANGE(""1-UhNsOeztW9Pb9erDsF-VyNtqmgMF6YtUafhy7MSifo"",""Бланк_заказа!F66"")"),245)</f>
        <v>245</v>
      </c>
      <c r="G61" s="23">
        <f ca="1">IFERROR(__xludf.DUMMYFUNCTION("IMPORTRANGE(""1-UhNsOeztW9Pb9erDsF-VyNtqmgMF6YtUafhy7MSifo"",""Бланк_заказа!G66"")"),36)</f>
        <v>36</v>
      </c>
      <c r="H61" s="23" t="str">
        <f ca="1">IFERROR(__xludf.DUMMYFUNCTION("IMPORTRANGE(""1-UhNsOeztW9Pb9erDsF-VyNtqmgMF6YtUafhy7MSifo"",""Бланк_заказа!H66"")")," +2+6")</f>
        <v xml:space="preserve"> +2+6</v>
      </c>
      <c r="I61" s="24">
        <f t="shared" ca="1" si="1"/>
        <v>0</v>
      </c>
    </row>
    <row r="62" spans="1:9" ht="15.6">
      <c r="A62" s="55"/>
      <c r="B62" s="32" t="s">
        <v>21</v>
      </c>
      <c r="C62" s="25" t="str">
        <f ca="1">IFERROR(__xludf.DUMMYFUNCTION("IMPORTRANGE(""1-UhNsOeztW9Pb9erDsF-VyNtqmgMF6YtUafhy7MSifo"",""Бланк_заказа!C67"")"),"Сендвич с Тунцом")</f>
        <v>Сендвич с Тунцом</v>
      </c>
      <c r="D62" s="26"/>
      <c r="E62" s="25">
        <f ca="1">IFERROR(__xludf.DUMMYFUNCTION("IMPORTRANGE(""1-UhNsOeztW9Pb9erDsF-VyNtqmgMF6YtUafhy7MSifo"",""Бланк_заказа!E67"")"),195)</f>
        <v>195</v>
      </c>
      <c r="F62" s="27">
        <f ca="1">IFERROR(__xludf.DUMMYFUNCTION("IMPORTRANGE(""1-UhNsOeztW9Pb9erDsF-VyNtqmgMF6YtUafhy7MSifo"",""Бланк_заказа!F67"")"),235)</f>
        <v>235</v>
      </c>
      <c r="G62" s="27">
        <f ca="1">IFERROR(__xludf.DUMMYFUNCTION("IMPORTRANGE(""1-UhNsOeztW9Pb9erDsF-VyNtqmgMF6YtUafhy7MSifo"",""Бланк_заказа!G67"")"),36)</f>
        <v>36</v>
      </c>
      <c r="H62" s="27" t="str">
        <f ca="1">IFERROR(__xludf.DUMMYFUNCTION("IMPORTRANGE(""1-UhNsOeztW9Pb9erDsF-VyNtqmgMF6YtUafhy7MSifo"",""Бланк_заказа!H67"")")," +2+6")</f>
        <v xml:space="preserve"> +2+6</v>
      </c>
      <c r="I62" s="28">
        <f t="shared" ca="1" si="1"/>
        <v>0</v>
      </c>
    </row>
    <row r="63" spans="1:9" ht="15.6">
      <c r="A63" s="60" t="s">
        <v>23</v>
      </c>
      <c r="B63" s="41" t="s">
        <v>21</v>
      </c>
      <c r="C63" s="21" t="str">
        <f ca="1">IFERROR(__xludf.DUMMYFUNCTION("IMPORTRANGE(""1-UhNsOeztW9Pb9erDsF-VyNtqmgMF6YtUafhy7MSifo"",""Бланк_заказа!C68"")"),"Тортилья ""Ролл Лосось""")</f>
        <v>Тортилья "Ролл Лосось"</v>
      </c>
      <c r="D63" s="22"/>
      <c r="E63" s="21">
        <f ca="1">IFERROR(__xludf.DUMMYFUNCTION("IMPORTRANGE(""1-UhNsOeztW9Pb9erDsF-VyNtqmgMF6YtUafhy7MSifo"",""Бланк_заказа!E68"")"),235)</f>
        <v>235</v>
      </c>
      <c r="F63" s="23">
        <f ca="1">IFERROR(__xludf.DUMMYFUNCTION("IMPORTRANGE(""1-UhNsOeztW9Pb9erDsF-VyNtqmgMF6YtUafhy7MSifo"",""Бланк_заказа!F68"")"),215)</f>
        <v>215</v>
      </c>
      <c r="G63" s="23">
        <f ca="1">IFERROR(__xludf.DUMMYFUNCTION("IMPORTRANGE(""1-UhNsOeztW9Pb9erDsF-VyNtqmgMF6YtUafhy7MSifo"",""Бланк_заказа!G68"")"),36)</f>
        <v>36</v>
      </c>
      <c r="H63" s="23" t="str">
        <f ca="1">IFERROR(__xludf.DUMMYFUNCTION("IMPORTRANGE(""1-UhNsOeztW9Pb9erDsF-VyNtqmgMF6YtUafhy7MSifo"",""Бланк_заказа!H68"")")," +4+6")</f>
        <v xml:space="preserve"> +4+6</v>
      </c>
      <c r="I63" s="24">
        <f t="shared" ca="1" si="1"/>
        <v>0</v>
      </c>
    </row>
    <row r="64" spans="1:9" ht="15.6">
      <c r="A64" s="55"/>
      <c r="B64" s="41" t="s">
        <v>21</v>
      </c>
      <c r="C64" s="21" t="str">
        <f ca="1">IFERROR(__xludf.DUMMYFUNCTION("IMPORTRANGE(""1-UhNsOeztW9Pb9erDsF-VyNtqmgMF6YtUafhy7MSifo"",""Бланк_заказа!C69"")"),"Тортилья ""Ролл Цезарь""")</f>
        <v>Тортилья "Ролл Цезарь"</v>
      </c>
      <c r="D64" s="22"/>
      <c r="E64" s="21">
        <f ca="1">IFERROR(__xludf.DUMMYFUNCTION("IMPORTRANGE(""1-UhNsOeztW9Pb9erDsF-VyNtqmgMF6YtUafhy7MSifo"",""Бланк_заказа!E69"")"),195)</f>
        <v>195</v>
      </c>
      <c r="F64" s="23">
        <f ca="1">IFERROR(__xludf.DUMMYFUNCTION("IMPORTRANGE(""1-UhNsOeztW9Pb9erDsF-VyNtqmgMF6YtUafhy7MSifo"",""Бланк_заказа!F69"")"),220)</f>
        <v>220</v>
      </c>
      <c r="G64" s="23">
        <f ca="1">IFERROR(__xludf.DUMMYFUNCTION("IMPORTRANGE(""1-UhNsOeztW9Pb9erDsF-VyNtqmgMF6YtUafhy7MSifo"",""Бланк_заказа!G69"")"),48)</f>
        <v>48</v>
      </c>
      <c r="H64" s="23" t="str">
        <f ca="1">IFERROR(__xludf.DUMMYFUNCTION("IMPORTRANGE(""1-UhNsOeztW9Pb9erDsF-VyNtqmgMF6YtUafhy7MSifo"",""Бланк_заказа!H69"")")," +4+6")</f>
        <v xml:space="preserve"> +4+6</v>
      </c>
      <c r="I64" s="24">
        <f t="shared" ca="1" si="1"/>
        <v>0</v>
      </c>
    </row>
    <row r="65" spans="1:11" ht="15.6">
      <c r="A65" s="55"/>
      <c r="B65" s="41" t="s">
        <v>21</v>
      </c>
      <c r="C65" s="21" t="str">
        <f ca="1">IFERROR(__xludf.DUMMYFUNCTION("IMPORTRANGE(""1-UhNsOeztW9Pb9erDsF-VyNtqmgMF6YtUafhy7MSifo"",""Бланк_заказа!C70"")"),"Тортилья ""Ролл Пастрами""")</f>
        <v>Тортилья "Ролл Пастрами"</v>
      </c>
      <c r="D65" s="22"/>
      <c r="E65" s="21">
        <f ca="1">IFERROR(__xludf.DUMMYFUNCTION("IMPORTRANGE(""1-UhNsOeztW9Pb9erDsF-VyNtqmgMF6YtUafhy7MSifo"",""Бланк_заказа!E70"")"),225)</f>
        <v>225</v>
      </c>
      <c r="F65" s="23">
        <f ca="1">IFERROR(__xludf.DUMMYFUNCTION("IMPORTRANGE(""1-UhNsOeztW9Pb9erDsF-VyNtqmgMF6YtUafhy7MSifo"",""Бланк_заказа!F70"")"),183)</f>
        <v>183</v>
      </c>
      <c r="G65" s="23">
        <f ca="1">IFERROR(__xludf.DUMMYFUNCTION("IMPORTRANGE(""1-UhNsOeztW9Pb9erDsF-VyNtqmgMF6YtUafhy7MSifo"",""Бланк_заказа!G70"")"),48)</f>
        <v>48</v>
      </c>
      <c r="H65" s="23" t="str">
        <f ca="1">IFERROR(__xludf.DUMMYFUNCTION("IMPORTRANGE(""1-UhNsOeztW9Pb9erDsF-VyNtqmgMF6YtUafhy7MSifo"",""Бланк_заказа!H70"")")," +4+6")</f>
        <v xml:space="preserve"> +4+6</v>
      </c>
      <c r="I65" s="24">
        <f t="shared" ca="1" si="1"/>
        <v>0</v>
      </c>
    </row>
    <row r="66" spans="1:11" ht="15.6">
      <c r="A66" s="56" t="s">
        <v>24</v>
      </c>
      <c r="B66" s="30" t="s">
        <v>21</v>
      </c>
      <c r="C66" s="17" t="str">
        <f ca="1">IFERROR(__xludf.DUMMYFUNCTION("IMPORTRANGE(""1-UhNsOeztW9Pb9erDsF-VyNtqmgMF6YtUafhy7MSifo"",""Бланк_заказа!C71"")"),"Салат ""Цезарь""")</f>
        <v>Салат "Цезарь"</v>
      </c>
      <c r="D66" s="18"/>
      <c r="E66" s="17">
        <f ca="1">IFERROR(__xludf.DUMMYFUNCTION("IMPORTRANGE(""1-UhNsOeztW9Pb9erDsF-VyNtqmgMF6YtUafhy7MSifo"",""Бланк_заказа!E71"")"),195)</f>
        <v>195</v>
      </c>
      <c r="F66" s="19">
        <f ca="1">IFERROR(__xludf.DUMMYFUNCTION("IMPORTRANGE(""1-UhNsOeztW9Pb9erDsF-VyNtqmgMF6YtUafhy7MSifo"",""Бланк_заказа!F71"")"),200)</f>
        <v>200</v>
      </c>
      <c r="G66" s="19">
        <f ca="1">IFERROR(__xludf.DUMMYFUNCTION("IMPORTRANGE(""1-UhNsOeztW9Pb9erDsF-VyNtqmgMF6YtUafhy7MSifo"",""Бланк_заказа!G71"")"),48)</f>
        <v>48</v>
      </c>
      <c r="H66" s="19" t="str">
        <f ca="1">IFERROR(__xludf.DUMMYFUNCTION("IMPORTRANGE(""1-UhNsOeztW9Pb9erDsF-VyNtqmgMF6YtUafhy7MSifo"",""Бланк_заказа!H71"")")," +4+6")</f>
        <v xml:space="preserve"> +4+6</v>
      </c>
      <c r="I66" s="20">
        <f t="shared" ca="1" si="1"/>
        <v>0</v>
      </c>
    </row>
    <row r="67" spans="1:11" ht="15.6">
      <c r="A67" s="55"/>
      <c r="B67" s="42" t="s">
        <v>21</v>
      </c>
      <c r="C67" s="21" t="str">
        <f ca="1">IFERROR(__xludf.DUMMYFUNCTION("IMPORTRANGE(""1-UhNsOeztW9Pb9erDsF-VyNtqmgMF6YtUafhy7MSifo"",""Бланк_заказа!C72"")"),"Салат с Киноа и вялеными томатами")</f>
        <v>Салат с Киноа и вялеными томатами</v>
      </c>
      <c r="D67" s="37"/>
      <c r="E67" s="21">
        <f ca="1">IFERROR(__xludf.DUMMYFUNCTION("IMPORTRANGE(""1-UhNsOeztW9Pb9erDsF-VyNtqmgMF6YtUafhy7MSifo"",""Бланк_заказа!E72"")"),195)</f>
        <v>195</v>
      </c>
      <c r="F67" s="23">
        <f ca="1">IFERROR(__xludf.DUMMYFUNCTION("IMPORTRANGE(""1-UhNsOeztW9Pb9erDsF-VyNtqmgMF6YtUafhy7MSifo"",""Бланк_заказа!F72"")"),165)</f>
        <v>165</v>
      </c>
      <c r="G67" s="23">
        <f ca="1">IFERROR(__xludf.DUMMYFUNCTION("IMPORTRANGE(""1-UhNsOeztW9Pb9erDsF-VyNtqmgMF6YtUafhy7MSifo"",""Бланк_заказа!G72"")"),36)</f>
        <v>36</v>
      </c>
      <c r="H67" s="23" t="str">
        <f ca="1">IFERROR(__xludf.DUMMYFUNCTION("IMPORTRANGE(""1-UhNsOeztW9Pb9erDsF-VyNtqmgMF6YtUafhy7MSifo"",""Бланк_заказа!H72"")")," +4+6")</f>
        <v xml:space="preserve"> +4+6</v>
      </c>
      <c r="I67" s="24">
        <f t="shared" ca="1" si="1"/>
        <v>0</v>
      </c>
    </row>
    <row r="68" spans="1:11" ht="15.6">
      <c r="A68" s="55"/>
      <c r="B68" s="30" t="s">
        <v>21</v>
      </c>
      <c r="C68" s="21" t="str">
        <f ca="1">IFERROR(__xludf.DUMMYFUNCTION("IMPORTRANGE(""1-UhNsOeztW9Pb9erDsF-VyNtqmgMF6YtUafhy7MSifo"",""Бланк_заказа!C73"")"),"Салат с Тунцом")</f>
        <v>Салат с Тунцом</v>
      </c>
      <c r="D68" s="22"/>
      <c r="E68" s="21">
        <f ca="1">IFERROR(__xludf.DUMMYFUNCTION("IMPORTRANGE(""1-UhNsOeztW9Pb9erDsF-VyNtqmgMF6YtUafhy7MSifo"",""Бланк_заказа!E73"")"),215)</f>
        <v>215</v>
      </c>
      <c r="F68" s="23">
        <f ca="1">IFERROR(__xludf.DUMMYFUNCTION("IMPORTRANGE(""1-UhNsOeztW9Pb9erDsF-VyNtqmgMF6YtUafhy7MSifo"",""Бланк_заказа!F73"")"),175)</f>
        <v>175</v>
      </c>
      <c r="G68" s="23">
        <f ca="1">IFERROR(__xludf.DUMMYFUNCTION("IMPORTRANGE(""1-UhNsOeztW9Pb9erDsF-VyNtqmgMF6YtUafhy7MSifo"",""Бланк_заказа!G73"")"),48)</f>
        <v>48</v>
      </c>
      <c r="H68" s="23" t="str">
        <f ca="1">IFERROR(__xludf.DUMMYFUNCTION("IMPORTRANGE(""1-UhNsOeztW9Pb9erDsF-VyNtqmgMF6YtUafhy7MSifo"",""Бланк_заказа!H73"")")," +4+6")</f>
        <v xml:space="preserve"> +4+6</v>
      </c>
      <c r="I68" s="24">
        <f t="shared" ca="1" si="1"/>
        <v>0</v>
      </c>
    </row>
    <row r="69" spans="1:11" ht="15.6">
      <c r="A69" s="55"/>
      <c r="B69" s="30" t="s">
        <v>21</v>
      </c>
      <c r="C69" s="25" t="str">
        <f ca="1">IFERROR(__xludf.DUMMYFUNCTION("IMPORTRANGE(""1-UhNsOeztW9Pb9erDsF-VyNtqmgMF6YtUafhy7MSifo"",""Бланк_заказа!C74"")"),"Поке с Лососем")</f>
        <v>Поке с Лососем</v>
      </c>
      <c r="D69" s="43"/>
      <c r="E69" s="25">
        <f ca="1">IFERROR(__xludf.DUMMYFUNCTION("IMPORTRANGE(""1-UhNsOeztW9Pb9erDsF-VyNtqmgMF6YtUafhy7MSifo"",""Бланк_заказа!E74"")"),220)</f>
        <v>220</v>
      </c>
      <c r="F69" s="27">
        <f ca="1">IFERROR(__xludf.DUMMYFUNCTION("IMPORTRANGE(""1-UhNsOeztW9Pb9erDsF-VyNtqmgMF6YtUafhy7MSifo"",""Бланк_заказа!F74"")"),226)</f>
        <v>226</v>
      </c>
      <c r="G69" s="27">
        <f ca="1">IFERROR(__xludf.DUMMYFUNCTION("IMPORTRANGE(""1-UhNsOeztW9Pb9erDsF-VyNtqmgMF6YtUafhy7MSifo"",""Бланк_заказа!G74"")"),48)</f>
        <v>48</v>
      </c>
      <c r="H69" s="27" t="str">
        <f ca="1">IFERROR(__xludf.DUMMYFUNCTION("IMPORTRANGE(""1-UhNsOeztW9Pb9erDsF-VyNtqmgMF6YtUafhy7MSifo"",""Бланк_заказа!H74"")")," +2+4")</f>
        <v xml:space="preserve"> +2+4</v>
      </c>
      <c r="I69" s="28">
        <f t="shared" ca="1" si="1"/>
        <v>0</v>
      </c>
    </row>
    <row r="70" spans="1:11" ht="15.6">
      <c r="A70" s="57" t="s">
        <v>25</v>
      </c>
      <c r="B70" s="32" t="s">
        <v>21</v>
      </c>
      <c r="C70" s="21" t="str">
        <f ca="1">IFERROR(__xludf.DUMMYFUNCTION("IMPORTRANGE(""1-UhNsOeztW9Pb9erDsF-VyNtqmgMF6YtUafhy7MSifo"",""Бланк_заказа!C75"")"),"Борщ")</f>
        <v>Борщ</v>
      </c>
      <c r="D70" s="22"/>
      <c r="E70" s="21">
        <f ca="1">IFERROR(__xludf.DUMMYFUNCTION("IMPORTRANGE(""1-UhNsOeztW9Pb9erDsF-VyNtqmgMF6YtUafhy7MSifo"",""Бланк_заказа!E75"")"),145)</f>
        <v>145</v>
      </c>
      <c r="F70" s="23">
        <f ca="1">IFERROR(__xludf.DUMMYFUNCTION("IMPORTRANGE(""1-UhNsOeztW9Pb9erDsF-VyNtqmgMF6YtUafhy7MSifo"",""Бланк_заказа!F75"")"),380)</f>
        <v>380</v>
      </c>
      <c r="G70" s="23">
        <f ca="1">IFERROR(__xludf.DUMMYFUNCTION("IMPORTRANGE(""1-UhNsOeztW9Pb9erDsF-VyNtqmgMF6YtUafhy7MSifo"",""Бланк_заказа!G75"")"),36)</f>
        <v>36</v>
      </c>
      <c r="H70" s="23" t="str">
        <f ca="1">IFERROR(__xludf.DUMMYFUNCTION("IMPORTRANGE(""1-UhNsOeztW9Pb9erDsF-VyNtqmgMF6YtUafhy7MSifo"",""Бланк_заказа!H75"")")," +4+6")</f>
        <v xml:space="preserve"> +4+6</v>
      </c>
      <c r="I70" s="24">
        <f t="shared" ca="1" si="1"/>
        <v>0</v>
      </c>
    </row>
    <row r="71" spans="1:11" ht="15.6">
      <c r="A71" s="55"/>
      <c r="B71" s="32" t="s">
        <v>21</v>
      </c>
      <c r="C71" s="21" t="str">
        <f ca="1">IFERROR(__xludf.DUMMYFUNCTION("IMPORTRANGE(""1-UhNsOeztW9Pb9erDsF-VyNtqmgMF6YtUafhy7MSifo"",""Бланк_заказа!C76"")"),"Бульон с фрикадельками и лапшой")</f>
        <v>Бульон с фрикадельками и лапшой</v>
      </c>
      <c r="D71" s="22"/>
      <c r="E71" s="21">
        <f ca="1">IFERROR(__xludf.DUMMYFUNCTION("IMPORTRANGE(""1-UhNsOeztW9Pb9erDsF-VyNtqmgMF6YtUafhy7MSifo"",""Бланк_заказа!E76"")"),145)</f>
        <v>145</v>
      </c>
      <c r="F71" s="23">
        <f ca="1">IFERROR(__xludf.DUMMYFUNCTION("IMPORTRANGE(""1-UhNsOeztW9Pb9erDsF-VyNtqmgMF6YtUafhy7MSifo"",""Бланк_заказа!F76"")"),365)</f>
        <v>365</v>
      </c>
      <c r="G71" s="23">
        <f ca="1">IFERROR(__xludf.DUMMYFUNCTION("IMPORTRANGE(""1-UhNsOeztW9Pb9erDsF-VyNtqmgMF6YtUafhy7MSifo"",""Бланк_заказа!G76"")"),48)</f>
        <v>48</v>
      </c>
      <c r="H71" s="23" t="str">
        <f ca="1">IFERROR(__xludf.DUMMYFUNCTION("IMPORTRANGE(""1-UhNsOeztW9Pb9erDsF-VyNtqmgMF6YtUafhy7MSifo"",""Бланк_заказа!H76"")")," +2+4")</f>
        <v xml:space="preserve"> +2+4</v>
      </c>
      <c r="I71" s="24">
        <f t="shared" ca="1" si="1"/>
        <v>0</v>
      </c>
    </row>
    <row r="72" spans="1:11" ht="15.6">
      <c r="A72" s="55"/>
      <c r="B72" s="32" t="s">
        <v>21</v>
      </c>
      <c r="C72" s="21" t="str">
        <f ca="1">IFERROR(__xludf.DUMMYFUNCTION("IMPORTRANGE(""1-UhNsOeztW9Pb9erDsF-VyNtqmgMF6YtUafhy7MSifo"",""Бланк_заказа!C77"")"),"Том Ям с курицей")</f>
        <v>Том Ям с курицей</v>
      </c>
      <c r="D72" s="22"/>
      <c r="E72" s="21">
        <f ca="1">IFERROR(__xludf.DUMMYFUNCTION("IMPORTRANGE(""1-UhNsOeztW9Pb9erDsF-VyNtqmgMF6YtUafhy7MSifo"",""Бланк_заказа!E77"")"),195)</f>
        <v>195</v>
      </c>
      <c r="F72" s="23">
        <f ca="1">IFERROR(__xludf.DUMMYFUNCTION("IMPORTRANGE(""1-UhNsOeztW9Pb9erDsF-VyNtqmgMF6YtUafhy7MSifo"",""Бланк_заказа!F77"")"),310)</f>
        <v>310</v>
      </c>
      <c r="G72" s="23">
        <f ca="1">IFERROR(__xludf.DUMMYFUNCTION("IMPORTRANGE(""1-UhNsOeztW9Pb9erDsF-VyNtqmgMF6YtUafhy7MSifo"",""Бланк_заказа!G77"")"),48)</f>
        <v>48</v>
      </c>
      <c r="H72" s="23" t="str">
        <f ca="1">IFERROR(__xludf.DUMMYFUNCTION("IMPORTRANGE(""1-UhNsOeztW9Pb9erDsF-VyNtqmgMF6YtUafhy7MSifo"",""Бланк_заказа!H77"")")," +2+4")</f>
        <v xml:space="preserve"> +2+4</v>
      </c>
      <c r="I72" s="24">
        <f t="shared" ca="1" si="1"/>
        <v>0</v>
      </c>
    </row>
    <row r="73" spans="1:11" ht="15.6">
      <c r="A73" s="55"/>
      <c r="B73" s="32" t="s">
        <v>21</v>
      </c>
      <c r="C73" s="21" t="str">
        <f ca="1">IFERROR(__xludf.DUMMYFUNCTION("IMPORTRANGE(""1-UhNsOeztW9Pb9erDsF-VyNtqmgMF6YtUafhy7MSifo"",""Бланк_заказа!C78"")"),"Суп Сырный с курицей")</f>
        <v>Суп Сырный с курицей</v>
      </c>
      <c r="D73" s="22"/>
      <c r="E73" s="21">
        <f ca="1">IFERROR(__xludf.DUMMYFUNCTION("IMPORTRANGE(""1-UhNsOeztW9Pb9erDsF-VyNtqmgMF6YtUafhy7MSifo"",""Бланк_заказа!E78"")"),155)</f>
        <v>155</v>
      </c>
      <c r="F73" s="23">
        <f ca="1">IFERROR(__xludf.DUMMYFUNCTION("IMPORTRANGE(""1-UhNsOeztW9Pb9erDsF-VyNtqmgMF6YtUafhy7MSifo"",""Бланк_заказа!F78"")"),355)</f>
        <v>355</v>
      </c>
      <c r="G73" s="23">
        <f ca="1">IFERROR(__xludf.DUMMYFUNCTION("IMPORTRANGE(""1-UhNsOeztW9Pb9erDsF-VyNtqmgMF6YtUafhy7MSifo"",""Бланк_заказа!G78"")"),48)</f>
        <v>48</v>
      </c>
      <c r="H73" s="23" t="str">
        <f ca="1">IFERROR(__xludf.DUMMYFUNCTION("IMPORTRANGE(""1-UhNsOeztW9Pb9erDsF-VyNtqmgMF6YtUafhy7MSifo"",""Бланк_заказа!H78"")")," +4+6")</f>
        <v xml:space="preserve"> +4+6</v>
      </c>
      <c r="I73" s="24">
        <f t="shared" ca="1" si="1"/>
        <v>0</v>
      </c>
    </row>
    <row r="74" spans="1:11" ht="15.6">
      <c r="A74" s="55"/>
      <c r="B74" s="32" t="s">
        <v>21</v>
      </c>
      <c r="C74" s="21" t="str">
        <f ca="1">IFERROR(__xludf.DUMMYFUNCTION("IMPORTRANGE(""1-UhNsOeztW9Pb9erDsF-VyNtqmgMF6YtUafhy7MSifo"",""Бланк_заказа!C79"")"),"Тыквенный крем-суп")</f>
        <v>Тыквенный крем-суп</v>
      </c>
      <c r="D74" s="44"/>
      <c r="E74" s="21">
        <f ca="1">IFERROR(__xludf.DUMMYFUNCTION("IMPORTRANGE(""1-UhNsOeztW9Pb9erDsF-VyNtqmgMF6YtUafhy7MSifo"",""Бланк_заказа!E79"")"),135)</f>
        <v>135</v>
      </c>
      <c r="F74" s="23">
        <f ca="1">IFERROR(__xludf.DUMMYFUNCTION("IMPORTRANGE(""1-UhNsOeztW9Pb9erDsF-VyNtqmgMF6YtUafhy7MSifo"",""Бланк_заказа!F79"")"),355)</f>
        <v>355</v>
      </c>
      <c r="G74" s="23">
        <f ca="1">IFERROR(__xludf.DUMMYFUNCTION("IMPORTRANGE(""1-UhNsOeztW9Pb9erDsF-VyNtqmgMF6YtUafhy7MSifo"",""Бланк_заказа!G79"")"),48)</f>
        <v>48</v>
      </c>
      <c r="H74" s="23" t="str">
        <f ca="1">IFERROR(__xludf.DUMMYFUNCTION("IMPORTRANGE(""1-UhNsOeztW9Pb9erDsF-VyNtqmgMF6YtUafhy7MSifo"",""Бланк_заказа!H79"")")," +4+6")</f>
        <v xml:space="preserve"> +4+6</v>
      </c>
      <c r="I74" s="24">
        <f t="shared" ca="1" si="1"/>
        <v>0</v>
      </c>
      <c r="K74" s="45" t="s">
        <v>26</v>
      </c>
    </row>
    <row r="75" spans="1:11" ht="15.6">
      <c r="A75" s="58" t="s">
        <v>27</v>
      </c>
      <c r="B75" s="33" t="s">
        <v>21</v>
      </c>
      <c r="C75" s="17" t="str">
        <f ca="1">IFERROR(__xludf.DUMMYFUNCTION("IMPORTRANGE(""1-UhNsOeztW9Pb9erDsF-VyNtqmgMF6YtUafhy7MSifo"",""Бланк_заказа!C80"")"),"Булгур с курицей Терияки")</f>
        <v>Булгур с курицей Терияки</v>
      </c>
      <c r="D75" s="18"/>
      <c r="E75" s="17">
        <f ca="1">IFERROR(__xludf.DUMMYFUNCTION("IMPORTRANGE(""1-UhNsOeztW9Pb9erDsF-VyNtqmgMF6YtUafhy7MSifo"",""Бланк_заказа!E80"")"),205)</f>
        <v>205</v>
      </c>
      <c r="F75" s="19">
        <f ca="1">IFERROR(__xludf.DUMMYFUNCTION("IMPORTRANGE(""1-UhNsOeztW9Pb9erDsF-VyNtqmgMF6YtUafhy7MSifo"",""Бланк_заказа!F80"")"),240)</f>
        <v>240</v>
      </c>
      <c r="G75" s="19">
        <f ca="1">IFERROR(__xludf.DUMMYFUNCTION("IMPORTRANGE(""1-UhNsOeztW9Pb9erDsF-VyNtqmgMF6YtUafhy7MSifo"",""Бланк_заказа!G80"")"),48)</f>
        <v>48</v>
      </c>
      <c r="H75" s="19" t="str">
        <f ca="1">IFERROR(__xludf.DUMMYFUNCTION("IMPORTRANGE(""1-UhNsOeztW9Pb9erDsF-VyNtqmgMF6YtUafhy7MSifo"",""Бланк_заказа!H80"")")," +4+6")</f>
        <v xml:space="preserve"> +4+6</v>
      </c>
      <c r="I75" s="20">
        <f t="shared" ca="1" si="1"/>
        <v>0</v>
      </c>
    </row>
    <row r="76" spans="1:11" ht="15.6">
      <c r="A76" s="55"/>
      <c r="B76" s="46" t="s">
        <v>21</v>
      </c>
      <c r="C76" s="21" t="str">
        <f ca="1">IFERROR(__xludf.DUMMYFUNCTION("IMPORTRANGE(""1-UhNsOeztW9Pb9erDsF-VyNtqmgMF6YtUafhy7MSifo"",""Бланк_заказа!C81"")"),"Лингуини с пеперони и томатным соусом")</f>
        <v>Лингуини с пеперони и томатным соусом</v>
      </c>
      <c r="D76" s="37"/>
      <c r="E76" s="21">
        <f ca="1">IFERROR(__xludf.DUMMYFUNCTION("IMPORTRANGE(""1-UhNsOeztW9Pb9erDsF-VyNtqmgMF6YtUafhy7MSifo"",""Бланк_заказа!E81"")"),210)</f>
        <v>210</v>
      </c>
      <c r="F76" s="23">
        <f ca="1">IFERROR(__xludf.DUMMYFUNCTION("IMPORTRANGE(""1-UhNsOeztW9Pb9erDsF-VyNtqmgMF6YtUafhy7MSifo"",""Бланк_заказа!F81"")"),235)</f>
        <v>235</v>
      </c>
      <c r="G76" s="23">
        <f ca="1">IFERROR(__xludf.DUMMYFUNCTION("IMPORTRANGE(""1-UhNsOeztW9Pb9erDsF-VyNtqmgMF6YtUafhy7MSifo"",""Бланк_заказа!G81"")"),36)</f>
        <v>36</v>
      </c>
      <c r="H76" s="23" t="str">
        <f ca="1">IFERROR(__xludf.DUMMYFUNCTION("IMPORTRANGE(""1-UhNsOeztW9Pb9erDsF-VyNtqmgMF6YtUafhy7MSifo"",""Бланк_заказа!H81"")")," +2+6")</f>
        <v xml:space="preserve"> +2+6</v>
      </c>
      <c r="I76" s="24">
        <f t="shared" ca="1" si="1"/>
        <v>0</v>
      </c>
    </row>
    <row r="77" spans="1:11" ht="15.6">
      <c r="A77" s="55"/>
      <c r="B77" s="33" t="s">
        <v>21</v>
      </c>
      <c r="C77" s="21" t="str">
        <f ca="1">IFERROR(__xludf.DUMMYFUNCTION("IMPORTRANGE(""1-UhNsOeztW9Pb9erDsF-VyNtqmgMF6YtUafhy7MSifo"",""Бланк_заказа!C82"")"),"Рагу с курицей и соусом Терияки")</f>
        <v>Рагу с курицей и соусом Терияки</v>
      </c>
      <c r="D77" s="22"/>
      <c r="E77" s="21">
        <f ca="1">IFERROR(__xludf.DUMMYFUNCTION("IMPORTRANGE(""1-UhNsOeztW9Pb9erDsF-VyNtqmgMF6YtUafhy7MSifo"",""Бланк_заказа!E82"")"),169)</f>
        <v>169</v>
      </c>
      <c r="F77" s="23">
        <f ca="1">IFERROR(__xludf.DUMMYFUNCTION("IMPORTRANGE(""1-UhNsOeztW9Pb9erDsF-VyNtqmgMF6YtUafhy7MSifo"",""Бланк_заказа!F82"")"),331)</f>
        <v>331</v>
      </c>
      <c r="G77" s="23">
        <f ca="1">IFERROR(__xludf.DUMMYFUNCTION("IMPORTRANGE(""1-UhNsOeztW9Pb9erDsF-VyNtqmgMF6YtUafhy7MSifo"",""Бланк_заказа!G82"")"),36)</f>
        <v>36</v>
      </c>
      <c r="H77" s="23" t="str">
        <f ca="1">IFERROR(__xludf.DUMMYFUNCTION("IMPORTRANGE(""1-UhNsOeztW9Pb9erDsF-VyNtqmgMF6YtUafhy7MSifo"",""Бланк_заказа!H82"")")," +4+6")</f>
        <v xml:space="preserve"> +4+6</v>
      </c>
      <c r="I77" s="24">
        <f t="shared" ca="1" si="1"/>
        <v>0</v>
      </c>
    </row>
    <row r="78" spans="1:11" ht="15.6">
      <c r="A78" s="55"/>
      <c r="B78" s="46" t="s">
        <v>21</v>
      </c>
      <c r="C78" s="21" t="str">
        <f ca="1">IFERROR(__xludf.DUMMYFUNCTION("IMPORTRANGE(""1-UhNsOeztW9Pb9erDsF-VyNtqmgMF6YtUafhy7MSifo"",""Бланк_заказа!C83"")"),"Пряная говядина с овощами и рисом wok")</f>
        <v>Пряная говядина с овощами и рисом wok</v>
      </c>
      <c r="D78" s="37"/>
      <c r="E78" s="21">
        <f ca="1">IFERROR(__xludf.DUMMYFUNCTION("IMPORTRANGE(""1-UhNsOeztW9Pb9erDsF-VyNtqmgMF6YtUafhy7MSifo"",""Бланк_заказа!E83"")"),195)</f>
        <v>195</v>
      </c>
      <c r="F78" s="23">
        <f ca="1">IFERROR(__xludf.DUMMYFUNCTION("IMPORTRANGE(""1-UhNsOeztW9Pb9erDsF-VyNtqmgMF6YtUafhy7MSifo"",""Бланк_заказа!F83"")"),275)</f>
        <v>275</v>
      </c>
      <c r="G78" s="23">
        <f ca="1">IFERROR(__xludf.DUMMYFUNCTION("IMPORTRANGE(""1-UhNsOeztW9Pb9erDsF-VyNtqmgMF6YtUafhy7MSifo"",""Бланк_заказа!G83"")"),36)</f>
        <v>36</v>
      </c>
      <c r="H78" s="23" t="str">
        <f ca="1">IFERROR(__xludf.DUMMYFUNCTION("IMPORTRANGE(""1-UhNsOeztW9Pb9erDsF-VyNtqmgMF6YtUafhy7MSifo"",""Бланк_заказа!H83"")")," +4+6")</f>
        <v xml:space="preserve"> +4+6</v>
      </c>
      <c r="I78" s="24">
        <f t="shared" ca="1" si="1"/>
        <v>0</v>
      </c>
    </row>
    <row r="79" spans="1:11" ht="15.6">
      <c r="A79" s="55"/>
      <c r="B79" s="46" t="s">
        <v>21</v>
      </c>
      <c r="C79" s="21" t="str">
        <f ca="1">IFERROR(__xludf.DUMMYFUNCTION("IMPORTRANGE(""1-UhNsOeztW9Pb9erDsF-VyNtqmgMF6YtUafhy7MSifo"",""Бланк_заказа!C84"")"),"Соба с курицей и овощами wok")</f>
        <v>Соба с курицей и овощами wok</v>
      </c>
      <c r="D79" s="37"/>
      <c r="E79" s="21">
        <f ca="1">IFERROR(__xludf.DUMMYFUNCTION("IMPORTRANGE(""1-UhNsOeztW9Pb9erDsF-VyNtqmgMF6YtUafhy7MSifo"",""Бланк_заказа!E84"")"),195)</f>
        <v>195</v>
      </c>
      <c r="F79" s="23">
        <f ca="1">IFERROR(__xludf.DUMMYFUNCTION("IMPORTRANGE(""1-UhNsOeztW9Pb9erDsF-VyNtqmgMF6YtUafhy7MSifo"",""Бланк_заказа!F84"")"),265)</f>
        <v>265</v>
      </c>
      <c r="G79" s="23">
        <f ca="1">IFERROR(__xludf.DUMMYFUNCTION("IMPORTRANGE(""1-UhNsOeztW9Pb9erDsF-VyNtqmgMF6YtUafhy7MSifo"",""Бланк_заказа!G84"")"),36)</f>
        <v>36</v>
      </c>
      <c r="H79" s="23" t="str">
        <f ca="1">IFERROR(__xludf.DUMMYFUNCTION("IMPORTRANGE(""1-UhNsOeztW9Pb9erDsF-VyNtqmgMF6YtUafhy7MSifo"",""Бланк_заказа!H84"")")," +4+6")</f>
        <v xml:space="preserve"> +4+6</v>
      </c>
      <c r="I79" s="24">
        <f t="shared" ca="1" si="1"/>
        <v>0</v>
      </c>
    </row>
    <row r="80" spans="1:11" ht="15.6">
      <c r="A80" s="55"/>
      <c r="B80" s="46" t="s">
        <v>21</v>
      </c>
      <c r="C80" s="25" t="str">
        <f ca="1">IFERROR(__xludf.DUMMYFUNCTION("IMPORTRANGE(""1-UhNsOeztW9Pb9erDsF-VyNtqmgMF6YtUafhy7MSifo"",""Бланк_заказа!C85"")"),"Чикен Строганов с картофельными дольками")</f>
        <v>Чикен Строганов с картофельными дольками</v>
      </c>
      <c r="D80" s="38"/>
      <c r="E80" s="25">
        <f ca="1">IFERROR(__xludf.DUMMYFUNCTION("IMPORTRANGE(""1-UhNsOeztW9Pb9erDsF-VyNtqmgMF6YtUafhy7MSifo"",""Бланк_заказа!E85"")"),185)</f>
        <v>185</v>
      </c>
      <c r="F80" s="27">
        <f ca="1">IFERROR(__xludf.DUMMYFUNCTION("IMPORTRANGE(""1-UhNsOeztW9Pb9erDsF-VyNtqmgMF6YtUafhy7MSifo"",""Бланк_заказа!F85"")"),260)</f>
        <v>260</v>
      </c>
      <c r="G80" s="27">
        <f ca="1">IFERROR(__xludf.DUMMYFUNCTION("IMPORTRANGE(""1-UhNsOeztW9Pb9erDsF-VyNtqmgMF6YtUafhy7MSifo"",""Бланк_заказа!G85"")"),36)</f>
        <v>36</v>
      </c>
      <c r="H80" s="27" t="str">
        <f ca="1">IFERROR(__xludf.DUMMYFUNCTION("IMPORTRANGE(""1-UhNsOeztW9Pb9erDsF-VyNtqmgMF6YtUafhy7MSifo"",""Бланк_заказа!H85"")")," +2+6")</f>
        <v xml:space="preserve"> +2+6</v>
      </c>
      <c r="I80" s="28">
        <f t="shared" ca="1" si="1"/>
        <v>0</v>
      </c>
    </row>
    <row r="81" spans="1:9" ht="15.6">
      <c r="A81" s="54" t="s">
        <v>28</v>
      </c>
      <c r="B81" s="16" t="s">
        <v>21</v>
      </c>
      <c r="C81" s="21" t="str">
        <f ca="1">IFERROR(__xludf.DUMMYFUNCTION("IMPORTRANGE(""1-UhNsOeztW9Pb9erDsF-VyNtqmgMF6YtUafhy7MSifo"",""Бланк_заказа!C86"")"),"Чиабатта ""Цезарь""")</f>
        <v>Чиабатта "Цезарь"</v>
      </c>
      <c r="D81" s="22"/>
      <c r="E81" s="21">
        <f ca="1">IFERROR(__xludf.DUMMYFUNCTION("IMPORTRANGE(""1-UhNsOeztW9Pb9erDsF-VyNtqmgMF6YtUafhy7MSifo"",""Бланк_заказа!E86"")"),169)</f>
        <v>169</v>
      </c>
      <c r="F81" s="23">
        <f ca="1">IFERROR(__xludf.DUMMYFUNCTION("IMPORTRANGE(""1-UhNsOeztW9Pb9erDsF-VyNtqmgMF6YtUafhy7MSifo"",""Бланк_заказа!F86"")"),195)</f>
        <v>195</v>
      </c>
      <c r="G81" s="23">
        <f ca="1">IFERROR(__xludf.DUMMYFUNCTION("IMPORTRANGE(""1-UhNsOeztW9Pb9erDsF-VyNtqmgMF6YtUafhy7MSifo"",""Бланк_заказа!G86"")"),48)</f>
        <v>48</v>
      </c>
      <c r="H81" s="23" t="str">
        <f ca="1">IFERROR(__xludf.DUMMYFUNCTION("IMPORTRANGE(""1-UhNsOeztW9Pb9erDsF-VyNtqmgMF6YtUafhy7MSifo"",""Бланк_заказа!H86"")")," +4+6")</f>
        <v xml:space="preserve"> +4+6</v>
      </c>
      <c r="I81" s="24">
        <f t="shared" ca="1" si="1"/>
        <v>0</v>
      </c>
    </row>
    <row r="82" spans="1:9" ht="15.6">
      <c r="A82" s="55"/>
      <c r="B82" s="16" t="s">
        <v>21</v>
      </c>
      <c r="C82" s="21" t="str">
        <f ca="1">IFERROR(__xludf.DUMMYFUNCTION("IMPORTRANGE(""1-UhNsOeztW9Pb9erDsF-VyNtqmgMF6YtUafhy7MSifo"",""Бланк_заказа!C87"")"),"Чиабатта Италия (на чиабатте с вялеными томатами)")</f>
        <v>Чиабатта Италия (на чиабатте с вялеными томатами)</v>
      </c>
      <c r="D82" s="22"/>
      <c r="E82" s="21">
        <f ca="1">IFERROR(__xludf.DUMMYFUNCTION("IMPORTRANGE(""1-UhNsOeztW9Pb9erDsF-VyNtqmgMF6YtUafhy7MSifo"",""Бланк_заказа!E87"")"),169)</f>
        <v>169</v>
      </c>
      <c r="F82" s="23">
        <f ca="1">IFERROR(__xludf.DUMMYFUNCTION("IMPORTRANGE(""1-UhNsOeztW9Pb9erDsF-VyNtqmgMF6YtUafhy7MSifo"",""Бланк_заказа!F87"")"),185)</f>
        <v>185</v>
      </c>
      <c r="G82" s="23">
        <f ca="1">IFERROR(__xludf.DUMMYFUNCTION("IMPORTRANGE(""1-UhNsOeztW9Pb9erDsF-VyNtqmgMF6YtUafhy7MSifo"",""Бланк_заказа!G87"")"),48)</f>
        <v>48</v>
      </c>
      <c r="H82" s="23" t="str">
        <f ca="1">IFERROR(__xludf.DUMMYFUNCTION("IMPORTRANGE(""1-UhNsOeztW9Pb9erDsF-VyNtqmgMF6YtUafhy7MSifo"",""Бланк_заказа!H87"")")," +4+6")</f>
        <v xml:space="preserve"> +4+6</v>
      </c>
      <c r="I82" s="24">
        <f t="shared" ca="1" si="1"/>
        <v>0</v>
      </c>
    </row>
    <row r="83" spans="1:9" ht="18">
      <c r="A83" s="1"/>
      <c r="B83" s="16"/>
      <c r="C83" s="11" t="s">
        <v>29</v>
      </c>
      <c r="D83" s="12" t="s">
        <v>10</v>
      </c>
      <c r="E83" s="13"/>
      <c r="F83" s="14"/>
      <c r="G83" s="14"/>
      <c r="H83" s="14"/>
      <c r="I83" s="15"/>
    </row>
    <row r="84" spans="1:9" ht="15.6">
      <c r="A84" s="54" t="s">
        <v>30</v>
      </c>
      <c r="B84" s="16" t="s">
        <v>31</v>
      </c>
      <c r="C84" s="17" t="str">
        <f ca="1">IFERROR(__xludf.DUMMYFUNCTION("IMPORTRANGE(""1-UhNsOeztW9Pb9erDsF-VyNtqmgMF6YtUafhy7MSifo"",""Бланк_заказа!C94"")"),"Булочка с апельсиновым конфи и шоколадом")</f>
        <v>Булочка с апельсиновым конфи и шоколадом</v>
      </c>
      <c r="D84" s="18"/>
      <c r="E84" s="17">
        <f ca="1">IFERROR(__xludf.DUMMYFUNCTION("IMPORTRANGE(""1-UhNsOeztW9Pb9erDsF-VyNtqmgMF6YtUafhy7MSifo"",""Бланк_заказа!E94"")"),94)</f>
        <v>94</v>
      </c>
      <c r="F84" s="19">
        <f ca="1">IFERROR(__xludf.DUMMYFUNCTION("IMPORTRANGE(""1-UhNsOeztW9Pb9erDsF-VyNtqmgMF6YtUafhy7MSifo"",""Бланк_заказа!F94"")"),105)</f>
        <v>105</v>
      </c>
      <c r="G84" s="19">
        <f ca="1">IFERROR(__xludf.DUMMYFUNCTION("IMPORTRANGE(""1-UhNsOeztW9Pb9erDsF-VyNtqmgMF6YtUafhy7MSifo"",""Бланк_заказа!G94"")"),24)</f>
        <v>24</v>
      </c>
      <c r="H84" s="19" t="str">
        <f ca="1">IFERROR(__xludf.DUMMYFUNCTION("IMPORTRANGE(""1-UhNsOeztW9Pb9erDsF-VyNtqmgMF6YtUafhy7MSifo"",""Бланк_заказа!H94"")")," +5+18")</f>
        <v xml:space="preserve"> +5+18</v>
      </c>
      <c r="I84" s="20">
        <f t="shared" ref="I84:I111" ca="1" si="2">E84*D84</f>
        <v>0</v>
      </c>
    </row>
    <row r="85" spans="1:9" ht="15.6">
      <c r="A85" s="55"/>
      <c r="B85" s="16" t="s">
        <v>31</v>
      </c>
      <c r="C85" s="21" t="str">
        <f ca="1">IFERROR(__xludf.DUMMYFUNCTION("IMPORTRANGE(""1-UhNsOeztW9Pb9erDsF-VyNtqmgMF6YtUafhy7MSifo"",""Бланк_заказа!C95"")"),"Булочка с корицей")</f>
        <v>Булочка с корицей</v>
      </c>
      <c r="D85" s="22"/>
      <c r="E85" s="21">
        <f ca="1">IFERROR(__xludf.DUMMYFUNCTION("IMPORTRANGE(""1-UhNsOeztW9Pb9erDsF-VyNtqmgMF6YtUafhy7MSifo"",""Бланк_заказа!E95"")"),87)</f>
        <v>87</v>
      </c>
      <c r="F85" s="23">
        <f ca="1">IFERROR(__xludf.DUMMYFUNCTION("IMPORTRANGE(""1-UhNsOeztW9Pb9erDsF-VyNtqmgMF6YtUafhy7MSifo"",""Бланк_заказа!F95"")"),100)</f>
        <v>100</v>
      </c>
      <c r="G85" s="23">
        <f ca="1">IFERROR(__xludf.DUMMYFUNCTION("IMPORTRANGE(""1-UhNsOeztW9Pb9erDsF-VyNtqmgMF6YtUafhy7MSifo"",""Бланк_заказа!G95"")"),24)</f>
        <v>24</v>
      </c>
      <c r="H85" s="23" t="str">
        <f ca="1">IFERROR(__xludf.DUMMYFUNCTION("IMPORTRANGE(""1-UhNsOeztW9Pb9erDsF-VyNtqmgMF6YtUafhy7MSifo"",""Бланк_заказа!H95"")")," +2+6")</f>
        <v xml:space="preserve"> +2+6</v>
      </c>
      <c r="I85" s="24">
        <f t="shared" ca="1" si="2"/>
        <v>0</v>
      </c>
    </row>
    <row r="86" spans="1:9" ht="15.6">
      <c r="A86" s="55"/>
      <c r="B86" s="16" t="s">
        <v>31</v>
      </c>
      <c r="C86" s="21" t="str">
        <f ca="1">IFERROR(__xludf.DUMMYFUNCTION("IMPORTRANGE(""1-UhNsOeztW9Pb9erDsF-VyNtqmgMF6YtUafhy7MSifo"",""Бланк_заказа!C96"")"),"Улитка с маком")</f>
        <v>Улитка с маком</v>
      </c>
      <c r="D86" s="22"/>
      <c r="E86" s="21">
        <f ca="1">IFERROR(__xludf.DUMMYFUNCTION("IMPORTRANGE(""1-UhNsOeztW9Pb9erDsF-VyNtqmgMF6YtUafhy7MSifo"",""Бланк_заказа!E96"")"),103)</f>
        <v>103</v>
      </c>
      <c r="F86" s="23">
        <f ca="1">IFERROR(__xludf.DUMMYFUNCTION("IMPORTRANGE(""1-UhNsOeztW9Pb9erDsF-VyNtqmgMF6YtUafhy7MSifo"",""Бланк_заказа!F96"")"),90)</f>
        <v>90</v>
      </c>
      <c r="G86" s="23">
        <f ca="1">IFERROR(__xludf.DUMMYFUNCTION("IMPORTRANGE(""1-UhNsOeztW9Pb9erDsF-VyNtqmgMF6YtUafhy7MSifo"",""Бланк_заказа!G96"")"),24)</f>
        <v>24</v>
      </c>
      <c r="H86" s="23" t="str">
        <f ca="1">IFERROR(__xludf.DUMMYFUNCTION("IMPORTRANGE(""1-UhNsOeztW9Pb9erDsF-VyNtqmgMF6YtUafhy7MSifo"",""Бланк_заказа!H96"")")," +2+6")</f>
        <v xml:space="preserve"> +2+6</v>
      </c>
      <c r="I86" s="24">
        <f t="shared" ca="1" si="2"/>
        <v>0</v>
      </c>
    </row>
    <row r="87" spans="1:9" ht="15.6">
      <c r="A87" s="55"/>
      <c r="B87" s="16" t="s">
        <v>31</v>
      </c>
      <c r="C87" s="21" t="str">
        <f ca="1">IFERROR(__xludf.DUMMYFUNCTION("IMPORTRANGE(""1-UhNsOeztW9Pb9erDsF-VyNtqmgMF6YtUafhy7MSifo"",""Бланк_заказа!C97"")"),"Улитка с орехом")</f>
        <v>Улитка с орехом</v>
      </c>
      <c r="D87" s="22"/>
      <c r="E87" s="21">
        <f ca="1">IFERROR(__xludf.DUMMYFUNCTION("IMPORTRANGE(""1-UhNsOeztW9Pb9erDsF-VyNtqmgMF6YtUafhy7MSifo"",""Бланк_заказа!E97"")"),115)</f>
        <v>115</v>
      </c>
      <c r="F87" s="23">
        <f ca="1">IFERROR(__xludf.DUMMYFUNCTION("IMPORTRANGE(""1-UhNsOeztW9Pb9erDsF-VyNtqmgMF6YtUafhy7MSifo"",""Бланк_заказа!F97"")"),90)</f>
        <v>90</v>
      </c>
      <c r="G87" s="23">
        <f ca="1">IFERROR(__xludf.DUMMYFUNCTION("IMPORTRANGE(""1-UhNsOeztW9Pb9erDsF-VyNtqmgMF6YtUafhy7MSifo"",""Бланк_заказа!G97"")"),24)</f>
        <v>24</v>
      </c>
      <c r="H87" s="23" t="str">
        <f ca="1">IFERROR(__xludf.DUMMYFUNCTION("IMPORTRANGE(""1-UhNsOeztW9Pb9erDsF-VyNtqmgMF6YtUafhy7MSifo"",""Бланк_заказа!H97"")")," +2+6")</f>
        <v xml:space="preserve"> +2+6</v>
      </c>
      <c r="I87" s="24">
        <f t="shared" ca="1" si="2"/>
        <v>0</v>
      </c>
    </row>
    <row r="88" spans="1:9" ht="15.6">
      <c r="A88" s="55"/>
      <c r="B88" s="16" t="s">
        <v>31</v>
      </c>
      <c r="C88" s="25" t="str">
        <f ca="1">IFERROR(__xludf.DUMMYFUNCTION("IMPORTRANGE(""1-UhNsOeztW9Pb9erDsF-VyNtqmgMF6YtUafhy7MSifo"",""Бланк_заказа!C98"")"),"Улитка с яблоком")</f>
        <v>Улитка с яблоком</v>
      </c>
      <c r="D88" s="26"/>
      <c r="E88" s="25">
        <f ca="1">IFERROR(__xludf.DUMMYFUNCTION("IMPORTRANGE(""1-UhNsOeztW9Pb9erDsF-VyNtqmgMF6YtUafhy7MSifo"",""Бланк_заказа!E98"")"),103)</f>
        <v>103</v>
      </c>
      <c r="F88" s="27">
        <f ca="1">IFERROR(__xludf.DUMMYFUNCTION("IMPORTRANGE(""1-UhNsOeztW9Pb9erDsF-VyNtqmgMF6YtUafhy7MSifo"",""Бланк_заказа!F98"")"),115)</f>
        <v>115</v>
      </c>
      <c r="G88" s="27">
        <f ca="1">IFERROR(__xludf.DUMMYFUNCTION("IMPORTRANGE(""1-UhNsOeztW9Pb9erDsF-VyNtqmgMF6YtUafhy7MSifo"",""Бланк_заказа!G98"")"),24)</f>
        <v>24</v>
      </c>
      <c r="H88" s="27" t="str">
        <f ca="1">IFERROR(__xludf.DUMMYFUNCTION("IMPORTRANGE(""1-UhNsOeztW9Pb9erDsF-VyNtqmgMF6YtUafhy7MSifo"",""Бланк_заказа!H98"")")," +2+6")</f>
        <v xml:space="preserve"> +2+6</v>
      </c>
      <c r="I88" s="28">
        <f t="shared" ca="1" si="2"/>
        <v>0</v>
      </c>
    </row>
    <row r="89" spans="1:9" ht="15.6">
      <c r="A89" s="56" t="s">
        <v>32</v>
      </c>
      <c r="B89" s="30" t="s">
        <v>31</v>
      </c>
      <c r="C89" s="21" t="str">
        <f ca="1">IFERROR(__xludf.DUMMYFUNCTION("IMPORTRANGE(""1-UhNsOeztW9Pb9erDsF-VyNtqmgMF6YtUafhy7MSifo"",""Бланк_заказа!C99"")"),"Краффин ваниль-малина")</f>
        <v>Краффин ваниль-малина</v>
      </c>
      <c r="D89" s="22"/>
      <c r="E89" s="21">
        <f ca="1">IFERROR(__xludf.DUMMYFUNCTION("IMPORTRANGE(""1-UhNsOeztW9Pb9erDsF-VyNtqmgMF6YtUafhy7MSifo"",""Бланк_заказа!E99"")"),98)</f>
        <v>98</v>
      </c>
      <c r="F89" s="23">
        <f ca="1">IFERROR(__xludf.DUMMYFUNCTION("IMPORTRANGE(""1-UhNsOeztW9Pb9erDsF-VyNtqmgMF6YtUafhy7MSifo"",""Бланк_заказа!F99"")"),90)</f>
        <v>90</v>
      </c>
      <c r="G89" s="23">
        <f ca="1">IFERROR(__xludf.DUMMYFUNCTION("IMPORTRANGE(""1-UhNsOeztW9Pb9erDsF-VyNtqmgMF6YtUafhy7MSifo"",""Бланк_заказа!G99"")"),24)</f>
        <v>24</v>
      </c>
      <c r="H89" s="23" t="str">
        <f ca="1">IFERROR(__xludf.DUMMYFUNCTION("IMPORTRANGE(""1-UhNsOeztW9Pb9erDsF-VyNtqmgMF6YtUafhy7MSifo"",""Бланк_заказа!H99"")")," +2+6")</f>
        <v xml:space="preserve"> +2+6</v>
      </c>
      <c r="I89" s="24">
        <f t="shared" ca="1" si="2"/>
        <v>0</v>
      </c>
    </row>
    <row r="90" spans="1:9" ht="15.6">
      <c r="A90" s="55"/>
      <c r="B90" s="30" t="s">
        <v>31</v>
      </c>
      <c r="C90" s="21" t="str">
        <f ca="1">IFERROR(__xludf.DUMMYFUNCTION("IMPORTRANGE(""1-UhNsOeztW9Pb9erDsF-VyNtqmgMF6YtUafhy7MSifo"",""Бланк_заказа!C100"")"),"Краффин карамель")</f>
        <v>Краффин карамель</v>
      </c>
      <c r="D90" s="22"/>
      <c r="E90" s="21">
        <f ca="1">IFERROR(__xludf.DUMMYFUNCTION("IMPORTRANGE(""1-UhNsOeztW9Pb9erDsF-VyNtqmgMF6YtUafhy7MSifo"",""Бланк_заказа!E100"")"),92)</f>
        <v>92</v>
      </c>
      <c r="F90" s="23">
        <f ca="1">IFERROR(__xludf.DUMMYFUNCTION("IMPORTRANGE(""1-UhNsOeztW9Pb9erDsF-VyNtqmgMF6YtUafhy7MSifo"",""Бланк_заказа!F100"")"),84)</f>
        <v>84</v>
      </c>
      <c r="G90" s="23">
        <f ca="1">IFERROR(__xludf.DUMMYFUNCTION("IMPORTRANGE(""1-UhNsOeztW9Pb9erDsF-VyNtqmgMF6YtUafhy7MSifo"",""Бланк_заказа!G100"")"),24)</f>
        <v>24</v>
      </c>
      <c r="H90" s="23" t="str">
        <f ca="1">IFERROR(__xludf.DUMMYFUNCTION("IMPORTRANGE(""1-UhNsOeztW9Pb9erDsF-VyNtqmgMF6YtUafhy7MSifo"",""Бланк_заказа!H100"")")," +5+18")</f>
        <v xml:space="preserve"> +5+18</v>
      </c>
      <c r="I90" s="24">
        <f t="shared" ca="1" si="2"/>
        <v>0</v>
      </c>
    </row>
    <row r="91" spans="1:9" ht="15.6">
      <c r="A91" s="55"/>
      <c r="B91" s="30" t="s">
        <v>31</v>
      </c>
      <c r="C91" s="21" t="str">
        <f ca="1">IFERROR(__xludf.DUMMYFUNCTION("IMPORTRANGE(""1-UhNsOeztW9Pb9erDsF-VyNtqmgMF6YtUafhy7MSifo"",""Бланк_заказа!C101"")"),"Краффин апельсин-шоколад")</f>
        <v>Краффин апельсин-шоколад</v>
      </c>
      <c r="D91" s="22"/>
      <c r="E91" s="21">
        <f ca="1">IFERROR(__xludf.DUMMYFUNCTION("IMPORTRANGE(""1-UhNsOeztW9Pb9erDsF-VyNtqmgMF6YtUafhy7MSifo"",""Бланк_заказа!E101"")"),95)</f>
        <v>95</v>
      </c>
      <c r="F91" s="23">
        <f ca="1">IFERROR(__xludf.DUMMYFUNCTION("IMPORTRANGE(""1-UhNsOeztW9Pb9erDsF-VyNtqmgMF6YtUafhy7MSifo"",""Бланк_заказа!F101"")"),90)</f>
        <v>90</v>
      </c>
      <c r="G91" s="23">
        <f ca="1">IFERROR(__xludf.DUMMYFUNCTION("IMPORTRANGE(""1-UhNsOeztW9Pb9erDsF-VyNtqmgMF6YtUafhy7MSifo"",""Бланк_заказа!G101"")"),24)</f>
        <v>24</v>
      </c>
      <c r="H91" s="23" t="str">
        <f ca="1">IFERROR(__xludf.DUMMYFUNCTION("IMPORTRANGE(""1-UhNsOeztW9Pb9erDsF-VyNtqmgMF6YtUafhy7MSifo"",""Бланк_заказа!H101"")")," +2+4")</f>
        <v xml:space="preserve"> +2+4</v>
      </c>
      <c r="I91" s="24">
        <f t="shared" ca="1" si="2"/>
        <v>0</v>
      </c>
    </row>
    <row r="92" spans="1:9" ht="15.6">
      <c r="A92" s="55"/>
      <c r="B92" s="42" t="s">
        <v>31</v>
      </c>
      <c r="C92" s="21" t="str">
        <f ca="1">IFERROR(__xludf.DUMMYFUNCTION("IMPORTRANGE(""1-UhNsOeztW9Pb9erDsF-VyNtqmgMF6YtUafhy7MSifo"",""Бланк_заказа!C102"")"),"Краффин с черникой и меренгой")</f>
        <v>Краффин с черникой и меренгой</v>
      </c>
      <c r="D92" s="37"/>
      <c r="E92" s="21">
        <f ca="1">IFERROR(__xludf.DUMMYFUNCTION("IMPORTRANGE(""1-UhNsOeztW9Pb9erDsF-VyNtqmgMF6YtUafhy7MSifo"",""Бланк_заказа!E102"")"),98)</f>
        <v>98</v>
      </c>
      <c r="F92" s="23">
        <f ca="1">IFERROR(__xludf.DUMMYFUNCTION("IMPORTRANGE(""1-UhNsOeztW9Pb9erDsF-VyNtqmgMF6YtUafhy7MSifo"",""Бланк_заказа!F102"")"),90)</f>
        <v>90</v>
      </c>
      <c r="G92" s="23">
        <f ca="1">IFERROR(__xludf.DUMMYFUNCTION("IMPORTRANGE(""1-UhNsOeztW9Pb9erDsF-VyNtqmgMF6YtUafhy7MSifo"",""Бланк_заказа!G102"")"),24)</f>
        <v>24</v>
      </c>
      <c r="H92" s="23" t="str">
        <f ca="1">IFERROR(__xludf.DUMMYFUNCTION("IMPORTRANGE(""1-UhNsOeztW9Pb9erDsF-VyNtqmgMF6YtUafhy7MSifo"",""Бланк_заказа!H102"")")," +2+4")</f>
        <v xml:space="preserve"> +2+4</v>
      </c>
      <c r="I92" s="24">
        <f t="shared" ca="1" si="2"/>
        <v>0</v>
      </c>
    </row>
    <row r="93" spans="1:9" ht="15.6">
      <c r="A93" s="55"/>
      <c r="B93" s="30" t="s">
        <v>31</v>
      </c>
      <c r="C93" s="21" t="str">
        <f ca="1">IFERROR(__xludf.DUMMYFUNCTION("IMPORTRANGE(""1-UhNsOeztW9Pb9erDsF-VyNtqmgMF6YtUafhy7MSifo"",""Бланк_заказа!C103"")"),"Круассан классический пустой")</f>
        <v>Круассан классический пустой</v>
      </c>
      <c r="D93" s="22"/>
      <c r="E93" s="21">
        <f ca="1">IFERROR(__xludf.DUMMYFUNCTION("IMPORTRANGE(""1-UhNsOeztW9Pb9erDsF-VyNtqmgMF6YtUafhy7MSifo"",""Бланк_заказа!E103"")"),77)</f>
        <v>77</v>
      </c>
      <c r="F93" s="23">
        <f ca="1">IFERROR(__xludf.DUMMYFUNCTION("IMPORTRANGE(""1-UhNsOeztW9Pb9erDsF-VyNtqmgMF6YtUafhy7MSifo"",""Бланк_заказа!F103"")"),70)</f>
        <v>70</v>
      </c>
      <c r="G93" s="23">
        <f ca="1">IFERROR(__xludf.DUMMYFUNCTION("IMPORTRANGE(""1-UhNsOeztW9Pb9erDsF-VyNtqmgMF6YtUafhy7MSifo"",""Бланк_заказа!G103"")"),24)</f>
        <v>24</v>
      </c>
      <c r="H93" s="23" t="str">
        <f ca="1">IFERROR(__xludf.DUMMYFUNCTION("IMPORTRANGE(""1-UhNsOeztW9Pb9erDsF-VyNtqmgMF6YtUafhy7MSifo"",""Бланк_заказа!H103"")")," +5+18")</f>
        <v xml:space="preserve"> +5+18</v>
      </c>
      <c r="I93" s="24">
        <f t="shared" ca="1" si="2"/>
        <v>0</v>
      </c>
    </row>
    <row r="94" spans="1:9" ht="15.6">
      <c r="A94" s="55"/>
      <c r="B94" s="30" t="s">
        <v>31</v>
      </c>
      <c r="C94" s="21" t="str">
        <f ca="1">IFERROR(__xludf.DUMMYFUNCTION("IMPORTRANGE(""1-UhNsOeztW9Pb9erDsF-VyNtqmgMF6YtUafhy7MSifo"",""Бланк_заказа!C104"")"),"Круассан с Меренгой и Лимонным кремом")</f>
        <v>Круассан с Меренгой и Лимонным кремом</v>
      </c>
      <c r="D94" s="22"/>
      <c r="E94" s="21">
        <f ca="1">IFERROR(__xludf.DUMMYFUNCTION("IMPORTRANGE(""1-UhNsOeztW9Pb9erDsF-VyNtqmgMF6YtUafhy7MSifo"",""Бланк_заказа!E104"")"),125)</f>
        <v>125</v>
      </c>
      <c r="F94" s="23">
        <f ca="1">IFERROR(__xludf.DUMMYFUNCTION("IMPORTRANGE(""1-UhNsOeztW9Pb9erDsF-VyNtqmgMF6YtUafhy7MSifo"",""Бланк_заказа!F104"")"),120)</f>
        <v>120</v>
      </c>
      <c r="G94" s="23">
        <f ca="1">IFERROR(__xludf.DUMMYFUNCTION("IMPORTRANGE(""1-UhNsOeztW9Pb9erDsF-VyNtqmgMF6YtUafhy7MSifo"",""Бланк_заказа!G104"")"),24)</f>
        <v>24</v>
      </c>
      <c r="H94" s="23" t="str">
        <f ca="1">IFERROR(__xludf.DUMMYFUNCTION("IMPORTRANGE(""1-UhNsOeztW9Pb9erDsF-VyNtqmgMF6YtUafhy7MSifo"",""Бланк_заказа!H104"")")," +2+6")</f>
        <v xml:space="preserve"> +2+6</v>
      </c>
      <c r="I94" s="24">
        <f t="shared" ca="1" si="2"/>
        <v>0</v>
      </c>
    </row>
    <row r="95" spans="1:9" ht="15.6">
      <c r="A95" s="55"/>
      <c r="B95" s="30" t="s">
        <v>31</v>
      </c>
      <c r="C95" s="21" t="str">
        <f ca="1">IFERROR(__xludf.DUMMYFUNCTION("IMPORTRANGE(""1-UhNsOeztW9Pb9erDsF-VyNtqmgMF6YtUafhy7MSifo"",""Бланк_заказа!C105"")"),"Круассан Карамель-Попкорн")</f>
        <v>Круассан Карамель-Попкорн</v>
      </c>
      <c r="D95" s="22"/>
      <c r="E95" s="21">
        <f ca="1">IFERROR(__xludf.DUMMYFUNCTION("IMPORTRANGE(""1-UhNsOeztW9Pb9erDsF-VyNtqmgMF6YtUafhy7MSifo"",""Бланк_заказа!E105"")"),120)</f>
        <v>120</v>
      </c>
      <c r="F95" s="23">
        <f ca="1">IFERROR(__xludf.DUMMYFUNCTION("IMPORTRANGE(""1-UhNsOeztW9Pb9erDsF-VyNtqmgMF6YtUafhy7MSifo"",""Бланк_заказа!F105"")"),115)</f>
        <v>115</v>
      </c>
      <c r="G95" s="23">
        <f ca="1">IFERROR(__xludf.DUMMYFUNCTION("IMPORTRANGE(""1-UhNsOeztW9Pb9erDsF-VyNtqmgMF6YtUafhy7MSifo"",""Бланк_заказа!G105"")"),24)</f>
        <v>24</v>
      </c>
      <c r="H95" s="23" t="str">
        <f ca="1">IFERROR(__xludf.DUMMYFUNCTION("IMPORTRANGE(""1-UhNsOeztW9Pb9erDsF-VyNtqmgMF6YtUafhy7MSifo"",""Бланк_заказа!H105"")")," +2+18")</f>
        <v xml:space="preserve"> +2+18</v>
      </c>
      <c r="I95" s="24">
        <f t="shared" ca="1" si="2"/>
        <v>0</v>
      </c>
    </row>
    <row r="96" spans="1:9" ht="15.6">
      <c r="A96" s="55"/>
      <c r="B96" s="30" t="s">
        <v>31</v>
      </c>
      <c r="C96" s="21" t="str">
        <f ca="1">IFERROR(__xludf.DUMMYFUNCTION("IMPORTRANGE(""1-UhNsOeztW9Pb9erDsF-VyNtqmgMF6YtUafhy7MSifo"",""Бланк_заказа!C106"")"),"Круассан Шоколадный")</f>
        <v>Круассан Шоколадный</v>
      </c>
      <c r="D96" s="22"/>
      <c r="E96" s="21">
        <f ca="1">IFERROR(__xludf.DUMMYFUNCTION("IMPORTRANGE(""1-UhNsOeztW9Pb9erDsF-VyNtqmgMF6YtUafhy7MSifo"",""Бланк_заказа!E106"")"),117)</f>
        <v>117</v>
      </c>
      <c r="F96" s="23">
        <f ca="1">IFERROR(__xludf.DUMMYFUNCTION("IMPORTRANGE(""1-UhNsOeztW9Pb9erDsF-VyNtqmgMF6YtUafhy7MSifo"",""Бланк_заказа!F106"")"),115)</f>
        <v>115</v>
      </c>
      <c r="G96" s="23">
        <f ca="1">IFERROR(__xludf.DUMMYFUNCTION("IMPORTRANGE(""1-UhNsOeztW9Pb9erDsF-VyNtqmgMF6YtUafhy7MSifo"",""Бланк_заказа!G106"")"),24)</f>
        <v>24</v>
      </c>
      <c r="H96" s="23" t="str">
        <f ca="1">IFERROR(__xludf.DUMMYFUNCTION("IMPORTRANGE(""1-UhNsOeztW9Pb9erDsF-VyNtqmgMF6YtUafhy7MSifo"",""Бланк_заказа!H106"")")," +5+18")</f>
        <v xml:space="preserve"> +5+18</v>
      </c>
      <c r="I96" s="24">
        <f t="shared" ca="1" si="2"/>
        <v>0</v>
      </c>
    </row>
    <row r="97" spans="1:11" ht="15.6">
      <c r="A97" s="55"/>
      <c r="B97" s="30" t="s">
        <v>31</v>
      </c>
      <c r="C97" s="21" t="str">
        <f ca="1">IFERROR(__xludf.DUMMYFUNCTION("IMPORTRANGE(""1-UhNsOeztW9Pb9erDsF-VyNtqmgMF6YtUafhy7MSifo"",""Бланк_заказа!C107"")"),"Круассан Миндальный оптим.")</f>
        <v>Круассан Миндальный оптим.</v>
      </c>
      <c r="D97" s="22"/>
      <c r="E97" s="21">
        <f ca="1">IFERROR(__xludf.DUMMYFUNCTION("IMPORTRANGE(""1-UhNsOeztW9Pb9erDsF-VyNtqmgMF6YtUafhy7MSifo"",""Бланк_заказа!E107"")"),134)</f>
        <v>134</v>
      </c>
      <c r="F97" s="23">
        <f ca="1">IFERROR(__xludf.DUMMYFUNCTION("IMPORTRANGE(""1-UhNsOeztW9Pb9erDsF-VyNtqmgMF6YtUafhy7MSifo"",""Бланк_заказа!F107"")"),110)</f>
        <v>110</v>
      </c>
      <c r="G97" s="23">
        <f ca="1">IFERROR(__xludf.DUMMYFUNCTION("IMPORTRANGE(""1-UhNsOeztW9Pb9erDsF-VyNtqmgMF6YtUafhy7MSifo"",""Бланк_заказа!G107"")"),24)</f>
        <v>24</v>
      </c>
      <c r="H97" s="23" t="str">
        <f ca="1">IFERROR(__xludf.DUMMYFUNCTION("IMPORTRANGE(""1-UhNsOeztW9Pb9erDsF-VyNtqmgMF6YtUafhy7MSifo"",""Бланк_заказа!H107"")")," +2+6")</f>
        <v xml:space="preserve"> +2+6</v>
      </c>
      <c r="I97" s="24">
        <f t="shared" ca="1" si="2"/>
        <v>0</v>
      </c>
    </row>
    <row r="98" spans="1:11" ht="15.6">
      <c r="A98" s="55"/>
      <c r="B98" s="30" t="s">
        <v>31</v>
      </c>
      <c r="C98" s="21" t="str">
        <f ca="1">IFERROR(__xludf.DUMMYFUNCTION("IMPORTRANGE(""1-UhNsOeztW9Pb9erDsF-VyNtqmgMF6YtUafhy7MSifo"",""Бланк_заказа!C108"")"),"Круассан Клубничный")</f>
        <v>Круассан Клубничный</v>
      </c>
      <c r="D98" s="22"/>
      <c r="E98" s="21">
        <f ca="1">IFERROR(__xludf.DUMMYFUNCTION("IMPORTRANGE(""1-UhNsOeztW9Pb9erDsF-VyNtqmgMF6YtUafhy7MSifo"",""Бланк_заказа!E108"")"),120)</f>
        <v>120</v>
      </c>
      <c r="F98" s="23">
        <f ca="1">IFERROR(__xludf.DUMMYFUNCTION("IMPORTRANGE(""1-UhNsOeztW9Pb9erDsF-VyNtqmgMF6YtUafhy7MSifo"",""Бланк_заказа!F108"")"),105)</f>
        <v>105</v>
      </c>
      <c r="G98" s="23">
        <f ca="1">IFERROR(__xludf.DUMMYFUNCTION("IMPORTRANGE(""1-UhNsOeztW9Pb9erDsF-VyNtqmgMF6YtUafhy7MSifo"",""Бланк_заказа!G108"")"),24)</f>
        <v>24</v>
      </c>
      <c r="H98" s="23" t="str">
        <f ca="1">IFERROR(__xludf.DUMMYFUNCTION("IMPORTRANGE(""1-UhNsOeztW9Pb9erDsF-VyNtqmgMF6YtUafhy7MSifo"",""Бланк_заказа!H108"")")," +2+4")</f>
        <v xml:space="preserve"> +2+4</v>
      </c>
      <c r="I98" s="24">
        <f t="shared" ca="1" si="2"/>
        <v>0</v>
      </c>
    </row>
    <row r="99" spans="1:11" ht="15.6">
      <c r="A99" s="55"/>
      <c r="B99" s="30" t="s">
        <v>31</v>
      </c>
      <c r="C99" s="21" t="str">
        <f ca="1">IFERROR(__xludf.DUMMYFUNCTION("IMPORTRANGE(""1-UhNsOeztW9Pb9erDsF-VyNtqmgMF6YtUafhy7MSifo"",""Бланк_заказа!C109"")"),"Круассан с Фисташковым кремом и шоколадом")</f>
        <v>Круассан с Фисташковым кремом и шоколадом</v>
      </c>
      <c r="D99" s="22"/>
      <c r="E99" s="21">
        <f ca="1">IFERROR(__xludf.DUMMYFUNCTION("IMPORTRANGE(""1-UhNsOeztW9Pb9erDsF-VyNtqmgMF6YtUafhy7MSifo"",""Бланк_заказа!E109"")"),120)</f>
        <v>120</v>
      </c>
      <c r="F99" s="23">
        <f ca="1">IFERROR(__xludf.DUMMYFUNCTION("IMPORTRANGE(""1-UhNsOeztW9Pb9erDsF-VyNtqmgMF6YtUafhy7MSifo"",""Бланк_заказа!F109"")"),115)</f>
        <v>115</v>
      </c>
      <c r="G99" s="23">
        <f ca="1">IFERROR(__xludf.DUMMYFUNCTION("IMPORTRANGE(""1-UhNsOeztW9Pb9erDsF-VyNtqmgMF6YtUafhy7MSifo"",""Бланк_заказа!G109"")"),24)</f>
        <v>24</v>
      </c>
      <c r="H99" s="23" t="str">
        <f ca="1">IFERROR(__xludf.DUMMYFUNCTION("IMPORTRANGE(""1-UhNsOeztW9Pb9erDsF-VyNtqmgMF6YtUafhy7MSifo"",""Бланк_заказа!H109"")")," +2+4")</f>
        <v xml:space="preserve"> +2+4</v>
      </c>
      <c r="I99" s="24">
        <f t="shared" ca="1" si="2"/>
        <v>0</v>
      </c>
    </row>
    <row r="100" spans="1:11" ht="15.6">
      <c r="A100" s="55"/>
      <c r="B100" s="30" t="s">
        <v>31</v>
      </c>
      <c r="C100" s="21" t="str">
        <f ca="1">IFERROR(__xludf.DUMMYFUNCTION("IMPORTRANGE(""1-UhNsOeztW9Pb9erDsF-VyNtqmgMF6YtUafhy7MSifo"",""Бланк_заказа!C110"")"),"Круассан с ветчиной и сыром")</f>
        <v>Круассан с ветчиной и сыром</v>
      </c>
      <c r="D100" s="22"/>
      <c r="E100" s="21">
        <f ca="1">IFERROR(__xludf.DUMMYFUNCTION("IMPORTRANGE(""1-UhNsOeztW9Pb9erDsF-VyNtqmgMF6YtUafhy7MSifo"",""Бланк_заказа!E110"")"),145)</f>
        <v>145</v>
      </c>
      <c r="F100" s="23">
        <f ca="1">IFERROR(__xludf.DUMMYFUNCTION("IMPORTRANGE(""1-UhNsOeztW9Pb9erDsF-VyNtqmgMF6YtUafhy7MSifo"",""Бланк_заказа!F110"")"),108)</f>
        <v>108</v>
      </c>
      <c r="G100" s="23">
        <f ca="1">IFERROR(__xludf.DUMMYFUNCTION("IMPORTRANGE(""1-UhNsOeztW9Pb9erDsF-VyNtqmgMF6YtUafhy7MSifo"",""Бланк_заказа!G110"")"),24)</f>
        <v>24</v>
      </c>
      <c r="H100" s="23" t="str">
        <f ca="1">IFERROR(__xludf.DUMMYFUNCTION("IMPORTRANGE(""1-UhNsOeztW9Pb9erDsF-VyNtqmgMF6YtUafhy7MSifo"",""Бланк_заказа!H110"")")," +2+6")</f>
        <v xml:space="preserve"> +2+6</v>
      </c>
      <c r="I100" s="24">
        <f t="shared" ca="1" si="2"/>
        <v>0</v>
      </c>
    </row>
    <row r="101" spans="1:11" ht="15.6">
      <c r="A101" s="55"/>
      <c r="B101" s="30" t="s">
        <v>31</v>
      </c>
      <c r="C101" s="21" t="str">
        <f ca="1">IFERROR(__xludf.DUMMYFUNCTION("IMPORTRANGE(""1-UhNsOeztW9Pb9erDsF-VyNtqmgMF6YtUafhy7MSifo"",""Бланк_заказа!C111"")"),"Круассан с сыром")</f>
        <v>Круассан с сыром</v>
      </c>
      <c r="D101" s="22"/>
      <c r="E101" s="21">
        <f ca="1">IFERROR(__xludf.DUMMYFUNCTION("IMPORTRANGE(""1-UhNsOeztW9Pb9erDsF-VyNtqmgMF6YtUafhy7MSifo"",""Бланк_заказа!E111"")"),121)</f>
        <v>121</v>
      </c>
      <c r="F101" s="23">
        <f ca="1">IFERROR(__xludf.DUMMYFUNCTION("IMPORTRANGE(""1-UhNsOeztW9Pb9erDsF-VyNtqmgMF6YtUafhy7MSifo"",""Бланк_заказа!F111"")"),90)</f>
        <v>90</v>
      </c>
      <c r="G101" s="23">
        <f ca="1">IFERROR(__xludf.DUMMYFUNCTION("IMPORTRANGE(""1-UhNsOeztW9Pb9erDsF-VyNtqmgMF6YtUafhy7MSifo"",""Бланк_заказа!G111"")"),24)</f>
        <v>24</v>
      </c>
      <c r="H101" s="23" t="str">
        <f ca="1">IFERROR(__xludf.DUMMYFUNCTION("IMPORTRANGE(""1-UhNsOeztW9Pb9erDsF-VyNtqmgMF6YtUafhy7MSifo"",""Бланк_заказа!H111"")")," +2+6")</f>
        <v xml:space="preserve"> +2+6</v>
      </c>
      <c r="I101" s="24">
        <f t="shared" ca="1" si="2"/>
        <v>0</v>
      </c>
    </row>
    <row r="102" spans="1:11" ht="15.6">
      <c r="A102" s="29"/>
      <c r="B102" s="30" t="s">
        <v>31</v>
      </c>
      <c r="C102" s="21" t="str">
        <f ca="1">IFERROR(__xludf.DUMMYFUNCTION("IMPORTRANGE(""1-UhNsOeztW9Pb9erDsF-VyNtqmgMF6YtUafhy7MSifo"",""Бланк_заказа!C112"")"),"Рондель с ванилью и пеканом")</f>
        <v>Рондель с ванилью и пеканом</v>
      </c>
      <c r="D102" s="22"/>
      <c r="E102" s="21">
        <f ca="1">IFERROR(__xludf.DUMMYFUNCTION("IMPORTRANGE(""1-UhNsOeztW9Pb9erDsF-VyNtqmgMF6YtUafhy7MSifo"",""Бланк_заказа!E112"")"),98)</f>
        <v>98</v>
      </c>
      <c r="F102" s="23">
        <f ca="1">IFERROR(__xludf.DUMMYFUNCTION("IMPORTRANGE(""1-UhNsOeztW9Pb9erDsF-VyNtqmgMF6YtUafhy7MSifo"",""Бланк_заказа!F112"")"),90)</f>
        <v>90</v>
      </c>
      <c r="G102" s="23">
        <f ca="1">IFERROR(__xludf.DUMMYFUNCTION("IMPORTRANGE(""1-UhNsOeztW9Pb9erDsF-VyNtqmgMF6YtUafhy7MSifo"",""Бланк_заказа!G112"")"),24)</f>
        <v>24</v>
      </c>
      <c r="H102" s="23" t="str">
        <f ca="1">IFERROR(__xludf.DUMMYFUNCTION("IMPORTRANGE(""1-UhNsOeztW9Pb9erDsF-VyNtqmgMF6YtUafhy7MSifo"",""Бланк_заказа!H112"")")," +2+4")</f>
        <v xml:space="preserve"> +2+4</v>
      </c>
      <c r="I102" s="24">
        <f t="shared" ca="1" si="2"/>
        <v>0</v>
      </c>
    </row>
    <row r="103" spans="1:11" ht="15.6">
      <c r="A103" s="29"/>
      <c r="B103" s="30" t="s">
        <v>31</v>
      </c>
      <c r="C103" s="21" t="str">
        <f ca="1">IFERROR(__xludf.DUMMYFUNCTION("IMPORTRANGE(""1-UhNsOeztW9Pb9erDsF-VyNtqmgMF6YtUafhy7MSifo"",""Бланк_заказа!C113"")"),"Рондель с пралине и фундуком")</f>
        <v>Рондель с пралине и фундуком</v>
      </c>
      <c r="D103" s="22"/>
      <c r="E103" s="21">
        <f ca="1">IFERROR(__xludf.DUMMYFUNCTION("IMPORTRANGE(""1-UhNsOeztW9Pb9erDsF-VyNtqmgMF6YtUafhy7MSifo"",""Бланк_заказа!E113"")"),105)</f>
        <v>105</v>
      </c>
      <c r="F103" s="23">
        <f ca="1">IFERROR(__xludf.DUMMYFUNCTION("IMPORTRANGE(""1-UhNsOeztW9Pb9erDsF-VyNtqmgMF6YtUafhy7MSifo"",""Бланк_заказа!F113"")"),100)</f>
        <v>100</v>
      </c>
      <c r="G103" s="23">
        <f ca="1">IFERROR(__xludf.DUMMYFUNCTION("IMPORTRANGE(""1-UhNsOeztW9Pb9erDsF-VyNtqmgMF6YtUafhy7MSifo"",""Бланк_заказа!G113"")"),24)</f>
        <v>24</v>
      </c>
      <c r="H103" s="23" t="str">
        <f ca="1">IFERROR(__xludf.DUMMYFUNCTION("IMPORTRANGE(""1-UhNsOeztW9Pb9erDsF-VyNtqmgMF6YtUafhy7MSifo"",""Бланк_заказа!H113"")")," +2+4")</f>
        <v xml:space="preserve"> +2+4</v>
      </c>
      <c r="I103" s="24">
        <f t="shared" ca="1" si="2"/>
        <v>0</v>
      </c>
    </row>
    <row r="104" spans="1:11" ht="15.6">
      <c r="A104" s="54"/>
      <c r="B104" s="16" t="s">
        <v>31</v>
      </c>
      <c r="C104" s="17" t="str">
        <f ca="1">IFERROR(__xludf.DUMMYFUNCTION("IMPORTRANGE(""1-UhNsOeztW9Pb9erDsF-VyNtqmgMF6YtUafhy7MSifo"",""Бланк_заказа!C114"")"),"Кукис Шоколад")</f>
        <v>Кукис Шоколад</v>
      </c>
      <c r="D104" s="18"/>
      <c r="E104" s="17">
        <f ca="1">IFERROR(__xludf.DUMMYFUNCTION("IMPORTRANGE(""1-UhNsOeztW9Pb9erDsF-VyNtqmgMF6YtUafhy7MSifo"",""Бланк_заказа!E114"")"),135)</f>
        <v>135</v>
      </c>
      <c r="F104" s="19">
        <f ca="1">IFERROR(__xludf.DUMMYFUNCTION("IMPORTRANGE(""1-UhNsOeztW9Pb9erDsF-VyNtqmgMF6YtUafhy7MSifo"",""Бланк_заказа!F114"")"),100)</f>
        <v>100</v>
      </c>
      <c r="G104" s="19">
        <f ca="1">IFERROR(__xludf.DUMMYFUNCTION("IMPORTRANGE(""1-UhNsOeztW9Pb9erDsF-VyNtqmgMF6YtUafhy7MSifo"",""Бланк_заказа!G114"")"),336)</f>
        <v>336</v>
      </c>
      <c r="H104" s="19" t="str">
        <f ca="1">IFERROR(__xludf.DUMMYFUNCTION("IMPORTRANGE(""1-UhNsOeztW9Pb9erDsF-VyNtqmgMF6YtUafhy7MSifo"",""Бланк_заказа!H114"")")," +5+18")</f>
        <v xml:space="preserve"> +5+18</v>
      </c>
      <c r="I104" s="20">
        <f t="shared" ca="1" si="2"/>
        <v>0</v>
      </c>
    </row>
    <row r="105" spans="1:11" ht="15.6">
      <c r="A105" s="55"/>
      <c r="B105" s="16" t="s">
        <v>31</v>
      </c>
      <c r="C105" s="21" t="str">
        <f ca="1">IFERROR(__xludf.DUMMYFUNCTION("IMPORTRANGE(""1-UhNsOeztW9Pb9erDsF-VyNtqmgMF6YtUafhy7MSifo"",""Бланк_заказа!C115"")"),"Слойка Жюльен с грибами")</f>
        <v>Слойка Жюльен с грибами</v>
      </c>
      <c r="D105" s="22"/>
      <c r="E105" s="21">
        <f ca="1">IFERROR(__xludf.DUMMYFUNCTION("IMPORTRANGE(""1-UhNsOeztW9Pb9erDsF-VyNtqmgMF6YtUafhy7MSifo"",""Бланк_заказа!E115"")"),145)</f>
        <v>145</v>
      </c>
      <c r="F105" s="23">
        <f ca="1">IFERROR(__xludf.DUMMYFUNCTION("IMPORTRANGE(""1-UhNsOeztW9Pb9erDsF-VyNtqmgMF6YtUafhy7MSifo"",""Бланк_заказа!F115"")"),115)</f>
        <v>115</v>
      </c>
      <c r="G105" s="23">
        <f ca="1">IFERROR(__xludf.DUMMYFUNCTION("IMPORTRANGE(""1-UhNsOeztW9Pb9erDsF-VyNtqmgMF6YtUafhy7MSifo"",""Бланк_заказа!G115"")"),24)</f>
        <v>24</v>
      </c>
      <c r="H105" s="23" t="str">
        <f ca="1">IFERROR(__xludf.DUMMYFUNCTION("IMPORTRANGE(""1-UhNsOeztW9Pb9erDsF-VyNtqmgMF6YtUafhy7MSifo"",""Бланк_заказа!H115"")")," +2+4")</f>
        <v xml:space="preserve"> +2+4</v>
      </c>
      <c r="I105" s="24">
        <f t="shared" ca="1" si="2"/>
        <v>0</v>
      </c>
    </row>
    <row r="106" spans="1:11" ht="15.6">
      <c r="A106" s="55"/>
      <c r="B106" s="16" t="s">
        <v>31</v>
      </c>
      <c r="C106" s="21" t="str">
        <f ca="1">IFERROR(__xludf.DUMMYFUNCTION("IMPORTRANGE(""1-UhNsOeztW9Pb9erDsF-VyNtqmgMF6YtUafhy7MSifo"",""Бланк_заказа!C116"")"),"Ватрушка с творогом и апельсиновыми цукатами")</f>
        <v>Ватрушка с творогом и апельсиновыми цукатами</v>
      </c>
      <c r="D106" s="22"/>
      <c r="E106" s="21">
        <f ca="1">IFERROR(__xludf.DUMMYFUNCTION("IMPORTRANGE(""1-UhNsOeztW9Pb9erDsF-VyNtqmgMF6YtUafhy7MSifo"",""Бланк_заказа!E116"")"),93)</f>
        <v>93</v>
      </c>
      <c r="F106" s="23">
        <f ca="1">IFERROR(__xludf.DUMMYFUNCTION("IMPORTRANGE(""1-UhNsOeztW9Pb9erDsF-VyNtqmgMF6YtUafhy7MSifo"",""Бланк_заказа!F116"")"),98)</f>
        <v>98</v>
      </c>
      <c r="G106" s="23">
        <f ca="1">IFERROR(__xludf.DUMMYFUNCTION("IMPORTRANGE(""1-UhNsOeztW9Pb9erDsF-VyNtqmgMF6YtUafhy7MSifo"",""Бланк_заказа!G116"")"),36)</f>
        <v>36</v>
      </c>
      <c r="H106" s="23" t="str">
        <f ca="1">IFERROR(__xludf.DUMMYFUNCTION("IMPORTRANGE(""1-UhNsOeztW9Pb9erDsF-VyNtqmgMF6YtUafhy7MSifo"",""Бланк_заказа!H116"")")," +4+6")</f>
        <v xml:space="preserve"> +4+6</v>
      </c>
      <c r="I106" s="24">
        <f t="shared" ca="1" si="2"/>
        <v>0</v>
      </c>
      <c r="K106" s="47"/>
    </row>
    <row r="107" spans="1:11" ht="15.6">
      <c r="A107" s="55"/>
      <c r="B107" s="16" t="s">
        <v>31</v>
      </c>
      <c r="C107" s="21" t="str">
        <f ca="1">IFERROR(__xludf.DUMMYFUNCTION("IMPORTRANGE(""1-UhNsOeztW9Pb9erDsF-VyNtqmgMF6YtUafhy7MSifo"",""Бланк_заказа!C117"")"),"Паштель де ната")</f>
        <v>Паштель де ната</v>
      </c>
      <c r="D107" s="37"/>
      <c r="E107" s="21">
        <f ca="1">IFERROR(__xludf.DUMMYFUNCTION("IMPORTRANGE(""1-UhNsOeztW9Pb9erDsF-VyNtqmgMF6YtUafhy7MSifo"",""Бланк_заказа!E117"")"),67)</f>
        <v>67</v>
      </c>
      <c r="F107" s="23">
        <f ca="1">IFERROR(__xludf.DUMMYFUNCTION("IMPORTRANGE(""1-UhNsOeztW9Pb9erDsF-VyNtqmgMF6YtUafhy7MSifo"",""Бланк_заказа!F117"")"),64)</f>
        <v>64</v>
      </c>
      <c r="G107" s="23">
        <f ca="1">IFERROR(__xludf.DUMMYFUNCTION("IMPORTRANGE(""1-UhNsOeztW9Pb9erDsF-VyNtqmgMF6YtUafhy7MSifo"",""Бланк_заказа!G117"")"),36)</f>
        <v>36</v>
      </c>
      <c r="H107" s="23" t="str">
        <f ca="1">IFERROR(__xludf.DUMMYFUNCTION("IMPORTRANGE(""1-UhNsOeztW9Pb9erDsF-VyNtqmgMF6YtUafhy7MSifo"",""Бланк_заказа!H117"")")," +4+6")</f>
        <v xml:space="preserve"> +4+6</v>
      </c>
      <c r="I107" s="24">
        <f t="shared" ca="1" si="2"/>
        <v>0</v>
      </c>
      <c r="K107" s="47"/>
    </row>
    <row r="108" spans="1:11" ht="15.6">
      <c r="A108" s="55"/>
      <c r="B108" s="36" t="s">
        <v>31</v>
      </c>
      <c r="C108" s="21" t="str">
        <f ca="1">IFERROR(__xludf.DUMMYFUNCTION("IMPORTRANGE(""1-UhNsOeztW9Pb9erDsF-VyNtqmgMF6YtUafhy7MSifo"",""Бланк_заказа!C118"")"),"Плетёнка с шоколадом и орехами")</f>
        <v>Плетёнка с шоколадом и орехами</v>
      </c>
      <c r="D108" s="37"/>
      <c r="E108" s="21">
        <f ca="1">IFERROR(__xludf.DUMMYFUNCTION("IMPORTRANGE(""1-UhNsOeztW9Pb9erDsF-VyNtqmgMF6YtUafhy7MSifo"",""Бланк_заказа!E118"")"),123)</f>
        <v>123</v>
      </c>
      <c r="F108" s="23">
        <f ca="1">IFERROR(__xludf.DUMMYFUNCTION("IMPORTRANGE(""1-UhNsOeztW9Pb9erDsF-VyNtqmgMF6YtUafhy7MSifo"",""Бланк_заказа!F118"")"),105)</f>
        <v>105</v>
      </c>
      <c r="G108" s="23">
        <f ca="1">IFERROR(__xludf.DUMMYFUNCTION("IMPORTRANGE(""1-UhNsOeztW9Pb9erDsF-VyNtqmgMF6YtUafhy7MSifo"",""Бланк_заказа!G118"")"),24)</f>
        <v>24</v>
      </c>
      <c r="H108" s="23" t="str">
        <f ca="1">IFERROR(__xludf.DUMMYFUNCTION("IMPORTRANGE(""1-UhNsOeztW9Pb9erDsF-VyNtqmgMF6YtUafhy7MSifo"",""Бланк_заказа!H118"")")," +2+18")</f>
        <v xml:space="preserve"> +2+18</v>
      </c>
      <c r="I108" s="24">
        <f t="shared" ca="1" si="2"/>
        <v>0</v>
      </c>
    </row>
    <row r="109" spans="1:11" ht="15.6">
      <c r="A109" s="55"/>
      <c r="B109" s="16" t="s">
        <v>31</v>
      </c>
      <c r="C109" s="21" t="str">
        <f ca="1">IFERROR(__xludf.DUMMYFUNCTION("IMPORTRANGE(""1-UhNsOeztW9Pb9erDsF-VyNtqmgMF6YtUafhy7MSifo"",""Бланк_заказа!C119"")"),"Полоска с Абрикосом")</f>
        <v>Полоска с Абрикосом</v>
      </c>
      <c r="D109" s="22"/>
      <c r="E109" s="21">
        <f ca="1">IFERROR(__xludf.DUMMYFUNCTION("IMPORTRANGE(""1-UhNsOeztW9Pb9erDsF-VyNtqmgMF6YtUafhy7MSifo"",""Бланк_заказа!E119"")"),115)</f>
        <v>115</v>
      </c>
      <c r="F109" s="23">
        <f ca="1">IFERROR(__xludf.DUMMYFUNCTION("IMPORTRANGE(""1-UhNsOeztW9Pb9erDsF-VyNtqmgMF6YtUafhy7MSifo"",""Бланк_заказа!F119"")"),101)</f>
        <v>101</v>
      </c>
      <c r="G109" s="23">
        <f ca="1">IFERROR(__xludf.DUMMYFUNCTION("IMPORTRANGE(""1-UhNsOeztW9Pb9erDsF-VyNtqmgMF6YtUafhy7MSifo"",""Бланк_заказа!G119"")"),24)</f>
        <v>24</v>
      </c>
      <c r="H109" s="23" t="str">
        <f ca="1">IFERROR(__xludf.DUMMYFUNCTION("IMPORTRANGE(""1-UhNsOeztW9Pb9erDsF-VyNtqmgMF6YtUafhy7MSifo"",""Бланк_заказа!H119"")")," +2+6")</f>
        <v xml:space="preserve"> +2+6</v>
      </c>
      <c r="I109" s="24">
        <f t="shared" ca="1" si="2"/>
        <v>0</v>
      </c>
    </row>
    <row r="110" spans="1:11" ht="15.6">
      <c r="A110" s="55"/>
      <c r="B110" s="16" t="s">
        <v>31</v>
      </c>
      <c r="C110" s="21" t="str">
        <f ca="1">IFERROR(__xludf.DUMMYFUNCTION("IMPORTRANGE(""1-UhNsOeztW9Pb9erDsF-VyNtqmgMF6YtUafhy7MSifo"",""Бланк_заказа!C120"")"),"Полоска с Ананасом")</f>
        <v>Полоска с Ананасом</v>
      </c>
      <c r="D110" s="22"/>
      <c r="E110" s="21">
        <f ca="1">IFERROR(__xludf.DUMMYFUNCTION("IMPORTRANGE(""1-UhNsOeztW9Pb9erDsF-VyNtqmgMF6YtUafhy7MSifo"",""Бланк_заказа!E120"")"),120)</f>
        <v>120</v>
      </c>
      <c r="F110" s="23">
        <f ca="1">IFERROR(__xludf.DUMMYFUNCTION("IMPORTRANGE(""1-UhNsOeztW9Pb9erDsF-VyNtqmgMF6YtUafhy7MSifo"",""Бланк_заказа!F120"")"),120)</f>
        <v>120</v>
      </c>
      <c r="G110" s="23">
        <f ca="1">IFERROR(__xludf.DUMMYFUNCTION("IMPORTRANGE(""1-UhNsOeztW9Pb9erDsF-VyNtqmgMF6YtUafhy7MSifo"",""Бланк_заказа!G120"")"),24)</f>
        <v>24</v>
      </c>
      <c r="H110" s="23" t="str">
        <f ca="1">IFERROR(__xludf.DUMMYFUNCTION("IMPORTRANGE(""1-UhNsOeztW9Pb9erDsF-VyNtqmgMF6YtUafhy7MSifo"",""Бланк_заказа!H120"")")," +2+6")</f>
        <v xml:space="preserve"> +2+6</v>
      </c>
      <c r="I110" s="24">
        <f t="shared" ca="1" si="2"/>
        <v>0</v>
      </c>
    </row>
    <row r="111" spans="1:11" ht="15.6">
      <c r="A111" s="55"/>
      <c r="B111" s="16" t="s">
        <v>31</v>
      </c>
      <c r="C111" s="25" t="str">
        <f ca="1">IFERROR(__xludf.DUMMYFUNCTION("IMPORTRANGE(""1-UhNsOeztW9Pb9erDsF-VyNtqmgMF6YtUafhy7MSifo"",""Бланк_заказа!C121"")"),"Полоска с Шоколадом")</f>
        <v>Полоска с Шоколадом</v>
      </c>
      <c r="D111" s="26"/>
      <c r="E111" s="25">
        <f ca="1">IFERROR(__xludf.DUMMYFUNCTION("IMPORTRANGE(""1-UhNsOeztW9Pb9erDsF-VyNtqmgMF6YtUafhy7MSifo"",""Бланк_заказа!E121"")"),92)</f>
        <v>92</v>
      </c>
      <c r="F111" s="27">
        <f ca="1">IFERROR(__xludf.DUMMYFUNCTION("IMPORTRANGE(""1-UhNsOeztW9Pb9erDsF-VyNtqmgMF6YtUafhy7MSifo"",""Бланк_заказа!F121"")"),93)</f>
        <v>93</v>
      </c>
      <c r="G111" s="27">
        <f ca="1">IFERROR(__xludf.DUMMYFUNCTION("IMPORTRANGE(""1-UhNsOeztW9Pb9erDsF-VyNtqmgMF6YtUafhy7MSifo"",""Бланк_заказа!G121"")"),24)</f>
        <v>24</v>
      </c>
      <c r="H111" s="27" t="str">
        <f ca="1">IFERROR(__xludf.DUMMYFUNCTION("IMPORTRANGE(""1-UhNsOeztW9Pb9erDsF-VyNtqmgMF6YtUafhy7MSifo"",""Бланк_заказа!H121"")")," +2+6")</f>
        <v xml:space="preserve"> +2+6</v>
      </c>
      <c r="I111" s="28">
        <f t="shared" ca="1" si="2"/>
        <v>0</v>
      </c>
    </row>
    <row r="112" spans="1:11" ht="13.2" hidden="1">
      <c r="A112" s="1"/>
      <c r="B112" s="48"/>
      <c r="C112" s="3"/>
      <c r="D112" s="3"/>
      <c r="E112" s="3"/>
      <c r="F112" s="3"/>
      <c r="G112" s="3"/>
      <c r="H112" s="3"/>
      <c r="I112" s="3"/>
    </row>
    <row r="113" spans="1:9" ht="18" hidden="1">
      <c r="A113" s="1"/>
      <c r="B113" s="48"/>
      <c r="C113" s="49" t="s">
        <v>33</v>
      </c>
      <c r="D113" s="50">
        <f ca="1">SUM(I5:I111)</f>
        <v>0</v>
      </c>
      <c r="E113" s="3"/>
      <c r="F113" s="3"/>
      <c r="G113" s="3"/>
      <c r="H113" s="3"/>
      <c r="I113" s="3"/>
    </row>
    <row r="114" spans="1:9" ht="18" hidden="1">
      <c r="A114" s="1"/>
      <c r="B114" s="48"/>
      <c r="C114" s="49" t="s">
        <v>34</v>
      </c>
      <c r="D114" s="51">
        <f ca="1">IF(SUM(I5:I111) &gt;=5500,0,1)</f>
        <v>1</v>
      </c>
      <c r="E114" s="51">
        <v>650</v>
      </c>
      <c r="F114" s="3"/>
      <c r="G114" s="3"/>
      <c r="H114" s="3"/>
      <c r="I114" s="52">
        <f ca="1">E114*D114</f>
        <v>650</v>
      </c>
    </row>
    <row r="115" spans="1:9" ht="18" hidden="1">
      <c r="A115" s="1"/>
      <c r="B115" s="48"/>
      <c r="C115" s="49" t="s">
        <v>35</v>
      </c>
      <c r="D115" s="50">
        <f ca="1">SUM(I5:I115)</f>
        <v>650</v>
      </c>
      <c r="E115" s="3"/>
      <c r="F115" s="3"/>
      <c r="G115" s="3"/>
      <c r="H115" s="3"/>
      <c r="I115" s="3"/>
    </row>
    <row r="116" spans="1:9" ht="13.2" hidden="1">
      <c r="A116" s="53"/>
    </row>
    <row r="117" spans="1:9" ht="13.2">
      <c r="A117" s="53"/>
    </row>
    <row r="118" spans="1:9" ht="13.2">
      <c r="A118" s="53"/>
    </row>
    <row r="119" spans="1:9" ht="13.2">
      <c r="A119" s="53"/>
    </row>
    <row r="120" spans="1:9" ht="13.2">
      <c r="A120" s="53"/>
    </row>
    <row r="121" spans="1:9" ht="13.2">
      <c r="A121" s="53"/>
    </row>
    <row r="122" spans="1:9" ht="13.2">
      <c r="A122" s="53"/>
    </row>
    <row r="123" spans="1:9" ht="13.2">
      <c r="A123" s="53"/>
    </row>
    <row r="124" spans="1:9" ht="13.2">
      <c r="A124" s="53"/>
    </row>
    <row r="125" spans="1:9" ht="13.2">
      <c r="A125" s="53"/>
    </row>
    <row r="126" spans="1:9" ht="13.2">
      <c r="A126" s="53"/>
    </row>
    <row r="127" spans="1:9" ht="13.2">
      <c r="A127" s="53"/>
    </row>
    <row r="128" spans="1:9" ht="13.2">
      <c r="A128" s="53"/>
    </row>
    <row r="129" spans="1:1" ht="13.2">
      <c r="A129" s="53"/>
    </row>
    <row r="130" spans="1:1" ht="13.2">
      <c r="A130" s="53"/>
    </row>
    <row r="131" spans="1:1" ht="13.2">
      <c r="A131" s="53"/>
    </row>
    <row r="132" spans="1:1" ht="13.2">
      <c r="A132" s="53"/>
    </row>
    <row r="133" spans="1:1" ht="13.2">
      <c r="A133" s="53"/>
    </row>
    <row r="134" spans="1:1" ht="13.2">
      <c r="A134" s="53"/>
    </row>
    <row r="135" spans="1:1" ht="13.2">
      <c r="A135" s="53"/>
    </row>
    <row r="136" spans="1:1" ht="13.2">
      <c r="A136" s="53"/>
    </row>
    <row r="137" spans="1:1" ht="13.2">
      <c r="A137" s="53"/>
    </row>
    <row r="138" spans="1:1" ht="13.2">
      <c r="A138" s="53"/>
    </row>
    <row r="139" spans="1:1" ht="13.2">
      <c r="A139" s="53"/>
    </row>
    <row r="140" spans="1:1" ht="13.2">
      <c r="A140" s="53"/>
    </row>
    <row r="141" spans="1:1" ht="13.2">
      <c r="A141" s="53"/>
    </row>
    <row r="142" spans="1:1" ht="13.2">
      <c r="A142" s="53"/>
    </row>
    <row r="143" spans="1:1" ht="13.2">
      <c r="A143" s="53"/>
    </row>
    <row r="144" spans="1:1" ht="13.2">
      <c r="A144" s="53"/>
    </row>
    <row r="145" spans="1:1" ht="13.2">
      <c r="A145" s="53"/>
    </row>
    <row r="146" spans="1:1" ht="13.2">
      <c r="A146" s="53"/>
    </row>
    <row r="147" spans="1:1" ht="13.2">
      <c r="A147" s="53"/>
    </row>
    <row r="148" spans="1:1" ht="13.2">
      <c r="A148" s="53"/>
    </row>
    <row r="149" spans="1:1" ht="13.2">
      <c r="A149" s="53"/>
    </row>
    <row r="150" spans="1:1" ht="13.2">
      <c r="A150" s="53"/>
    </row>
    <row r="151" spans="1:1" ht="13.2">
      <c r="A151" s="53"/>
    </row>
    <row r="152" spans="1:1" ht="13.2">
      <c r="A152" s="53"/>
    </row>
    <row r="153" spans="1:1" ht="13.2">
      <c r="A153" s="53"/>
    </row>
    <row r="154" spans="1:1" ht="13.2">
      <c r="A154" s="53"/>
    </row>
    <row r="155" spans="1:1" ht="13.2">
      <c r="A155" s="53"/>
    </row>
    <row r="156" spans="1:1" ht="13.2">
      <c r="A156" s="53"/>
    </row>
    <row r="157" spans="1:1" ht="13.2">
      <c r="A157" s="53"/>
    </row>
    <row r="158" spans="1:1" ht="13.2">
      <c r="A158" s="53"/>
    </row>
    <row r="159" spans="1:1" ht="13.2">
      <c r="A159" s="53"/>
    </row>
    <row r="160" spans="1:1" ht="13.2">
      <c r="A160" s="53"/>
    </row>
    <row r="161" spans="1:1" ht="13.2">
      <c r="A161" s="53"/>
    </row>
    <row r="162" spans="1:1" ht="13.2">
      <c r="A162" s="53"/>
    </row>
    <row r="163" spans="1:1" ht="13.2">
      <c r="A163" s="53"/>
    </row>
    <row r="164" spans="1:1" ht="13.2">
      <c r="A164" s="53"/>
    </row>
    <row r="165" spans="1:1" ht="13.2">
      <c r="A165" s="53"/>
    </row>
    <row r="166" spans="1:1" ht="13.2">
      <c r="A166" s="53"/>
    </row>
    <row r="167" spans="1:1" ht="13.2">
      <c r="A167" s="53"/>
    </row>
    <row r="168" spans="1:1" ht="13.2">
      <c r="A168" s="53"/>
    </row>
    <row r="169" spans="1:1" ht="13.2">
      <c r="A169" s="53"/>
    </row>
    <row r="170" spans="1:1" ht="13.2">
      <c r="A170" s="53"/>
    </row>
    <row r="171" spans="1:1" ht="13.2">
      <c r="A171" s="53"/>
    </row>
    <row r="172" spans="1:1" ht="13.2">
      <c r="A172" s="53"/>
    </row>
    <row r="173" spans="1:1" ht="13.2">
      <c r="A173" s="53"/>
    </row>
    <row r="174" spans="1:1" ht="13.2">
      <c r="A174" s="53"/>
    </row>
    <row r="175" spans="1:1" ht="13.2">
      <c r="A175" s="53"/>
    </row>
    <row r="176" spans="1:1" ht="13.2">
      <c r="A176" s="53"/>
    </row>
    <row r="177" spans="1:1" ht="13.2">
      <c r="A177" s="53"/>
    </row>
    <row r="178" spans="1:1" ht="13.2">
      <c r="A178" s="53"/>
    </row>
    <row r="179" spans="1:1" ht="13.2">
      <c r="A179" s="53"/>
    </row>
    <row r="180" spans="1:1" ht="13.2">
      <c r="A180" s="53"/>
    </row>
    <row r="181" spans="1:1" ht="13.2">
      <c r="A181" s="53"/>
    </row>
    <row r="182" spans="1:1" ht="13.2">
      <c r="A182" s="53"/>
    </row>
    <row r="183" spans="1:1" ht="13.2">
      <c r="A183" s="53"/>
    </row>
    <row r="184" spans="1:1" ht="13.2">
      <c r="A184" s="53"/>
    </row>
    <row r="185" spans="1:1" ht="13.2">
      <c r="A185" s="53"/>
    </row>
    <row r="186" spans="1:1" ht="13.2">
      <c r="A186" s="53"/>
    </row>
    <row r="187" spans="1:1" ht="13.2">
      <c r="A187" s="53"/>
    </row>
    <row r="188" spans="1:1" ht="13.2">
      <c r="A188" s="53"/>
    </row>
    <row r="189" spans="1:1" ht="13.2">
      <c r="A189" s="53"/>
    </row>
    <row r="190" spans="1:1" ht="13.2">
      <c r="A190" s="53"/>
    </row>
    <row r="191" spans="1:1" ht="13.2">
      <c r="A191" s="53"/>
    </row>
    <row r="192" spans="1:1" ht="13.2">
      <c r="A192" s="53"/>
    </row>
    <row r="193" spans="1:1" ht="13.2">
      <c r="A193" s="53"/>
    </row>
    <row r="194" spans="1:1" ht="13.2">
      <c r="A194" s="53"/>
    </row>
    <row r="195" spans="1:1" ht="13.2">
      <c r="A195" s="53"/>
    </row>
    <row r="196" spans="1:1" ht="13.2">
      <c r="A196" s="53"/>
    </row>
    <row r="197" spans="1:1" ht="13.2">
      <c r="A197" s="53"/>
    </row>
    <row r="198" spans="1:1" ht="13.2">
      <c r="A198" s="53"/>
    </row>
    <row r="199" spans="1:1" ht="13.2">
      <c r="A199" s="53"/>
    </row>
    <row r="200" spans="1:1" ht="13.2">
      <c r="A200" s="53"/>
    </row>
    <row r="201" spans="1:1" ht="13.2">
      <c r="A201" s="53"/>
    </row>
    <row r="202" spans="1:1" ht="13.2">
      <c r="A202" s="53"/>
    </row>
    <row r="203" spans="1:1" ht="13.2">
      <c r="A203" s="53"/>
    </row>
    <row r="204" spans="1:1" ht="13.2">
      <c r="A204" s="53"/>
    </row>
    <row r="205" spans="1:1" ht="13.2">
      <c r="A205" s="53"/>
    </row>
    <row r="206" spans="1:1" ht="13.2">
      <c r="A206" s="53"/>
    </row>
    <row r="207" spans="1:1" ht="13.2">
      <c r="A207" s="53"/>
    </row>
    <row r="208" spans="1:1" ht="13.2">
      <c r="A208" s="53"/>
    </row>
    <row r="209" spans="1:1" ht="13.2">
      <c r="A209" s="53"/>
    </row>
    <row r="210" spans="1:1" ht="13.2">
      <c r="A210" s="53"/>
    </row>
    <row r="211" spans="1:1" ht="13.2">
      <c r="A211" s="53"/>
    </row>
    <row r="212" spans="1:1" ht="13.2">
      <c r="A212" s="53"/>
    </row>
    <row r="213" spans="1:1" ht="13.2">
      <c r="A213" s="53"/>
    </row>
    <row r="214" spans="1:1" ht="13.2">
      <c r="A214" s="53"/>
    </row>
    <row r="215" spans="1:1" ht="13.2">
      <c r="A215" s="53"/>
    </row>
    <row r="216" spans="1:1" ht="13.2">
      <c r="A216" s="53"/>
    </row>
    <row r="217" spans="1:1" ht="13.2">
      <c r="A217" s="53"/>
    </row>
    <row r="218" spans="1:1" ht="13.2">
      <c r="A218" s="53"/>
    </row>
    <row r="219" spans="1:1" ht="13.2">
      <c r="A219" s="53"/>
    </row>
    <row r="220" spans="1:1" ht="13.2">
      <c r="A220" s="53"/>
    </row>
    <row r="221" spans="1:1" ht="13.2">
      <c r="A221" s="53"/>
    </row>
    <row r="222" spans="1:1" ht="13.2">
      <c r="A222" s="53"/>
    </row>
    <row r="223" spans="1:1" ht="13.2">
      <c r="A223" s="53"/>
    </row>
    <row r="224" spans="1:1" ht="13.2">
      <c r="A224" s="53"/>
    </row>
    <row r="225" spans="1:1" ht="13.2">
      <c r="A225" s="53"/>
    </row>
    <row r="226" spans="1:1" ht="13.2">
      <c r="A226" s="53"/>
    </row>
    <row r="227" spans="1:1" ht="13.2">
      <c r="A227" s="53"/>
    </row>
    <row r="228" spans="1:1" ht="13.2">
      <c r="A228" s="53"/>
    </row>
    <row r="229" spans="1:1" ht="13.2">
      <c r="A229" s="53"/>
    </row>
    <row r="230" spans="1:1" ht="13.2">
      <c r="A230" s="53"/>
    </row>
    <row r="231" spans="1:1" ht="13.2">
      <c r="A231" s="53"/>
    </row>
    <row r="232" spans="1:1" ht="13.2">
      <c r="A232" s="53"/>
    </row>
    <row r="233" spans="1:1" ht="13.2">
      <c r="A233" s="53"/>
    </row>
    <row r="234" spans="1:1" ht="13.2">
      <c r="A234" s="53"/>
    </row>
    <row r="235" spans="1:1" ht="13.2">
      <c r="A235" s="53"/>
    </row>
    <row r="236" spans="1:1" ht="13.2">
      <c r="A236" s="53"/>
    </row>
    <row r="237" spans="1:1" ht="13.2">
      <c r="A237" s="53"/>
    </row>
    <row r="238" spans="1:1" ht="13.2">
      <c r="A238" s="53"/>
    </row>
    <row r="239" spans="1:1" ht="13.2">
      <c r="A239" s="53"/>
    </row>
    <row r="240" spans="1:1" ht="13.2">
      <c r="A240" s="53"/>
    </row>
    <row r="241" spans="1:1" ht="13.2">
      <c r="A241" s="53"/>
    </row>
    <row r="242" spans="1:1" ht="13.2">
      <c r="A242" s="53"/>
    </row>
    <row r="243" spans="1:1" ht="13.2">
      <c r="A243" s="53"/>
    </row>
    <row r="244" spans="1:1" ht="13.2">
      <c r="A244" s="53"/>
    </row>
    <row r="245" spans="1:1" ht="13.2">
      <c r="A245" s="53"/>
    </row>
    <row r="246" spans="1:1" ht="13.2">
      <c r="A246" s="53"/>
    </row>
    <row r="247" spans="1:1" ht="13.2">
      <c r="A247" s="53"/>
    </row>
    <row r="248" spans="1:1" ht="13.2">
      <c r="A248" s="53"/>
    </row>
    <row r="249" spans="1:1" ht="13.2">
      <c r="A249" s="53"/>
    </row>
    <row r="250" spans="1:1" ht="13.2">
      <c r="A250" s="53"/>
    </row>
    <row r="251" spans="1:1" ht="13.2">
      <c r="A251" s="53"/>
    </row>
    <row r="252" spans="1:1" ht="13.2">
      <c r="A252" s="53"/>
    </row>
    <row r="253" spans="1:1" ht="13.2">
      <c r="A253" s="53"/>
    </row>
    <row r="254" spans="1:1" ht="13.2">
      <c r="A254" s="53"/>
    </row>
    <row r="255" spans="1:1" ht="13.2">
      <c r="A255" s="53"/>
    </row>
    <row r="256" spans="1:1" ht="13.2">
      <c r="A256" s="53"/>
    </row>
    <row r="257" spans="1:1" ht="13.2">
      <c r="A257" s="53"/>
    </row>
    <row r="258" spans="1:1" ht="13.2">
      <c r="A258" s="53"/>
    </row>
    <row r="259" spans="1:1" ht="13.2">
      <c r="A259" s="53"/>
    </row>
    <row r="260" spans="1:1" ht="13.2">
      <c r="A260" s="53"/>
    </row>
    <row r="261" spans="1:1" ht="13.2">
      <c r="A261" s="53"/>
    </row>
    <row r="262" spans="1:1" ht="13.2">
      <c r="A262" s="53"/>
    </row>
    <row r="263" spans="1:1" ht="13.2">
      <c r="A263" s="53"/>
    </row>
    <row r="264" spans="1:1" ht="13.2">
      <c r="A264" s="53"/>
    </row>
    <row r="265" spans="1:1" ht="13.2">
      <c r="A265" s="53"/>
    </row>
    <row r="266" spans="1:1" ht="13.2">
      <c r="A266" s="53"/>
    </row>
    <row r="267" spans="1:1" ht="13.2">
      <c r="A267" s="53"/>
    </row>
    <row r="268" spans="1:1" ht="13.2">
      <c r="A268" s="53"/>
    </row>
    <row r="269" spans="1:1" ht="13.2">
      <c r="A269" s="53"/>
    </row>
    <row r="270" spans="1:1" ht="13.2">
      <c r="A270" s="53"/>
    </row>
    <row r="271" spans="1:1" ht="13.2">
      <c r="A271" s="53"/>
    </row>
    <row r="272" spans="1:1" ht="13.2">
      <c r="A272" s="53"/>
    </row>
    <row r="273" spans="1:1" ht="13.2">
      <c r="A273" s="53"/>
    </row>
    <row r="274" spans="1:1" ht="13.2">
      <c r="A274" s="53"/>
    </row>
    <row r="275" spans="1:1" ht="13.2">
      <c r="A275" s="53"/>
    </row>
    <row r="276" spans="1:1" ht="13.2">
      <c r="A276" s="53"/>
    </row>
    <row r="277" spans="1:1" ht="13.2">
      <c r="A277" s="53"/>
    </row>
    <row r="278" spans="1:1" ht="13.2">
      <c r="A278" s="53"/>
    </row>
    <row r="279" spans="1:1" ht="13.2">
      <c r="A279" s="53"/>
    </row>
    <row r="280" spans="1:1" ht="13.2">
      <c r="A280" s="53"/>
    </row>
    <row r="281" spans="1:1" ht="13.2">
      <c r="A281" s="53"/>
    </row>
    <row r="282" spans="1:1" ht="13.2">
      <c r="A282" s="53"/>
    </row>
    <row r="283" spans="1:1" ht="13.2">
      <c r="A283" s="53"/>
    </row>
    <row r="284" spans="1:1" ht="13.2">
      <c r="A284" s="53"/>
    </row>
    <row r="285" spans="1:1" ht="13.2">
      <c r="A285" s="53"/>
    </row>
    <row r="286" spans="1:1" ht="13.2">
      <c r="A286" s="53"/>
    </row>
    <row r="287" spans="1:1" ht="13.2">
      <c r="A287" s="53"/>
    </row>
    <row r="288" spans="1:1" ht="13.2">
      <c r="A288" s="53"/>
    </row>
    <row r="289" spans="1:1" ht="13.2">
      <c r="A289" s="53"/>
    </row>
    <row r="290" spans="1:1" ht="13.2">
      <c r="A290" s="53"/>
    </row>
    <row r="291" spans="1:1" ht="13.2">
      <c r="A291" s="53"/>
    </row>
    <row r="292" spans="1:1" ht="13.2">
      <c r="A292" s="53"/>
    </row>
    <row r="293" spans="1:1" ht="13.2">
      <c r="A293" s="53"/>
    </row>
    <row r="294" spans="1:1" ht="13.2">
      <c r="A294" s="53"/>
    </row>
    <row r="295" spans="1:1" ht="13.2">
      <c r="A295" s="53"/>
    </row>
    <row r="296" spans="1:1" ht="13.2">
      <c r="A296" s="53"/>
    </row>
    <row r="297" spans="1:1" ht="13.2">
      <c r="A297" s="53"/>
    </row>
    <row r="298" spans="1:1" ht="13.2">
      <c r="A298" s="53"/>
    </row>
    <row r="299" spans="1:1" ht="13.2">
      <c r="A299" s="53"/>
    </row>
    <row r="300" spans="1:1" ht="13.2">
      <c r="A300" s="53"/>
    </row>
    <row r="301" spans="1:1" ht="13.2">
      <c r="A301" s="53"/>
    </row>
    <row r="302" spans="1:1" ht="13.2">
      <c r="A302" s="53"/>
    </row>
    <row r="303" spans="1:1" ht="13.2">
      <c r="A303" s="53"/>
    </row>
    <row r="304" spans="1:1" ht="13.2">
      <c r="A304" s="53"/>
    </row>
    <row r="305" spans="1:1" ht="13.2">
      <c r="A305" s="53"/>
    </row>
    <row r="306" spans="1:1" ht="13.2">
      <c r="A306" s="53"/>
    </row>
    <row r="307" spans="1:1" ht="13.2">
      <c r="A307" s="53"/>
    </row>
    <row r="308" spans="1:1" ht="13.2">
      <c r="A308" s="53"/>
    </row>
    <row r="309" spans="1:1" ht="13.2">
      <c r="A309" s="53"/>
    </row>
    <row r="310" spans="1:1" ht="13.2">
      <c r="A310" s="53"/>
    </row>
    <row r="311" spans="1:1" ht="13.2">
      <c r="A311" s="53"/>
    </row>
    <row r="312" spans="1:1" ht="13.2">
      <c r="A312" s="53"/>
    </row>
    <row r="313" spans="1:1" ht="13.2">
      <c r="A313" s="53"/>
    </row>
    <row r="314" spans="1:1" ht="13.2">
      <c r="A314" s="53"/>
    </row>
    <row r="315" spans="1:1" ht="13.2">
      <c r="A315" s="53"/>
    </row>
    <row r="316" spans="1:1" ht="13.2">
      <c r="A316" s="53"/>
    </row>
    <row r="317" spans="1:1" ht="13.2">
      <c r="A317" s="53"/>
    </row>
    <row r="318" spans="1:1" ht="13.2">
      <c r="A318" s="53"/>
    </row>
    <row r="319" spans="1:1" ht="13.2">
      <c r="A319" s="53"/>
    </row>
    <row r="320" spans="1:1" ht="13.2">
      <c r="A320" s="53"/>
    </row>
    <row r="321" spans="1:1" ht="13.2">
      <c r="A321" s="53"/>
    </row>
    <row r="322" spans="1:1" ht="13.2">
      <c r="A322" s="53"/>
    </row>
    <row r="323" spans="1:1" ht="13.2">
      <c r="A323" s="53"/>
    </row>
    <row r="324" spans="1:1" ht="13.2">
      <c r="A324" s="53"/>
    </row>
    <row r="325" spans="1:1" ht="13.2">
      <c r="A325" s="53"/>
    </row>
    <row r="326" spans="1:1" ht="13.2">
      <c r="A326" s="53"/>
    </row>
    <row r="327" spans="1:1" ht="13.2">
      <c r="A327" s="53"/>
    </row>
    <row r="328" spans="1:1" ht="13.2">
      <c r="A328" s="53"/>
    </row>
    <row r="329" spans="1:1" ht="13.2">
      <c r="A329" s="53"/>
    </row>
    <row r="330" spans="1:1" ht="13.2">
      <c r="A330" s="53"/>
    </row>
    <row r="331" spans="1:1" ht="13.2">
      <c r="A331" s="53"/>
    </row>
    <row r="332" spans="1:1" ht="13.2">
      <c r="A332" s="53"/>
    </row>
    <row r="333" spans="1:1" ht="13.2">
      <c r="A333" s="53"/>
    </row>
    <row r="334" spans="1:1" ht="13.2">
      <c r="A334" s="53"/>
    </row>
    <row r="335" spans="1:1" ht="13.2">
      <c r="A335" s="53"/>
    </row>
    <row r="336" spans="1:1" ht="13.2">
      <c r="A336" s="53"/>
    </row>
    <row r="337" spans="1:1" ht="13.2">
      <c r="A337" s="53"/>
    </row>
    <row r="338" spans="1:1" ht="13.2">
      <c r="A338" s="53"/>
    </row>
    <row r="339" spans="1:1" ht="13.2">
      <c r="A339" s="53"/>
    </row>
    <row r="340" spans="1:1" ht="13.2">
      <c r="A340" s="53"/>
    </row>
    <row r="341" spans="1:1" ht="13.2">
      <c r="A341" s="53"/>
    </row>
    <row r="342" spans="1:1" ht="13.2">
      <c r="A342" s="53"/>
    </row>
    <row r="343" spans="1:1" ht="13.2">
      <c r="A343" s="53"/>
    </row>
    <row r="344" spans="1:1" ht="13.2">
      <c r="A344" s="53"/>
    </row>
    <row r="345" spans="1:1" ht="13.2">
      <c r="A345" s="53"/>
    </row>
    <row r="346" spans="1:1" ht="13.2">
      <c r="A346" s="53"/>
    </row>
    <row r="347" spans="1:1" ht="13.2">
      <c r="A347" s="53"/>
    </row>
    <row r="348" spans="1:1" ht="13.2">
      <c r="A348" s="53"/>
    </row>
    <row r="349" spans="1:1" ht="13.2">
      <c r="A349" s="53"/>
    </row>
    <row r="350" spans="1:1" ht="13.2">
      <c r="A350" s="53"/>
    </row>
    <row r="351" spans="1:1" ht="13.2">
      <c r="A351" s="53"/>
    </row>
    <row r="352" spans="1:1" ht="13.2">
      <c r="A352" s="53"/>
    </row>
    <row r="353" spans="1:1" ht="13.2">
      <c r="A353" s="53"/>
    </row>
    <row r="354" spans="1:1" ht="13.2">
      <c r="A354" s="53"/>
    </row>
    <row r="355" spans="1:1" ht="13.2">
      <c r="A355" s="53"/>
    </row>
    <row r="356" spans="1:1" ht="13.2">
      <c r="A356" s="53"/>
    </row>
    <row r="357" spans="1:1" ht="13.2">
      <c r="A357" s="53"/>
    </row>
    <row r="358" spans="1:1" ht="13.2">
      <c r="A358" s="53"/>
    </row>
    <row r="359" spans="1:1" ht="13.2">
      <c r="A359" s="53"/>
    </row>
    <row r="360" spans="1:1" ht="13.2">
      <c r="A360" s="53"/>
    </row>
    <row r="361" spans="1:1" ht="13.2">
      <c r="A361" s="53"/>
    </row>
    <row r="362" spans="1:1" ht="13.2">
      <c r="A362" s="53"/>
    </row>
    <row r="363" spans="1:1" ht="13.2">
      <c r="A363" s="53"/>
    </row>
    <row r="364" spans="1:1" ht="13.2">
      <c r="A364" s="53"/>
    </row>
    <row r="365" spans="1:1" ht="13.2">
      <c r="A365" s="53"/>
    </row>
    <row r="366" spans="1:1" ht="13.2">
      <c r="A366" s="53"/>
    </row>
    <row r="367" spans="1:1" ht="13.2">
      <c r="A367" s="53"/>
    </row>
    <row r="368" spans="1:1" ht="13.2">
      <c r="A368" s="53"/>
    </row>
    <row r="369" spans="1:1" ht="13.2">
      <c r="A369" s="53"/>
    </row>
    <row r="370" spans="1:1" ht="13.2">
      <c r="A370" s="53"/>
    </row>
    <row r="371" spans="1:1" ht="13.2">
      <c r="A371" s="53"/>
    </row>
    <row r="372" spans="1:1" ht="13.2">
      <c r="A372" s="53"/>
    </row>
    <row r="373" spans="1:1" ht="13.2">
      <c r="A373" s="53"/>
    </row>
    <row r="374" spans="1:1" ht="13.2">
      <c r="A374" s="53"/>
    </row>
    <row r="375" spans="1:1" ht="13.2">
      <c r="A375" s="53"/>
    </row>
    <row r="376" spans="1:1" ht="13.2">
      <c r="A376" s="53"/>
    </row>
    <row r="377" spans="1:1" ht="13.2">
      <c r="A377" s="53"/>
    </row>
    <row r="378" spans="1:1" ht="13.2">
      <c r="A378" s="53"/>
    </row>
    <row r="379" spans="1:1" ht="13.2">
      <c r="A379" s="53"/>
    </row>
    <row r="380" spans="1:1" ht="13.2">
      <c r="A380" s="53"/>
    </row>
    <row r="381" spans="1:1" ht="13.2">
      <c r="A381" s="53"/>
    </row>
    <row r="382" spans="1:1" ht="13.2">
      <c r="A382" s="53"/>
    </row>
    <row r="383" spans="1:1" ht="13.2">
      <c r="A383" s="53"/>
    </row>
    <row r="384" spans="1:1" ht="13.2">
      <c r="A384" s="53"/>
    </row>
    <row r="385" spans="1:1" ht="13.2">
      <c r="A385" s="53"/>
    </row>
    <row r="386" spans="1:1" ht="13.2">
      <c r="A386" s="53"/>
    </row>
    <row r="387" spans="1:1" ht="13.2">
      <c r="A387" s="53"/>
    </row>
    <row r="388" spans="1:1" ht="13.2">
      <c r="A388" s="53"/>
    </row>
    <row r="389" spans="1:1" ht="13.2">
      <c r="A389" s="53"/>
    </row>
    <row r="390" spans="1:1" ht="13.2">
      <c r="A390" s="53"/>
    </row>
    <row r="391" spans="1:1" ht="13.2">
      <c r="A391" s="53"/>
    </row>
    <row r="392" spans="1:1" ht="13.2">
      <c r="A392" s="53"/>
    </row>
    <row r="393" spans="1:1" ht="13.2">
      <c r="A393" s="53"/>
    </row>
    <row r="394" spans="1:1" ht="13.2">
      <c r="A394" s="53"/>
    </row>
    <row r="395" spans="1:1" ht="13.2">
      <c r="A395" s="53"/>
    </row>
    <row r="396" spans="1:1" ht="13.2">
      <c r="A396" s="53"/>
    </row>
    <row r="397" spans="1:1" ht="13.2">
      <c r="A397" s="53"/>
    </row>
    <row r="398" spans="1:1" ht="13.2">
      <c r="A398" s="53"/>
    </row>
    <row r="399" spans="1:1" ht="13.2">
      <c r="A399" s="53"/>
    </row>
    <row r="400" spans="1:1" ht="13.2">
      <c r="A400" s="53"/>
    </row>
    <row r="401" spans="1:1" ht="13.2">
      <c r="A401" s="53"/>
    </row>
    <row r="402" spans="1:1" ht="13.2">
      <c r="A402" s="53"/>
    </row>
    <row r="403" spans="1:1" ht="13.2">
      <c r="A403" s="53"/>
    </row>
    <row r="404" spans="1:1" ht="13.2">
      <c r="A404" s="53"/>
    </row>
    <row r="405" spans="1:1" ht="13.2">
      <c r="A405" s="53"/>
    </row>
    <row r="406" spans="1:1" ht="13.2">
      <c r="A406" s="53"/>
    </row>
    <row r="407" spans="1:1" ht="13.2">
      <c r="A407" s="53"/>
    </row>
    <row r="408" spans="1:1" ht="13.2">
      <c r="A408" s="53"/>
    </row>
    <row r="409" spans="1:1" ht="13.2">
      <c r="A409" s="53"/>
    </row>
    <row r="410" spans="1:1" ht="13.2">
      <c r="A410" s="53"/>
    </row>
    <row r="411" spans="1:1" ht="13.2">
      <c r="A411" s="53"/>
    </row>
    <row r="412" spans="1:1" ht="13.2">
      <c r="A412" s="53"/>
    </row>
    <row r="413" spans="1:1" ht="13.2">
      <c r="A413" s="53"/>
    </row>
    <row r="414" spans="1:1" ht="13.2">
      <c r="A414" s="53"/>
    </row>
    <row r="415" spans="1:1" ht="13.2">
      <c r="A415" s="53"/>
    </row>
    <row r="416" spans="1:1" ht="13.2">
      <c r="A416" s="53"/>
    </row>
    <row r="417" spans="1:1" ht="13.2">
      <c r="A417" s="53"/>
    </row>
    <row r="418" spans="1:1" ht="13.2">
      <c r="A418" s="53"/>
    </row>
    <row r="419" spans="1:1" ht="13.2">
      <c r="A419" s="53"/>
    </row>
    <row r="420" spans="1:1" ht="13.2">
      <c r="A420" s="53"/>
    </row>
    <row r="421" spans="1:1" ht="13.2">
      <c r="A421" s="53"/>
    </row>
    <row r="422" spans="1:1" ht="13.2">
      <c r="A422" s="53"/>
    </row>
    <row r="423" spans="1:1" ht="13.2">
      <c r="A423" s="53"/>
    </row>
    <row r="424" spans="1:1" ht="13.2">
      <c r="A424" s="53"/>
    </row>
    <row r="425" spans="1:1" ht="13.2">
      <c r="A425" s="53"/>
    </row>
    <row r="426" spans="1:1" ht="13.2">
      <c r="A426" s="53"/>
    </row>
    <row r="427" spans="1:1" ht="13.2">
      <c r="A427" s="53"/>
    </row>
    <row r="428" spans="1:1" ht="13.2">
      <c r="A428" s="53"/>
    </row>
    <row r="429" spans="1:1" ht="13.2">
      <c r="A429" s="53"/>
    </row>
    <row r="430" spans="1:1" ht="13.2">
      <c r="A430" s="53"/>
    </row>
    <row r="431" spans="1:1" ht="13.2">
      <c r="A431" s="53"/>
    </row>
    <row r="432" spans="1:1" ht="13.2">
      <c r="A432" s="53"/>
    </row>
    <row r="433" spans="1:1" ht="13.2">
      <c r="A433" s="53"/>
    </row>
    <row r="434" spans="1:1" ht="13.2">
      <c r="A434" s="53"/>
    </row>
    <row r="435" spans="1:1" ht="13.2">
      <c r="A435" s="53"/>
    </row>
    <row r="436" spans="1:1" ht="13.2">
      <c r="A436" s="53"/>
    </row>
    <row r="437" spans="1:1" ht="13.2">
      <c r="A437" s="53"/>
    </row>
    <row r="438" spans="1:1" ht="13.2">
      <c r="A438" s="53"/>
    </row>
    <row r="439" spans="1:1" ht="13.2">
      <c r="A439" s="53"/>
    </row>
    <row r="440" spans="1:1" ht="13.2">
      <c r="A440" s="53"/>
    </row>
    <row r="441" spans="1:1" ht="13.2">
      <c r="A441" s="53"/>
    </row>
    <row r="442" spans="1:1" ht="13.2">
      <c r="A442" s="53"/>
    </row>
    <row r="443" spans="1:1" ht="13.2">
      <c r="A443" s="53"/>
    </row>
    <row r="444" spans="1:1" ht="13.2">
      <c r="A444" s="53"/>
    </row>
    <row r="445" spans="1:1" ht="13.2">
      <c r="A445" s="53"/>
    </row>
    <row r="446" spans="1:1" ht="13.2">
      <c r="A446" s="53"/>
    </row>
    <row r="447" spans="1:1" ht="13.2">
      <c r="A447" s="53"/>
    </row>
    <row r="448" spans="1:1" ht="13.2">
      <c r="A448" s="53"/>
    </row>
    <row r="449" spans="1:1" ht="13.2">
      <c r="A449" s="53"/>
    </row>
    <row r="450" spans="1:1" ht="13.2">
      <c r="A450" s="53"/>
    </row>
    <row r="451" spans="1:1" ht="13.2">
      <c r="A451" s="53"/>
    </row>
    <row r="452" spans="1:1" ht="13.2">
      <c r="A452" s="53"/>
    </row>
    <row r="453" spans="1:1" ht="13.2">
      <c r="A453" s="53"/>
    </row>
    <row r="454" spans="1:1" ht="13.2">
      <c r="A454" s="53"/>
    </row>
    <row r="455" spans="1:1" ht="13.2">
      <c r="A455" s="53"/>
    </row>
    <row r="456" spans="1:1" ht="13.2">
      <c r="A456" s="53"/>
    </row>
    <row r="457" spans="1:1" ht="13.2">
      <c r="A457" s="53"/>
    </row>
    <row r="458" spans="1:1" ht="13.2">
      <c r="A458" s="53"/>
    </row>
    <row r="459" spans="1:1" ht="13.2">
      <c r="A459" s="53"/>
    </row>
    <row r="460" spans="1:1" ht="13.2">
      <c r="A460" s="53"/>
    </row>
    <row r="461" spans="1:1" ht="13.2">
      <c r="A461" s="53"/>
    </row>
    <row r="462" spans="1:1" ht="13.2">
      <c r="A462" s="53"/>
    </row>
    <row r="463" spans="1:1" ht="13.2">
      <c r="A463" s="53"/>
    </row>
    <row r="464" spans="1:1" ht="13.2">
      <c r="A464" s="53"/>
    </row>
    <row r="465" spans="1:1" ht="13.2">
      <c r="A465" s="53"/>
    </row>
    <row r="466" spans="1:1" ht="13.2">
      <c r="A466" s="53"/>
    </row>
    <row r="467" spans="1:1" ht="13.2">
      <c r="A467" s="53"/>
    </row>
    <row r="468" spans="1:1" ht="13.2">
      <c r="A468" s="53"/>
    </row>
    <row r="469" spans="1:1" ht="13.2">
      <c r="A469" s="53"/>
    </row>
    <row r="470" spans="1:1" ht="13.2">
      <c r="A470" s="53"/>
    </row>
    <row r="471" spans="1:1" ht="13.2">
      <c r="A471" s="53"/>
    </row>
    <row r="472" spans="1:1" ht="13.2">
      <c r="A472" s="53"/>
    </row>
    <row r="473" spans="1:1" ht="13.2">
      <c r="A473" s="53"/>
    </row>
    <row r="474" spans="1:1" ht="13.2">
      <c r="A474" s="53"/>
    </row>
    <row r="475" spans="1:1" ht="13.2">
      <c r="A475" s="53"/>
    </row>
    <row r="476" spans="1:1" ht="13.2">
      <c r="A476" s="53"/>
    </row>
    <row r="477" spans="1:1" ht="13.2">
      <c r="A477" s="53"/>
    </row>
    <row r="478" spans="1:1" ht="13.2">
      <c r="A478" s="53"/>
    </row>
    <row r="479" spans="1:1" ht="13.2">
      <c r="A479" s="53"/>
    </row>
    <row r="480" spans="1:1" ht="13.2">
      <c r="A480" s="53"/>
    </row>
    <row r="481" spans="1:1" ht="13.2">
      <c r="A481" s="53"/>
    </row>
    <row r="482" spans="1:1" ht="13.2">
      <c r="A482" s="53"/>
    </row>
    <row r="483" spans="1:1" ht="13.2">
      <c r="A483" s="53"/>
    </row>
    <row r="484" spans="1:1" ht="13.2">
      <c r="A484" s="53"/>
    </row>
    <row r="485" spans="1:1" ht="13.2">
      <c r="A485" s="53"/>
    </row>
    <row r="486" spans="1:1" ht="13.2">
      <c r="A486" s="53"/>
    </row>
    <row r="487" spans="1:1" ht="13.2">
      <c r="A487" s="53"/>
    </row>
    <row r="488" spans="1:1" ht="13.2">
      <c r="A488" s="53"/>
    </row>
    <row r="489" spans="1:1" ht="13.2">
      <c r="A489" s="53"/>
    </row>
    <row r="490" spans="1:1" ht="13.2">
      <c r="A490" s="53"/>
    </row>
    <row r="491" spans="1:1" ht="13.2">
      <c r="A491" s="53"/>
    </row>
    <row r="492" spans="1:1" ht="13.2">
      <c r="A492" s="53"/>
    </row>
    <row r="493" spans="1:1" ht="13.2">
      <c r="A493" s="53"/>
    </row>
    <row r="494" spans="1:1" ht="13.2">
      <c r="A494" s="53"/>
    </row>
    <row r="495" spans="1:1" ht="13.2">
      <c r="A495" s="53"/>
    </row>
    <row r="496" spans="1:1" ht="13.2">
      <c r="A496" s="53"/>
    </row>
    <row r="497" spans="1:1" ht="13.2">
      <c r="A497" s="53"/>
    </row>
    <row r="498" spans="1:1" ht="13.2">
      <c r="A498" s="53"/>
    </row>
    <row r="499" spans="1:1" ht="13.2">
      <c r="A499" s="53"/>
    </row>
    <row r="500" spans="1:1" ht="13.2">
      <c r="A500" s="53"/>
    </row>
    <row r="501" spans="1:1" ht="13.2">
      <c r="A501" s="53"/>
    </row>
    <row r="502" spans="1:1" ht="13.2">
      <c r="A502" s="53"/>
    </row>
    <row r="503" spans="1:1" ht="13.2">
      <c r="A503" s="53"/>
    </row>
    <row r="504" spans="1:1" ht="13.2">
      <c r="A504" s="53"/>
    </row>
    <row r="505" spans="1:1" ht="13.2">
      <c r="A505" s="53"/>
    </row>
    <row r="506" spans="1:1" ht="13.2">
      <c r="A506" s="53"/>
    </row>
    <row r="507" spans="1:1" ht="13.2">
      <c r="A507" s="53"/>
    </row>
    <row r="508" spans="1:1" ht="13.2">
      <c r="A508" s="53"/>
    </row>
    <row r="509" spans="1:1" ht="13.2">
      <c r="A509" s="53"/>
    </row>
    <row r="510" spans="1:1" ht="13.2">
      <c r="A510" s="53"/>
    </row>
    <row r="511" spans="1:1" ht="13.2">
      <c r="A511" s="53"/>
    </row>
    <row r="512" spans="1:1" ht="13.2">
      <c r="A512" s="53"/>
    </row>
    <row r="513" spans="1:1" ht="13.2">
      <c r="A513" s="53"/>
    </row>
    <row r="514" spans="1:1" ht="13.2">
      <c r="A514" s="53"/>
    </row>
    <row r="515" spans="1:1" ht="13.2">
      <c r="A515" s="53"/>
    </row>
    <row r="516" spans="1:1" ht="13.2">
      <c r="A516" s="53"/>
    </row>
    <row r="517" spans="1:1" ht="13.2">
      <c r="A517" s="53"/>
    </row>
    <row r="518" spans="1:1" ht="13.2">
      <c r="A518" s="53"/>
    </row>
    <row r="519" spans="1:1" ht="13.2">
      <c r="A519" s="53"/>
    </row>
    <row r="520" spans="1:1" ht="13.2">
      <c r="A520" s="53"/>
    </row>
    <row r="521" spans="1:1" ht="13.2">
      <c r="A521" s="53"/>
    </row>
    <row r="522" spans="1:1" ht="13.2">
      <c r="A522" s="53"/>
    </row>
    <row r="523" spans="1:1" ht="13.2">
      <c r="A523" s="53"/>
    </row>
    <row r="524" spans="1:1" ht="13.2">
      <c r="A524" s="53"/>
    </row>
    <row r="525" spans="1:1" ht="13.2">
      <c r="A525" s="53"/>
    </row>
    <row r="526" spans="1:1" ht="13.2">
      <c r="A526" s="53"/>
    </row>
    <row r="527" spans="1:1" ht="13.2">
      <c r="A527" s="53"/>
    </row>
    <row r="528" spans="1:1" ht="13.2">
      <c r="A528" s="53"/>
    </row>
    <row r="529" spans="1:1" ht="13.2">
      <c r="A529" s="53"/>
    </row>
    <row r="530" spans="1:1" ht="13.2">
      <c r="A530" s="53"/>
    </row>
    <row r="531" spans="1:1" ht="13.2">
      <c r="A531" s="53"/>
    </row>
    <row r="532" spans="1:1" ht="13.2">
      <c r="A532" s="53"/>
    </row>
    <row r="533" spans="1:1" ht="13.2">
      <c r="A533" s="53"/>
    </row>
    <row r="534" spans="1:1" ht="13.2">
      <c r="A534" s="53"/>
    </row>
    <row r="535" spans="1:1" ht="13.2">
      <c r="A535" s="53"/>
    </row>
    <row r="536" spans="1:1" ht="13.2">
      <c r="A536" s="53"/>
    </row>
    <row r="537" spans="1:1" ht="13.2">
      <c r="A537" s="53"/>
    </row>
    <row r="538" spans="1:1" ht="13.2">
      <c r="A538" s="53"/>
    </row>
    <row r="539" spans="1:1" ht="13.2">
      <c r="A539" s="53"/>
    </row>
    <row r="540" spans="1:1" ht="13.2">
      <c r="A540" s="53"/>
    </row>
    <row r="541" spans="1:1" ht="13.2">
      <c r="A541" s="53"/>
    </row>
    <row r="542" spans="1:1" ht="13.2">
      <c r="A542" s="53"/>
    </row>
    <row r="543" spans="1:1" ht="13.2">
      <c r="A543" s="53"/>
    </row>
    <row r="544" spans="1:1" ht="13.2">
      <c r="A544" s="53"/>
    </row>
    <row r="545" spans="1:1" ht="13.2">
      <c r="A545" s="53"/>
    </row>
    <row r="546" spans="1:1" ht="13.2">
      <c r="A546" s="53"/>
    </row>
    <row r="547" spans="1:1" ht="13.2">
      <c r="A547" s="53"/>
    </row>
    <row r="548" spans="1:1" ht="13.2">
      <c r="A548" s="53"/>
    </row>
    <row r="549" spans="1:1" ht="13.2">
      <c r="A549" s="53"/>
    </row>
    <row r="550" spans="1:1" ht="13.2">
      <c r="A550" s="53"/>
    </row>
    <row r="551" spans="1:1" ht="13.2">
      <c r="A551" s="53"/>
    </row>
    <row r="552" spans="1:1" ht="13.2">
      <c r="A552" s="53"/>
    </row>
    <row r="553" spans="1:1" ht="13.2">
      <c r="A553" s="53"/>
    </row>
    <row r="554" spans="1:1" ht="13.2">
      <c r="A554" s="53"/>
    </row>
    <row r="555" spans="1:1" ht="13.2">
      <c r="A555" s="53"/>
    </row>
    <row r="556" spans="1:1" ht="13.2">
      <c r="A556" s="53"/>
    </row>
    <row r="557" spans="1:1" ht="13.2">
      <c r="A557" s="53"/>
    </row>
    <row r="558" spans="1:1" ht="13.2">
      <c r="A558" s="53"/>
    </row>
    <row r="559" spans="1:1" ht="13.2">
      <c r="A559" s="53"/>
    </row>
    <row r="560" spans="1:1" ht="13.2">
      <c r="A560" s="53"/>
    </row>
    <row r="561" spans="1:1" ht="13.2">
      <c r="A561" s="53"/>
    </row>
    <row r="562" spans="1:1" ht="13.2">
      <c r="A562" s="53"/>
    </row>
    <row r="563" spans="1:1" ht="13.2">
      <c r="A563" s="53"/>
    </row>
    <row r="564" spans="1:1" ht="13.2">
      <c r="A564" s="53"/>
    </row>
    <row r="565" spans="1:1" ht="13.2">
      <c r="A565" s="53"/>
    </row>
    <row r="566" spans="1:1" ht="13.2">
      <c r="A566" s="53"/>
    </row>
    <row r="567" spans="1:1" ht="13.2">
      <c r="A567" s="53"/>
    </row>
    <row r="568" spans="1:1" ht="13.2">
      <c r="A568" s="53"/>
    </row>
    <row r="569" spans="1:1" ht="13.2">
      <c r="A569" s="53"/>
    </row>
    <row r="570" spans="1:1" ht="13.2">
      <c r="A570" s="53"/>
    </row>
    <row r="571" spans="1:1" ht="13.2">
      <c r="A571" s="53"/>
    </row>
    <row r="572" spans="1:1" ht="13.2">
      <c r="A572" s="53"/>
    </row>
    <row r="573" spans="1:1" ht="13.2">
      <c r="A573" s="53"/>
    </row>
    <row r="574" spans="1:1" ht="13.2">
      <c r="A574" s="53"/>
    </row>
    <row r="575" spans="1:1" ht="13.2">
      <c r="A575" s="53"/>
    </row>
    <row r="576" spans="1:1" ht="13.2">
      <c r="A576" s="53"/>
    </row>
    <row r="577" spans="1:1" ht="13.2">
      <c r="A577" s="53"/>
    </row>
    <row r="578" spans="1:1" ht="13.2">
      <c r="A578" s="53"/>
    </row>
    <row r="579" spans="1:1" ht="13.2">
      <c r="A579" s="53"/>
    </row>
    <row r="580" spans="1:1" ht="13.2">
      <c r="A580" s="53"/>
    </row>
    <row r="581" spans="1:1" ht="13.2">
      <c r="A581" s="53"/>
    </row>
    <row r="582" spans="1:1" ht="13.2">
      <c r="A582" s="53"/>
    </row>
    <row r="583" spans="1:1" ht="13.2">
      <c r="A583" s="53"/>
    </row>
    <row r="584" spans="1:1" ht="13.2">
      <c r="A584" s="53"/>
    </row>
    <row r="585" spans="1:1" ht="13.2">
      <c r="A585" s="53"/>
    </row>
    <row r="586" spans="1:1" ht="13.2">
      <c r="A586" s="53"/>
    </row>
    <row r="587" spans="1:1" ht="13.2">
      <c r="A587" s="53"/>
    </row>
    <row r="588" spans="1:1" ht="13.2">
      <c r="A588" s="53"/>
    </row>
    <row r="589" spans="1:1" ht="13.2">
      <c r="A589" s="53"/>
    </row>
    <row r="590" spans="1:1" ht="13.2">
      <c r="A590" s="53"/>
    </row>
    <row r="591" spans="1:1" ht="13.2">
      <c r="A591" s="53"/>
    </row>
    <row r="592" spans="1:1" ht="13.2">
      <c r="A592" s="53"/>
    </row>
    <row r="593" spans="1:1" ht="13.2">
      <c r="A593" s="53"/>
    </row>
    <row r="594" spans="1:1" ht="13.2">
      <c r="A594" s="53"/>
    </row>
    <row r="595" spans="1:1" ht="13.2">
      <c r="A595" s="53"/>
    </row>
    <row r="596" spans="1:1" ht="13.2">
      <c r="A596" s="53"/>
    </row>
    <row r="597" spans="1:1" ht="13.2">
      <c r="A597" s="53"/>
    </row>
    <row r="598" spans="1:1" ht="13.2">
      <c r="A598" s="53"/>
    </row>
    <row r="599" spans="1:1" ht="13.2">
      <c r="A599" s="53"/>
    </row>
    <row r="600" spans="1:1" ht="13.2">
      <c r="A600" s="53"/>
    </row>
    <row r="601" spans="1:1" ht="13.2">
      <c r="A601" s="53"/>
    </row>
    <row r="602" spans="1:1" ht="13.2">
      <c r="A602" s="53"/>
    </row>
    <row r="603" spans="1:1" ht="13.2">
      <c r="A603" s="53"/>
    </row>
    <row r="604" spans="1:1" ht="13.2">
      <c r="A604" s="53"/>
    </row>
    <row r="605" spans="1:1" ht="13.2">
      <c r="A605" s="53"/>
    </row>
    <row r="606" spans="1:1" ht="13.2">
      <c r="A606" s="53"/>
    </row>
    <row r="607" spans="1:1" ht="13.2">
      <c r="A607" s="53"/>
    </row>
    <row r="608" spans="1:1" ht="13.2">
      <c r="A608" s="53"/>
    </row>
    <row r="609" spans="1:1" ht="13.2">
      <c r="A609" s="53"/>
    </row>
    <row r="610" spans="1:1" ht="13.2">
      <c r="A610" s="53"/>
    </row>
    <row r="611" spans="1:1" ht="13.2">
      <c r="A611" s="53"/>
    </row>
    <row r="612" spans="1:1" ht="13.2">
      <c r="A612" s="53"/>
    </row>
    <row r="613" spans="1:1" ht="13.2">
      <c r="A613" s="53"/>
    </row>
    <row r="614" spans="1:1" ht="13.2">
      <c r="A614" s="53"/>
    </row>
    <row r="615" spans="1:1" ht="13.2">
      <c r="A615" s="53"/>
    </row>
    <row r="616" spans="1:1" ht="13.2">
      <c r="A616" s="53"/>
    </row>
    <row r="617" spans="1:1" ht="13.2">
      <c r="A617" s="53"/>
    </row>
    <row r="618" spans="1:1" ht="13.2">
      <c r="A618" s="53"/>
    </row>
    <row r="619" spans="1:1" ht="13.2">
      <c r="A619" s="53"/>
    </row>
    <row r="620" spans="1:1" ht="13.2">
      <c r="A620" s="53"/>
    </row>
    <row r="621" spans="1:1" ht="13.2">
      <c r="A621" s="53"/>
    </row>
    <row r="622" spans="1:1" ht="13.2">
      <c r="A622" s="53"/>
    </row>
    <row r="623" spans="1:1" ht="13.2">
      <c r="A623" s="53"/>
    </row>
    <row r="624" spans="1:1" ht="13.2">
      <c r="A624" s="53"/>
    </row>
    <row r="625" spans="1:1" ht="13.2">
      <c r="A625" s="53"/>
    </row>
    <row r="626" spans="1:1" ht="13.2">
      <c r="A626" s="53"/>
    </row>
    <row r="627" spans="1:1" ht="13.2">
      <c r="A627" s="53"/>
    </row>
    <row r="628" spans="1:1" ht="13.2">
      <c r="A628" s="53"/>
    </row>
    <row r="629" spans="1:1" ht="13.2">
      <c r="A629" s="53"/>
    </row>
    <row r="630" spans="1:1" ht="13.2">
      <c r="A630" s="53"/>
    </row>
    <row r="631" spans="1:1" ht="13.2">
      <c r="A631" s="53"/>
    </row>
    <row r="632" spans="1:1" ht="13.2">
      <c r="A632" s="53"/>
    </row>
    <row r="633" spans="1:1" ht="13.2">
      <c r="A633" s="53"/>
    </row>
    <row r="634" spans="1:1" ht="13.2">
      <c r="A634" s="53"/>
    </row>
    <row r="635" spans="1:1" ht="13.2">
      <c r="A635" s="53"/>
    </row>
    <row r="636" spans="1:1" ht="13.2">
      <c r="A636" s="53"/>
    </row>
    <row r="637" spans="1:1" ht="13.2">
      <c r="A637" s="53"/>
    </row>
    <row r="638" spans="1:1" ht="13.2">
      <c r="A638" s="53"/>
    </row>
    <row r="639" spans="1:1" ht="13.2">
      <c r="A639" s="53"/>
    </row>
    <row r="640" spans="1:1" ht="13.2">
      <c r="A640" s="53"/>
    </row>
    <row r="641" spans="1:1" ht="13.2">
      <c r="A641" s="53"/>
    </row>
    <row r="642" spans="1:1" ht="13.2">
      <c r="A642" s="53"/>
    </row>
    <row r="643" spans="1:1" ht="13.2">
      <c r="A643" s="53"/>
    </row>
    <row r="644" spans="1:1" ht="13.2">
      <c r="A644" s="53"/>
    </row>
    <row r="645" spans="1:1" ht="13.2">
      <c r="A645" s="53"/>
    </row>
    <row r="646" spans="1:1" ht="13.2">
      <c r="A646" s="53"/>
    </row>
    <row r="647" spans="1:1" ht="13.2">
      <c r="A647" s="53"/>
    </row>
    <row r="648" spans="1:1" ht="13.2">
      <c r="A648" s="53"/>
    </row>
    <row r="649" spans="1:1" ht="13.2">
      <c r="A649" s="53"/>
    </row>
    <row r="650" spans="1:1" ht="13.2">
      <c r="A650" s="53"/>
    </row>
    <row r="651" spans="1:1" ht="13.2">
      <c r="A651" s="53"/>
    </row>
    <row r="652" spans="1:1" ht="13.2">
      <c r="A652" s="53"/>
    </row>
    <row r="653" spans="1:1" ht="13.2">
      <c r="A653" s="53"/>
    </row>
    <row r="654" spans="1:1" ht="13.2">
      <c r="A654" s="53"/>
    </row>
    <row r="655" spans="1:1" ht="13.2">
      <c r="A655" s="53"/>
    </row>
    <row r="656" spans="1:1" ht="13.2">
      <c r="A656" s="53"/>
    </row>
    <row r="657" spans="1:1" ht="13.2">
      <c r="A657" s="53"/>
    </row>
    <row r="658" spans="1:1" ht="13.2">
      <c r="A658" s="53"/>
    </row>
    <row r="659" spans="1:1" ht="13.2">
      <c r="A659" s="53"/>
    </row>
    <row r="660" spans="1:1" ht="13.2">
      <c r="A660" s="53"/>
    </row>
    <row r="661" spans="1:1" ht="13.2">
      <c r="A661" s="53"/>
    </row>
    <row r="662" spans="1:1" ht="13.2">
      <c r="A662" s="53"/>
    </row>
    <row r="663" spans="1:1" ht="13.2">
      <c r="A663" s="53"/>
    </row>
    <row r="664" spans="1:1" ht="13.2">
      <c r="A664" s="53"/>
    </row>
    <row r="665" spans="1:1" ht="13.2">
      <c r="A665" s="53"/>
    </row>
    <row r="666" spans="1:1" ht="13.2">
      <c r="A666" s="53"/>
    </row>
    <row r="667" spans="1:1" ht="13.2">
      <c r="A667" s="53"/>
    </row>
    <row r="668" spans="1:1" ht="13.2">
      <c r="A668" s="53"/>
    </row>
    <row r="669" spans="1:1" ht="13.2">
      <c r="A669" s="53"/>
    </row>
    <row r="670" spans="1:1" ht="13.2">
      <c r="A670" s="53"/>
    </row>
    <row r="671" spans="1:1" ht="13.2">
      <c r="A671" s="53"/>
    </row>
    <row r="672" spans="1:1" ht="13.2">
      <c r="A672" s="53"/>
    </row>
    <row r="673" spans="1:1" ht="13.2">
      <c r="A673" s="53"/>
    </row>
    <row r="674" spans="1:1" ht="13.2">
      <c r="A674" s="53"/>
    </row>
    <row r="675" spans="1:1" ht="13.2">
      <c r="A675" s="53"/>
    </row>
    <row r="676" spans="1:1" ht="13.2">
      <c r="A676" s="53"/>
    </row>
    <row r="677" spans="1:1" ht="13.2">
      <c r="A677" s="53"/>
    </row>
    <row r="678" spans="1:1" ht="13.2">
      <c r="A678" s="53"/>
    </row>
    <row r="679" spans="1:1" ht="13.2">
      <c r="A679" s="53"/>
    </row>
    <row r="680" spans="1:1" ht="13.2">
      <c r="A680" s="53"/>
    </row>
    <row r="681" spans="1:1" ht="13.2">
      <c r="A681" s="53"/>
    </row>
    <row r="682" spans="1:1" ht="13.2">
      <c r="A682" s="53"/>
    </row>
    <row r="683" spans="1:1" ht="13.2">
      <c r="A683" s="53"/>
    </row>
    <row r="684" spans="1:1" ht="13.2">
      <c r="A684" s="53"/>
    </row>
    <row r="685" spans="1:1" ht="13.2">
      <c r="A685" s="53"/>
    </row>
    <row r="686" spans="1:1" ht="13.2">
      <c r="A686" s="53"/>
    </row>
    <row r="687" spans="1:1" ht="13.2">
      <c r="A687" s="53"/>
    </row>
    <row r="688" spans="1:1" ht="13.2">
      <c r="A688" s="53"/>
    </row>
    <row r="689" spans="1:1" ht="13.2">
      <c r="A689" s="53"/>
    </row>
    <row r="690" spans="1:1" ht="13.2">
      <c r="A690" s="53"/>
    </row>
    <row r="691" spans="1:1" ht="13.2">
      <c r="A691" s="53"/>
    </row>
    <row r="692" spans="1:1" ht="13.2">
      <c r="A692" s="53"/>
    </row>
    <row r="693" spans="1:1" ht="13.2">
      <c r="A693" s="53"/>
    </row>
    <row r="694" spans="1:1" ht="13.2">
      <c r="A694" s="53"/>
    </row>
    <row r="695" spans="1:1" ht="13.2">
      <c r="A695" s="53"/>
    </row>
    <row r="696" spans="1:1" ht="13.2">
      <c r="A696" s="53"/>
    </row>
    <row r="697" spans="1:1" ht="13.2">
      <c r="A697" s="53"/>
    </row>
    <row r="698" spans="1:1" ht="13.2">
      <c r="A698" s="53"/>
    </row>
    <row r="699" spans="1:1" ht="13.2">
      <c r="A699" s="53"/>
    </row>
    <row r="700" spans="1:1" ht="13.2">
      <c r="A700" s="53"/>
    </row>
    <row r="701" spans="1:1" ht="13.2">
      <c r="A701" s="53"/>
    </row>
    <row r="702" spans="1:1" ht="13.2">
      <c r="A702" s="53"/>
    </row>
    <row r="703" spans="1:1" ht="13.2">
      <c r="A703" s="53"/>
    </row>
    <row r="704" spans="1:1" ht="13.2">
      <c r="A704" s="53"/>
    </row>
    <row r="705" spans="1:1" ht="13.2">
      <c r="A705" s="53"/>
    </row>
    <row r="706" spans="1:1" ht="13.2">
      <c r="A706" s="53"/>
    </row>
    <row r="707" spans="1:1" ht="13.2">
      <c r="A707" s="53"/>
    </row>
    <row r="708" spans="1:1" ht="13.2">
      <c r="A708" s="53"/>
    </row>
    <row r="709" spans="1:1" ht="13.2">
      <c r="A709" s="53"/>
    </row>
    <row r="710" spans="1:1" ht="13.2">
      <c r="A710" s="53"/>
    </row>
    <row r="711" spans="1:1" ht="13.2">
      <c r="A711" s="53"/>
    </row>
    <row r="712" spans="1:1" ht="13.2">
      <c r="A712" s="53"/>
    </row>
    <row r="713" spans="1:1" ht="13.2">
      <c r="A713" s="53"/>
    </row>
    <row r="714" spans="1:1" ht="13.2">
      <c r="A714" s="53"/>
    </row>
    <row r="715" spans="1:1" ht="13.2">
      <c r="A715" s="53"/>
    </row>
    <row r="716" spans="1:1" ht="13.2">
      <c r="A716" s="53"/>
    </row>
    <row r="717" spans="1:1" ht="13.2">
      <c r="A717" s="53"/>
    </row>
    <row r="718" spans="1:1" ht="13.2">
      <c r="A718" s="53"/>
    </row>
    <row r="719" spans="1:1" ht="13.2">
      <c r="A719" s="53"/>
    </row>
    <row r="720" spans="1:1" ht="13.2">
      <c r="A720" s="53"/>
    </row>
    <row r="721" spans="1:1" ht="13.2">
      <c r="A721" s="53"/>
    </row>
    <row r="722" spans="1:1" ht="13.2">
      <c r="A722" s="53"/>
    </row>
    <row r="723" spans="1:1" ht="13.2">
      <c r="A723" s="53"/>
    </row>
    <row r="724" spans="1:1" ht="13.2">
      <c r="A724" s="53"/>
    </row>
    <row r="725" spans="1:1" ht="13.2">
      <c r="A725" s="53"/>
    </row>
    <row r="726" spans="1:1" ht="13.2">
      <c r="A726" s="53"/>
    </row>
    <row r="727" spans="1:1" ht="13.2">
      <c r="A727" s="53"/>
    </row>
    <row r="728" spans="1:1" ht="13.2">
      <c r="A728" s="53"/>
    </row>
    <row r="729" spans="1:1" ht="13.2">
      <c r="A729" s="53"/>
    </row>
    <row r="730" spans="1:1" ht="13.2">
      <c r="A730" s="53"/>
    </row>
    <row r="731" spans="1:1" ht="13.2">
      <c r="A731" s="53"/>
    </row>
    <row r="732" spans="1:1" ht="13.2">
      <c r="A732" s="53"/>
    </row>
    <row r="733" spans="1:1" ht="13.2">
      <c r="A733" s="53"/>
    </row>
    <row r="734" spans="1:1" ht="13.2">
      <c r="A734" s="53"/>
    </row>
    <row r="735" spans="1:1" ht="13.2">
      <c r="A735" s="53"/>
    </row>
    <row r="736" spans="1:1" ht="13.2">
      <c r="A736" s="53"/>
    </row>
    <row r="737" spans="1:1" ht="13.2">
      <c r="A737" s="53"/>
    </row>
    <row r="738" spans="1:1" ht="13.2">
      <c r="A738" s="53"/>
    </row>
    <row r="739" spans="1:1" ht="13.2">
      <c r="A739" s="53"/>
    </row>
    <row r="740" spans="1:1" ht="13.2">
      <c r="A740" s="53"/>
    </row>
    <row r="741" spans="1:1" ht="13.2">
      <c r="A741" s="53"/>
    </row>
    <row r="742" spans="1:1" ht="13.2">
      <c r="A742" s="53"/>
    </row>
    <row r="743" spans="1:1" ht="13.2">
      <c r="A743" s="53"/>
    </row>
    <row r="744" spans="1:1" ht="13.2">
      <c r="A744" s="53"/>
    </row>
    <row r="745" spans="1:1" ht="13.2">
      <c r="A745" s="53"/>
    </row>
    <row r="746" spans="1:1" ht="13.2">
      <c r="A746" s="53"/>
    </row>
    <row r="747" spans="1:1" ht="13.2">
      <c r="A747" s="53"/>
    </row>
    <row r="748" spans="1:1" ht="13.2">
      <c r="A748" s="53"/>
    </row>
    <row r="749" spans="1:1" ht="13.2">
      <c r="A749" s="53"/>
    </row>
    <row r="750" spans="1:1" ht="13.2">
      <c r="A750" s="53"/>
    </row>
    <row r="751" spans="1:1" ht="13.2">
      <c r="A751" s="53"/>
    </row>
    <row r="752" spans="1:1" ht="13.2">
      <c r="A752" s="53"/>
    </row>
    <row r="753" spans="1:1" ht="13.2">
      <c r="A753" s="53"/>
    </row>
    <row r="754" spans="1:1" ht="13.2">
      <c r="A754" s="53"/>
    </row>
    <row r="755" spans="1:1" ht="13.2">
      <c r="A755" s="53"/>
    </row>
    <row r="756" spans="1:1" ht="13.2">
      <c r="A756" s="53"/>
    </row>
    <row r="757" spans="1:1" ht="13.2">
      <c r="A757" s="53"/>
    </row>
    <row r="758" spans="1:1" ht="13.2">
      <c r="A758" s="53"/>
    </row>
    <row r="759" spans="1:1" ht="13.2">
      <c r="A759" s="53"/>
    </row>
    <row r="760" spans="1:1" ht="13.2">
      <c r="A760" s="53"/>
    </row>
    <row r="761" spans="1:1" ht="13.2">
      <c r="A761" s="53"/>
    </row>
    <row r="762" spans="1:1" ht="13.2">
      <c r="A762" s="53"/>
    </row>
    <row r="763" spans="1:1" ht="13.2">
      <c r="A763" s="53"/>
    </row>
    <row r="764" spans="1:1" ht="13.2">
      <c r="A764" s="53"/>
    </row>
    <row r="765" spans="1:1" ht="13.2">
      <c r="A765" s="53"/>
    </row>
    <row r="766" spans="1:1" ht="13.2">
      <c r="A766" s="53"/>
    </row>
    <row r="767" spans="1:1" ht="13.2">
      <c r="A767" s="53"/>
    </row>
    <row r="768" spans="1:1" ht="13.2">
      <c r="A768" s="53"/>
    </row>
    <row r="769" spans="1:1" ht="13.2">
      <c r="A769" s="53"/>
    </row>
    <row r="770" spans="1:1" ht="13.2">
      <c r="A770" s="53"/>
    </row>
    <row r="771" spans="1:1" ht="13.2">
      <c r="A771" s="53"/>
    </row>
    <row r="772" spans="1:1" ht="13.2">
      <c r="A772" s="53"/>
    </row>
    <row r="773" spans="1:1" ht="13.2">
      <c r="A773" s="53"/>
    </row>
    <row r="774" spans="1:1" ht="13.2">
      <c r="A774" s="53"/>
    </row>
    <row r="775" spans="1:1" ht="13.2">
      <c r="A775" s="53"/>
    </row>
    <row r="776" spans="1:1" ht="13.2">
      <c r="A776" s="53"/>
    </row>
    <row r="777" spans="1:1" ht="13.2">
      <c r="A777" s="53"/>
    </row>
    <row r="778" spans="1:1" ht="13.2">
      <c r="A778" s="53"/>
    </row>
    <row r="779" spans="1:1" ht="13.2">
      <c r="A779" s="53"/>
    </row>
    <row r="780" spans="1:1" ht="13.2">
      <c r="A780" s="53"/>
    </row>
    <row r="781" spans="1:1" ht="13.2">
      <c r="A781" s="53"/>
    </row>
    <row r="782" spans="1:1" ht="13.2">
      <c r="A782" s="53"/>
    </row>
    <row r="783" spans="1:1" ht="13.2">
      <c r="A783" s="53"/>
    </row>
    <row r="784" spans="1:1" ht="13.2">
      <c r="A784" s="53"/>
    </row>
    <row r="785" spans="1:1" ht="13.2">
      <c r="A785" s="53"/>
    </row>
    <row r="786" spans="1:1" ht="13.2">
      <c r="A786" s="53"/>
    </row>
    <row r="787" spans="1:1" ht="13.2">
      <c r="A787" s="53"/>
    </row>
    <row r="788" spans="1:1" ht="13.2">
      <c r="A788" s="53"/>
    </row>
    <row r="789" spans="1:1" ht="13.2">
      <c r="A789" s="53"/>
    </row>
    <row r="790" spans="1:1" ht="13.2">
      <c r="A790" s="53"/>
    </row>
    <row r="791" spans="1:1" ht="13.2">
      <c r="A791" s="53"/>
    </row>
    <row r="792" spans="1:1" ht="13.2">
      <c r="A792" s="53"/>
    </row>
    <row r="793" spans="1:1" ht="13.2">
      <c r="A793" s="53"/>
    </row>
    <row r="794" spans="1:1" ht="13.2">
      <c r="A794" s="53"/>
    </row>
  </sheetData>
  <mergeCells count="17">
    <mergeCell ref="A35:A38"/>
    <mergeCell ref="A39:A43"/>
    <mergeCell ref="A84:A88"/>
    <mergeCell ref="A89:A101"/>
    <mergeCell ref="A104:A111"/>
    <mergeCell ref="A47:A56"/>
    <mergeCell ref="A57:A62"/>
    <mergeCell ref="A63:A65"/>
    <mergeCell ref="A66:A69"/>
    <mergeCell ref="A70:A74"/>
    <mergeCell ref="A75:A80"/>
    <mergeCell ref="A81:A82"/>
    <mergeCell ref="A5:A9"/>
    <mergeCell ref="A10:A12"/>
    <mergeCell ref="A13:A27"/>
    <mergeCell ref="A28:A30"/>
    <mergeCell ref="A31:A34"/>
  </mergeCell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Бланк_заказа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Semisobolev</dc:creator>
  <cp:lastModifiedBy>Semisobolev</cp:lastModifiedBy>
  <dcterms:created xsi:type="dcterms:W3CDTF">2024-04-08T23:01:57Z</dcterms:created>
  <dcterms:modified xsi:type="dcterms:W3CDTF">2024-04-08T23:01:57Z</dcterms:modified>
</cp:coreProperties>
</file>