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F:\Repositories\Masterarbeit_V2\Berechnungen\"/>
    </mc:Choice>
  </mc:AlternateContent>
  <xr:revisionPtr revIDLastSave="0" documentId="13_ncr:1_{D3258699-9D44-44D8-82B9-9E788A43E127}" xr6:coauthVersionLast="47" xr6:coauthVersionMax="47" xr10:uidLastSave="{00000000-0000-0000-0000-000000000000}"/>
  <bookViews>
    <workbookView xWindow="3435" yWindow="630" windowWidth="21600" windowHeight="11385" tabRatio="823" xr2:uid="{00000000-000D-0000-FFFF-FFFF00000000}"/>
  </bookViews>
  <sheets>
    <sheet name="Walze" sheetId="2" r:id="rId1"/>
    <sheet name="PCM Massenstrommessung" sheetId="16" r:id="rId2"/>
    <sheet name="Schaber Ausdehnung" sheetId="17" r:id="rId3"/>
    <sheet name="Behälter Versuchsstand" sheetId="7" r:id="rId4"/>
    <sheet name="Simulationen" sheetId="9" r:id="rId5"/>
    <sheet name="Prozessfunktionsplan" sheetId="14" r:id="rId6"/>
    <sheet name="Druckverlust Rohrreibung" sheetId="1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4" i="2" l="1"/>
  <c r="T40" i="2"/>
  <c r="B3" i="19"/>
  <c r="B7" i="19"/>
  <c r="B9" i="19"/>
  <c r="B11" i="19"/>
  <c r="B12" i="19" s="1"/>
  <c r="B16" i="19" s="1"/>
  <c r="B15" i="19"/>
  <c r="B25" i="19" l="1"/>
  <c r="B26" i="19" s="1"/>
  <c r="B27" i="19" s="1"/>
  <c r="B17" i="19" s="1"/>
  <c r="B18" i="19" s="1"/>
  <c r="B19" i="19"/>
  <c r="B20" i="19"/>
  <c r="B21" i="19" s="1"/>
  <c r="B22" i="19" s="1"/>
  <c r="B23" i="19" s="1"/>
  <c r="C6" i="17"/>
  <c r="B8" i="17" s="1"/>
  <c r="B6" i="17"/>
  <c r="F40" i="2" l="1"/>
  <c r="F13" i="2" s="1"/>
  <c r="F11" i="2"/>
  <c r="F7" i="2"/>
  <c r="C11" i="16" l="1"/>
  <c r="D11" i="16" l="1"/>
  <c r="D10" i="16"/>
  <c r="C10" i="16"/>
  <c r="D4" i="16"/>
  <c r="D12" i="16" s="1"/>
  <c r="C4" i="16"/>
  <c r="F4" i="16" s="1"/>
  <c r="BH13" i="2"/>
  <c r="F6" i="16" l="1"/>
  <c r="F5" i="16"/>
  <c r="C12" i="16"/>
  <c r="T11" i="2" l="1"/>
  <c r="F15" i="2" l="1"/>
  <c r="G15" i="2" s="1"/>
  <c r="F30" i="2" l="1"/>
  <c r="F12" i="2" s="1"/>
  <c r="T150" i="2"/>
  <c r="F150" i="2"/>
  <c r="F8" i="2" l="1"/>
  <c r="F134" i="2"/>
  <c r="I134" i="2" s="1"/>
  <c r="T15" i="2"/>
  <c r="K12" i="7"/>
  <c r="K14" i="7"/>
  <c r="J9" i="7"/>
  <c r="K9" i="7" s="1"/>
  <c r="F13" i="7"/>
  <c r="H8" i="7"/>
  <c r="I8" i="7" s="1"/>
  <c r="J8" i="7" s="1"/>
  <c r="K8" i="7" s="1"/>
  <c r="L55" i="2"/>
  <c r="L20" i="2"/>
  <c r="T9" i="2" l="1"/>
  <c r="T71" i="2"/>
  <c r="L13" i="2"/>
  <c r="W134" i="2" l="1"/>
  <c r="BH5" i="2"/>
  <c r="L18" i="2"/>
  <c r="L41" i="2"/>
  <c r="L14" i="2"/>
  <c r="L15" i="2" s="1"/>
  <c r="D15" i="9"/>
  <c r="D16" i="9"/>
  <c r="D17" i="9"/>
  <c r="D18" i="9"/>
  <c r="D19" i="9"/>
  <c r="D20" i="9"/>
  <c r="D21" i="9"/>
  <c r="D22" i="9"/>
  <c r="D23" i="9"/>
  <c r="C5" i="16" l="1"/>
  <c r="C6" i="16" s="1"/>
  <c r="C7" i="16" s="1"/>
  <c r="BH6" i="2"/>
  <c r="D3" i="9"/>
  <c r="D4" i="9"/>
  <c r="D5" i="9"/>
  <c r="D6" i="9"/>
  <c r="D7" i="9"/>
  <c r="D8" i="9"/>
  <c r="D9" i="9"/>
  <c r="D10" i="9"/>
  <c r="D11" i="9"/>
  <c r="J12" i="7"/>
  <c r="J7" i="7"/>
  <c r="K7" i="7" s="1"/>
  <c r="I7" i="7"/>
  <c r="H7" i="7"/>
  <c r="I12" i="7"/>
  <c r="H12" i="7"/>
  <c r="F15" i="7"/>
  <c r="BH10" i="2" l="1"/>
  <c r="BH16" i="2" s="1"/>
  <c r="C3" i="16"/>
  <c r="C18" i="16" s="1"/>
  <c r="C19" i="16" s="1"/>
  <c r="B38" i="7"/>
  <c r="J11" i="7" s="1"/>
  <c r="K11" i="7" s="1"/>
  <c r="B37" i="7"/>
  <c r="J10" i="7" s="1"/>
  <c r="K10" i="7" s="1"/>
  <c r="B23" i="7"/>
  <c r="I11" i="7" s="1"/>
  <c r="B22" i="7"/>
  <c r="B8" i="7"/>
  <c r="H11" i="7" s="1"/>
  <c r="B7" i="7"/>
  <c r="H10" i="7" l="1"/>
  <c r="B11" i="7"/>
  <c r="H13" i="7" s="1"/>
  <c r="B41" i="7"/>
  <c r="B45" i="7" s="1"/>
  <c r="J15" i="7" s="1"/>
  <c r="B26" i="7"/>
  <c r="I10" i="7"/>
  <c r="F113" i="2"/>
  <c r="F124" i="2" s="1"/>
  <c r="U131" i="2"/>
  <c r="U121" i="2"/>
  <c r="U112" i="2"/>
  <c r="U111" i="2"/>
  <c r="U110" i="2"/>
  <c r="U102" i="2"/>
  <c r="U101" i="2"/>
  <c r="U100" i="2"/>
  <c r="U91" i="2"/>
  <c r="U90" i="2"/>
  <c r="U89" i="2"/>
  <c r="U47" i="2"/>
  <c r="U37" i="2"/>
  <c r="F48" i="2"/>
  <c r="F49" i="2" s="1"/>
  <c r="T49" i="2" s="1"/>
  <c r="F47" i="2"/>
  <c r="T47" i="2" s="1"/>
  <c r="F38" i="2"/>
  <c r="F39" i="2" s="1"/>
  <c r="T39" i="2" s="1"/>
  <c r="F37" i="2"/>
  <c r="T37" i="2" s="1"/>
  <c r="G132" i="2"/>
  <c r="U132" i="2" s="1"/>
  <c r="F132" i="2"/>
  <c r="F133" i="2" s="1"/>
  <c r="T133" i="2" s="1"/>
  <c r="F131" i="2"/>
  <c r="T131" i="2" s="1"/>
  <c r="G122" i="2"/>
  <c r="G123" i="2" s="1"/>
  <c r="U123" i="2" s="1"/>
  <c r="F122" i="2"/>
  <c r="F123" i="2" s="1"/>
  <c r="T123" i="2" s="1"/>
  <c r="F121" i="2"/>
  <c r="T121" i="2" s="1"/>
  <c r="G48" i="2"/>
  <c r="G49" i="2" s="1"/>
  <c r="U49" i="2" s="1"/>
  <c r="G39" i="2"/>
  <c r="U39" i="2" s="1"/>
  <c r="G38" i="2"/>
  <c r="U38" i="2" s="1"/>
  <c r="F28" i="2"/>
  <c r="F29" i="2" s="1"/>
  <c r="F27" i="2"/>
  <c r="T27" i="2" s="1"/>
  <c r="B15" i="7" l="1"/>
  <c r="H15" i="7" s="1"/>
  <c r="J13" i="7"/>
  <c r="K13" i="7" s="1"/>
  <c r="K15" i="7" s="1"/>
  <c r="T132" i="2"/>
  <c r="T38" i="2"/>
  <c r="U122" i="2"/>
  <c r="G133" i="2"/>
  <c r="U133" i="2" s="1"/>
  <c r="U48" i="2"/>
  <c r="T122" i="2"/>
  <c r="T48" i="2"/>
  <c r="B30" i="7"/>
  <c r="I15" i="7" s="1"/>
  <c r="I13" i="7"/>
  <c r="F69" i="2" l="1"/>
  <c r="F68" i="2"/>
  <c r="AU34" i="2" l="1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U70" i="2" l="1"/>
  <c r="U69" i="2"/>
  <c r="U68" i="2"/>
  <c r="T69" i="2"/>
  <c r="T68" i="2"/>
  <c r="F111" i="2"/>
  <c r="F112" i="2" s="1"/>
  <c r="T112" i="2" s="1"/>
  <c r="F110" i="2"/>
  <c r="T110" i="2" s="1"/>
  <c r="F101" i="2"/>
  <c r="F102" i="2" s="1"/>
  <c r="T102" i="2" s="1"/>
  <c r="F100" i="2"/>
  <c r="T100" i="2" s="1"/>
  <c r="T111" i="2" l="1"/>
  <c r="T101" i="2"/>
  <c r="U59" i="2"/>
  <c r="U58" i="2"/>
  <c r="U57" i="2"/>
  <c r="F58" i="2"/>
  <c r="F59" i="2" s="1"/>
  <c r="T59" i="2" s="1"/>
  <c r="F57" i="2"/>
  <c r="T57" i="2" s="1"/>
  <c r="U29" i="2"/>
  <c r="U28" i="2"/>
  <c r="U27" i="2"/>
  <c r="T29" i="2"/>
  <c r="T28" i="2"/>
  <c r="T58" i="2" l="1"/>
  <c r="F9" i="2"/>
  <c r="F71" i="2"/>
  <c r="BI8" i="2" l="1"/>
  <c r="BH8" i="2"/>
  <c r="BH7" i="2"/>
  <c r="BG9" i="2"/>
  <c r="BG8" i="2"/>
  <c r="BG7" i="2"/>
  <c r="BF9" i="2"/>
  <c r="BF8" i="2"/>
  <c r="BF7" i="2"/>
  <c r="BE9" i="2"/>
  <c r="BE8" i="2"/>
  <c r="BD8" i="2"/>
  <c r="BD7" i="2"/>
  <c r="BC9" i="2"/>
  <c r="BC8" i="2"/>
  <c r="BB9" i="2"/>
  <c r="BB8" i="2"/>
  <c r="BB7" i="2"/>
  <c r="BA9" i="2"/>
  <c r="BA8" i="2"/>
  <c r="AZ9" i="2"/>
  <c r="AY9" i="2"/>
  <c r="AY8" i="2"/>
  <c r="AX9" i="2"/>
  <c r="AX8" i="2"/>
  <c r="AX7" i="2"/>
  <c r="AW9" i="2"/>
  <c r="AW8" i="2"/>
  <c r="AW7" i="2"/>
  <c r="AW5" i="2"/>
  <c r="AZ5" i="2" s="1"/>
  <c r="Z60" i="2"/>
  <c r="Z55" i="2"/>
  <c r="Z56" i="2" s="1"/>
  <c r="Z53" i="2"/>
  <c r="Z51" i="2"/>
  <c r="Z52" i="2" s="1"/>
  <c r="Z49" i="2"/>
  <c r="Z57" i="2" s="1"/>
  <c r="Z65" i="2" s="1"/>
  <c r="Z66" i="2" s="1"/>
  <c r="Z48" i="2"/>
  <c r="Z39" i="2"/>
  <c r="Z36" i="2"/>
  <c r="Z35" i="2"/>
  <c r="Z30" i="2"/>
  <c r="Z23" i="2"/>
  <c r="Z24" i="2" s="1"/>
  <c r="Z20" i="2"/>
  <c r="Z13" i="2"/>
  <c r="Z41" i="2" s="1"/>
  <c r="Z11" i="2"/>
  <c r="F156" i="2"/>
  <c r="T156" i="2"/>
  <c r="T143" i="2"/>
  <c r="T180" i="2"/>
  <c r="T172" i="2"/>
  <c r="T166" i="2"/>
  <c r="T139" i="2"/>
  <c r="T113" i="2"/>
  <c r="T107" i="2"/>
  <c r="T98" i="2"/>
  <c r="T97" i="2"/>
  <c r="T93" i="2"/>
  <c r="T86" i="2"/>
  <c r="T64" i="2"/>
  <c r="T53" i="2"/>
  <c r="T44" i="2"/>
  <c r="T26" i="2"/>
  <c r="T25" i="2" s="1"/>
  <c r="T23" i="2"/>
  <c r="T22" i="2"/>
  <c r="T7" i="2"/>
  <c r="Z61" i="2"/>
  <c r="F90" i="2"/>
  <c r="T90" i="2" s="1"/>
  <c r="F89" i="2"/>
  <c r="T89" i="2" s="1"/>
  <c r="F80" i="2"/>
  <c r="T80" i="2" s="1"/>
  <c r="F79" i="2"/>
  <c r="T79" i="2" s="1"/>
  <c r="T182" i="2" l="1"/>
  <c r="AZ8" i="2"/>
  <c r="BA7" i="2"/>
  <c r="BC7" i="2"/>
  <c r="BD9" i="2"/>
  <c r="BI7" i="2"/>
  <c r="T154" i="2"/>
  <c r="BE7" i="2"/>
  <c r="T115" i="2"/>
  <c r="Z62" i="2"/>
  <c r="T119" i="2"/>
  <c r="T92" i="2"/>
  <c r="Z37" i="2"/>
  <c r="Z38" i="2" s="1"/>
  <c r="Z42" i="2" s="1"/>
  <c r="Z43" i="2" s="1"/>
  <c r="AX5" i="2"/>
  <c r="BF5" i="2"/>
  <c r="BG5" i="2" s="1"/>
  <c r="Z25" i="2"/>
  <c r="AY5" i="2"/>
  <c r="AY7" i="2"/>
  <c r="BA5" i="2"/>
  <c r="Z67" i="2"/>
  <c r="Z26" i="2"/>
  <c r="Z14" i="2"/>
  <c r="Z18" i="2"/>
  <c r="T124" i="2"/>
  <c r="T171" i="2"/>
  <c r="T30" i="2"/>
  <c r="T50" i="2"/>
  <c r="T160" i="2"/>
  <c r="T17" i="2"/>
  <c r="T161" i="2"/>
  <c r="T42" i="2"/>
  <c r="T13" i="2"/>
  <c r="T60" i="2"/>
  <c r="T174" i="2"/>
  <c r="T54" i="2"/>
  <c r="F93" i="2"/>
  <c r="BD32" i="2" s="1"/>
  <c r="F98" i="2"/>
  <c r="F97" i="2"/>
  <c r="L36" i="2"/>
  <c r="F64" i="2"/>
  <c r="BA30" i="2" s="1"/>
  <c r="F44" i="2"/>
  <c r="F54" i="2" s="1"/>
  <c r="BE32" i="2"/>
  <c r="BE31" i="2"/>
  <c r="BD31" i="2"/>
  <c r="BD30" i="2"/>
  <c r="BC32" i="2"/>
  <c r="BC31" i="2"/>
  <c r="BB32" i="2"/>
  <c r="BB31" i="2"/>
  <c r="BB30" i="2"/>
  <c r="F107" i="2"/>
  <c r="BE30" i="2" s="1"/>
  <c r="F91" i="2"/>
  <c r="T91" i="2" s="1"/>
  <c r="F81" i="2"/>
  <c r="T81" i="2" s="1"/>
  <c r="F70" i="2"/>
  <c r="T70" i="2" s="1"/>
  <c r="F166" i="2"/>
  <c r="F86" i="2"/>
  <c r="BC30" i="2" s="1"/>
  <c r="T52" i="2" l="1"/>
  <c r="BF6" i="2"/>
  <c r="BF10" i="2"/>
  <c r="T173" i="2"/>
  <c r="T126" i="2"/>
  <c r="AZ7" i="2"/>
  <c r="BD5" i="2"/>
  <c r="BE5" i="2" s="1"/>
  <c r="T62" i="2"/>
  <c r="T32" i="2"/>
  <c r="AX6" i="2" s="1"/>
  <c r="T12" i="2"/>
  <c r="T94" i="2"/>
  <c r="T103" i="2"/>
  <c r="T46" i="2"/>
  <c r="AY6" i="2"/>
  <c r="T56" i="2"/>
  <c r="AZ6" i="2"/>
  <c r="T175" i="2"/>
  <c r="T21" i="2"/>
  <c r="AW6" i="2"/>
  <c r="T138" i="2"/>
  <c r="BI5" i="2"/>
  <c r="BI6" i="2" s="1"/>
  <c r="BI10" i="2" s="1"/>
  <c r="T82" i="2"/>
  <c r="BB5" i="2"/>
  <c r="BC5" i="2" s="1"/>
  <c r="Z63" i="2"/>
  <c r="Z10" i="2"/>
  <c r="Z15" i="2"/>
  <c r="T163" i="2"/>
  <c r="T159" i="2"/>
  <c r="T73" i="2"/>
  <c r="T162" i="2"/>
  <c r="F92" i="2"/>
  <c r="F94" i="2" s="1"/>
  <c r="F99" i="2" s="1"/>
  <c r="F172" i="2"/>
  <c r="T105" i="2" l="1"/>
  <c r="AY10" i="2"/>
  <c r="T176" i="2"/>
  <c r="T183" i="2" s="1"/>
  <c r="T130" i="2"/>
  <c r="T36" i="2"/>
  <c r="AW10" i="2"/>
  <c r="AZ10" i="2"/>
  <c r="BG6" i="2"/>
  <c r="BA6" i="2"/>
  <c r="T99" i="2"/>
  <c r="T84" i="2"/>
  <c r="T66" i="2"/>
  <c r="BD6" i="2"/>
  <c r="T78" i="2"/>
  <c r="BB6" i="2"/>
  <c r="T164" i="2"/>
  <c r="T165" i="2"/>
  <c r="BD28" i="2"/>
  <c r="BE28" i="2" s="1"/>
  <c r="F103" i="2"/>
  <c r="F105" i="2" s="1"/>
  <c r="F109" i="2" s="1"/>
  <c r="L60" i="2"/>
  <c r="F180" i="2"/>
  <c r="F182" i="2" s="1"/>
  <c r="AX30" i="2"/>
  <c r="BC10" i="2" l="1"/>
  <c r="BD10" i="2"/>
  <c r="BA10" i="2"/>
  <c r="T10" i="2"/>
  <c r="BB10" i="2"/>
  <c r="BC6" i="2"/>
  <c r="AX10" i="2"/>
  <c r="BG10" i="2"/>
  <c r="T185" i="2"/>
  <c r="T88" i="2"/>
  <c r="BE6" i="2"/>
  <c r="T109" i="2"/>
  <c r="BD29" i="2"/>
  <c r="BD33" i="2"/>
  <c r="BE33" i="2"/>
  <c r="BE29" i="2"/>
  <c r="BE10" i="2" l="1"/>
  <c r="T186" i="2"/>
  <c r="L11" i="2"/>
  <c r="BI31" i="2" l="1"/>
  <c r="BH31" i="2"/>
  <c r="BH30" i="2"/>
  <c r="BG32" i="2"/>
  <c r="BG31" i="2"/>
  <c r="BG30" i="2"/>
  <c r="BF32" i="2"/>
  <c r="BF31" i="2"/>
  <c r="BF30" i="2"/>
  <c r="BA32" i="2"/>
  <c r="BA31" i="2"/>
  <c r="AZ32" i="2"/>
  <c r="AY32" i="2"/>
  <c r="AY31" i="2"/>
  <c r="AY30" i="2"/>
  <c r="AX32" i="2"/>
  <c r="AX31" i="2"/>
  <c r="AW32" i="2"/>
  <c r="AW31" i="2"/>
  <c r="AW30" i="2"/>
  <c r="F26" i="2"/>
  <c r="F25" i="2" s="1"/>
  <c r="F23" i="2"/>
  <c r="F22" i="2"/>
  <c r="F174" i="2" s="1"/>
  <c r="F115" i="2"/>
  <c r="F119" i="2" s="1"/>
  <c r="F143" i="2"/>
  <c r="F53" i="2"/>
  <c r="AZ31" i="2" s="1"/>
  <c r="F154" i="2"/>
  <c r="AZ30" i="2" s="1"/>
  <c r="F139" i="2"/>
  <c r="BI30" i="2" s="1"/>
  <c r="F6" i="2"/>
  <c r="L62" i="2"/>
  <c r="L56" i="2"/>
  <c r="L53" i="2"/>
  <c r="L51" i="2"/>
  <c r="L52" i="2" s="1"/>
  <c r="L49" i="2"/>
  <c r="L48" i="2"/>
  <c r="L39" i="2"/>
  <c r="L35" i="2"/>
  <c r="L30" i="2"/>
  <c r="L23" i="2"/>
  <c r="L61" i="2"/>
  <c r="L26" i="2"/>
  <c r="F161" i="2" l="1"/>
  <c r="F42" i="2"/>
  <c r="F46" i="2" s="1"/>
  <c r="L57" i="2"/>
  <c r="L65" i="2" s="1"/>
  <c r="L66" i="2" s="1"/>
  <c r="L67" i="2" s="1"/>
  <c r="BF29" i="2"/>
  <c r="BF33" i="2"/>
  <c r="BG33" i="2" s="1"/>
  <c r="BF28" i="2"/>
  <c r="BG28" i="2" s="1"/>
  <c r="F126" i="2"/>
  <c r="F130" i="2" s="1"/>
  <c r="F50" i="2"/>
  <c r="F52" i="2" s="1"/>
  <c r="F56" i="2" s="1"/>
  <c r="F171" i="2"/>
  <c r="F173" i="2" s="1"/>
  <c r="F60" i="2"/>
  <c r="F62" i="2" s="1"/>
  <c r="F66" i="2" s="1"/>
  <c r="L37" i="2"/>
  <c r="L38" i="2" s="1"/>
  <c r="L10" i="2"/>
  <c r="L63" i="2"/>
  <c r="L25" i="2"/>
  <c r="L24" i="2"/>
  <c r="F73" i="2" l="1"/>
  <c r="F78" i="2" s="1"/>
  <c r="BB28" i="2"/>
  <c r="BC28" i="2" s="1"/>
  <c r="F163" i="2"/>
  <c r="BG29" i="2"/>
  <c r="F160" i="2"/>
  <c r="F162" i="2" s="1"/>
  <c r="F159" i="2"/>
  <c r="F82" i="2"/>
  <c r="F84" i="2" s="1"/>
  <c r="F88" i="2" s="1"/>
  <c r="F17" i="2"/>
  <c r="F175" i="2"/>
  <c r="F176" i="2" s="1"/>
  <c r="F183" i="2" s="1"/>
  <c r="BA33" i="2"/>
  <c r="AZ29" i="2"/>
  <c r="AZ33" i="2"/>
  <c r="AY29" i="2"/>
  <c r="AY33" i="2"/>
  <c r="AW28" i="2"/>
  <c r="AX28" i="2" s="1"/>
  <c r="AY28" i="2" s="1"/>
  <c r="AZ28" i="2" s="1"/>
  <c r="BA28" i="2" s="1"/>
  <c r="F138" i="2"/>
  <c r="BI28" i="2" s="1"/>
  <c r="BI29" i="2" s="1"/>
  <c r="BI33" i="2" s="1"/>
  <c r="BH28" i="2"/>
  <c r="F32" i="2"/>
  <c r="F36" i="2" s="1"/>
  <c r="L42" i="2"/>
  <c r="L43" i="2" s="1"/>
  <c r="D5" i="16" l="1"/>
  <c r="D6" i="16" s="1"/>
  <c r="D7" i="16" s="1"/>
  <c r="BH29" i="2"/>
  <c r="AW29" i="2"/>
  <c r="F21" i="2"/>
  <c r="AW33" i="2" s="1"/>
  <c r="BC33" i="2"/>
  <c r="BC29" i="2"/>
  <c r="BB33" i="2"/>
  <c r="BB29" i="2"/>
  <c r="F165" i="2"/>
  <c r="F10" i="2" s="1"/>
  <c r="F164" i="2"/>
  <c r="F185" i="2"/>
  <c r="F186" i="2" s="1"/>
  <c r="AX29" i="2"/>
  <c r="AX33" i="2"/>
  <c r="BA29" i="2"/>
  <c r="D3" i="16" l="1"/>
  <c r="D18" i="16" s="1"/>
  <c r="D19" i="16" s="1"/>
  <c r="BH33" i="2"/>
</calcChain>
</file>

<file path=xl/sharedStrings.xml><?xml version="1.0" encoding="utf-8"?>
<sst xmlns="http://schemas.openxmlformats.org/spreadsheetml/2006/main" count="2134" uniqueCount="804">
  <si>
    <t>Wasser</t>
  </si>
  <si>
    <t>Wert</t>
  </si>
  <si>
    <t>erforderliche Wandstärke s_erf</t>
  </si>
  <si>
    <t>Kommentar</t>
  </si>
  <si>
    <t>Annahme</t>
  </si>
  <si>
    <t>ausgerechnet | MIT Zuschläge</t>
  </si>
  <si>
    <t>ausgerechnet | dünnwandig | OHNE Zuschläge</t>
  </si>
  <si>
    <t>Überprüfung dünnwandig: d_a/d_i</t>
  </si>
  <si>
    <t>ausgerechnet bei Apparatebau</t>
  </si>
  <si>
    <t>Wanddicke von Rohren/zylindrischen Körpern</t>
  </si>
  <si>
    <t>Auslegung auf dynamische Belastung</t>
  </si>
  <si>
    <t>Ermittlung des Prüfdrucks</t>
  </si>
  <si>
    <t>austenitischer Stahl</t>
  </si>
  <si>
    <t>Ausprobieren</t>
  </si>
  <si>
    <t>austenitischer Stahl 20°C</t>
  </si>
  <si>
    <t>austenitischer Stahl 100°C</t>
  </si>
  <si>
    <t>Walz und Schmiedestahl</t>
  </si>
  <si>
    <t>Überprüfung DÜNNWANDIG passt (&lt;=1,2)</t>
  </si>
  <si>
    <t>austenitischer Stahl | geschweißt</t>
  </si>
  <si>
    <t>geschweißt|erforderliche Wandstärke MIT Zuschläge</t>
  </si>
  <si>
    <t>Recherche bei Firma | Annahme</t>
  </si>
  <si>
    <t>Annahme quasistatische Festigkeit | K = R_p0,2 = const.</t>
  </si>
  <si>
    <t>Walz und Schmiedestahl | Sicherheit gegen Fließen</t>
  </si>
  <si>
    <t>Annahme Zeitfestigkeit | K nimmt mit Zeit ab</t>
  </si>
  <si>
    <t xml:space="preserve">geschweißte Verbindungen </t>
  </si>
  <si>
    <t>aus Tab. AD-S1</t>
  </si>
  <si>
    <t>maximaler Druck im Lastzyklus p1</t>
  </si>
  <si>
    <t>entspricht Betriebsdruck</t>
  </si>
  <si>
    <t>Temp. Von PCM im Flüssigbecken</t>
  </si>
  <si>
    <t>???</t>
  </si>
  <si>
    <t xml:space="preserve">Verhältnis von T1 und T2 </t>
  </si>
  <si>
    <t>T*&gt;100°C | austenitischer Stahl</t>
  </si>
  <si>
    <t>statisch</t>
  </si>
  <si>
    <t>Kesselformel | OHNE Zuschläge | Betriebszustand</t>
  </si>
  <si>
    <t>Festigkeitsbedingung N_zul &gt;= N | Bedingung erfüllt</t>
  </si>
  <si>
    <t>Annahme Dauerfestigkeit | K nach Abnahme const.</t>
  </si>
  <si>
    <t>Tab. AD-S1 | K1 | Bed.: 2δ*a &lt;= 2δaD | Bed. Nicht erfüllt</t>
  </si>
  <si>
    <t>h_Speisewasser</t>
  </si>
  <si>
    <t>p_Speisewasser</t>
  </si>
  <si>
    <t>auf Basis von m_Speisewasser</t>
  </si>
  <si>
    <t>leicht über Schmelzpunkt (222°C)</t>
  </si>
  <si>
    <t>leicht unter Schmelzpunkt (222°C)</t>
  </si>
  <si>
    <t>isotherm</t>
  </si>
  <si>
    <t>Einheit</t>
  </si>
  <si>
    <t>mm</t>
  </si>
  <si>
    <t>kg/s</t>
  </si>
  <si>
    <t>KJ/kg*K</t>
  </si>
  <si>
    <t>kJ/kg</t>
  </si>
  <si>
    <t>bar</t>
  </si>
  <si>
    <t>°C</t>
  </si>
  <si>
    <t xml:space="preserve">Innendurchmesser d_i </t>
  </si>
  <si>
    <t xml:space="preserve">cp_PCM_l </t>
  </si>
  <si>
    <t>cp_PCM_s</t>
  </si>
  <si>
    <t xml:space="preserve">p_Dampf </t>
  </si>
  <si>
    <t>T_Speisewasser</t>
  </si>
  <si>
    <t>T_PCM_l</t>
  </si>
  <si>
    <t xml:space="preserve">T_PCM_s </t>
  </si>
  <si>
    <t>N/mm²</t>
  </si>
  <si>
    <t>-</t>
  </si>
  <si>
    <t>Lastwechsel/Jahr</t>
  </si>
  <si>
    <t xml:space="preserve">Betriebdruck p </t>
  </si>
  <si>
    <t xml:space="preserve">Festigkeitskennwert K </t>
  </si>
  <si>
    <t>Sicherheitsbeiwert S</t>
  </si>
  <si>
    <t>Sicherheitsbeiwert S'</t>
  </si>
  <si>
    <t>Verschwächungsbeiwert v_N</t>
  </si>
  <si>
    <t xml:space="preserve">Wanddickenunterschreitung c1 </t>
  </si>
  <si>
    <t xml:space="preserve">erforderliche Wandstärke s_e_erf </t>
  </si>
  <si>
    <t xml:space="preserve">Vorfaktor A1 </t>
  </si>
  <si>
    <t xml:space="preserve">Vorfaktor A2 </t>
  </si>
  <si>
    <t xml:space="preserve">max. Druck für Betriebzustand p_max </t>
  </si>
  <si>
    <t xml:space="preserve">Anzahl Lastwechsel N_1 </t>
  </si>
  <si>
    <t xml:space="preserve">Anzahl Lastwechsel N_2 </t>
  </si>
  <si>
    <t xml:space="preserve">Anzahl Lastwechsel N_3 </t>
  </si>
  <si>
    <t xml:space="preserve">Exponent m </t>
  </si>
  <si>
    <t>Konstruktionsklasse B</t>
  </si>
  <si>
    <t xml:space="preserve">Spannungsfaktor η </t>
  </si>
  <si>
    <t>Korrekturfaktor großer Wandstärken F_D</t>
  </si>
  <si>
    <t>höchste Temperatur im Lastzyklus T1</t>
  </si>
  <si>
    <t xml:space="preserve">niedrigste Temperatur im Lastzyklus T2 </t>
  </si>
  <si>
    <t xml:space="preserve">Temperaturverhältnis im Lastzyklus T* </t>
  </si>
  <si>
    <t xml:space="preserve">Temperatureinflussfaktor f_T+ </t>
  </si>
  <si>
    <t xml:space="preserve">minimaler Druck im Lastzyklus p2 </t>
  </si>
  <si>
    <t xml:space="preserve">maximaler erlaubter Druck bei RT p_r </t>
  </si>
  <si>
    <t xml:space="preserve">fiktive pseudoelastische Spannungsbreite 2δ*a </t>
  </si>
  <si>
    <t xml:space="preserve">zulässige Lastwechsel/Jahr N_zul </t>
  </si>
  <si>
    <t xml:space="preserve">Dauerfestigkeitskennwert 2δaD </t>
  </si>
  <si>
    <t>T_Umg2</t>
  </si>
  <si>
    <t>T_Umg1</t>
  </si>
  <si>
    <t>Umgebungstemperatur Luft</t>
  </si>
  <si>
    <t>Wasser Dampfdruck (internetchemie.info)</t>
  </si>
  <si>
    <t>Fall A: Boden ist einteilig s_Krempe = s_Kalotte</t>
  </si>
  <si>
    <t>Bordhöhe h</t>
  </si>
  <si>
    <t>Krümmungsradius der Krempe r_K</t>
  </si>
  <si>
    <t>Krümmungsradius der Kalotte R</t>
  </si>
  <si>
    <t>entspricht d_a</t>
  </si>
  <si>
    <t>entspricht 0,1 * d_a</t>
  </si>
  <si>
    <t>&gt;= 3,5 * s_e_erf(MIT Zuschlägen)</t>
  </si>
  <si>
    <t>FALL B: Auslegeung einer Kugelschale mit Ausschnitt</t>
  </si>
  <si>
    <t>Außendurchmesser D_a_Kalotte</t>
  </si>
  <si>
    <t>erforderliche Krempenwandstärke s_e_erf_Kr</t>
  </si>
  <si>
    <t>lieferbar mögliche Wandstärke s_e</t>
  </si>
  <si>
    <t>erforderliche Krempenwandstärke s_erf_Kr</t>
  </si>
  <si>
    <t>Berechnungsbeiwert β</t>
  </si>
  <si>
    <t xml:space="preserve">Zuschlag gg. Korrosion/Abnutzung c2 </t>
  </si>
  <si>
    <t>berechnete Wandstärke | OHNE Zuschläge</t>
  </si>
  <si>
    <t>geschätzte Krempenwandstärke s_e_erf_Kr_geschätzt</t>
  </si>
  <si>
    <t>geschätzte Krempenwandstärke s_erf_Kr_geschätzt</t>
  </si>
  <si>
    <t>erforderliche Kalottenwandstärke s_e_erf_Ka</t>
  </si>
  <si>
    <t>erforderliche Kralottenwandstärke s_erf_Ka</t>
  </si>
  <si>
    <t>Verschwächungsbeiwert v_A</t>
  </si>
  <si>
    <t>Durchmesserverhältnis d_i1/d_i0</t>
  </si>
  <si>
    <t>Wanddickenverhältnis s1/s0</t>
  </si>
  <si>
    <t>Indize 0 = Grundkörper |Indize 1 = Stutzen</t>
  </si>
  <si>
    <t>Außendurchmesser Stutzen d_a1</t>
  </si>
  <si>
    <t>Innendurchmesser Stutzen d_i1</t>
  </si>
  <si>
    <t>Wandstärke s_1</t>
  </si>
  <si>
    <t>erforderliche Bodenstärke s_Boden_erf</t>
  </si>
  <si>
    <t>max(erfdorderliche Krempen- und Kalottenwandstärke)</t>
  </si>
  <si>
    <t>benötigt für AD-B9</t>
  </si>
  <si>
    <t>Ausschnitt innerhalb 0,6 * d_a | benötigt für AD-B9</t>
  </si>
  <si>
    <t xml:space="preserve">max. Druck für Prüfzustand p_max </t>
  </si>
  <si>
    <t>ṁ_PCM_l</t>
  </si>
  <si>
    <t>ṁ_PCM_s</t>
  </si>
  <si>
    <t>ṁ_Speisewasser</t>
  </si>
  <si>
    <t>Dampferzeuger</t>
  </si>
  <si>
    <t>T_PCM_Schmelz</t>
  </si>
  <si>
    <t>Schmelztemperatur bei 1 bar</t>
  </si>
  <si>
    <t>bei 1 bar</t>
  </si>
  <si>
    <t>bei 7,917 bar</t>
  </si>
  <si>
    <t>kg/m³</t>
  </si>
  <si>
    <t>l</t>
  </si>
  <si>
    <t>s</t>
  </si>
  <si>
    <t>d_a</t>
  </si>
  <si>
    <t>Δh_vap</t>
  </si>
  <si>
    <t>Δh_err</t>
  </si>
  <si>
    <t xml:space="preserve">Innendurchmesser </t>
  </si>
  <si>
    <t xml:space="preserve">d_i </t>
  </si>
  <si>
    <t xml:space="preserve">Außendurchmesser </t>
  </si>
  <si>
    <t>Länge</t>
  </si>
  <si>
    <t>Formelzeichen</t>
  </si>
  <si>
    <t xml:space="preserve">lieferbare Wandstärke </t>
  </si>
  <si>
    <t xml:space="preserve">Verdampfungsenthalpie </t>
  </si>
  <si>
    <t xml:space="preserve">Massenstrom Speisewasser </t>
  </si>
  <si>
    <t xml:space="preserve">Dichte Speisewasser </t>
  </si>
  <si>
    <t>ϱ_Speisewasser</t>
  </si>
  <si>
    <t xml:space="preserve">Volumenstrom Speisewasser </t>
  </si>
  <si>
    <t>V̇_Speisewasser</t>
  </si>
  <si>
    <t xml:space="preserve">Massenstrom PCM flüssig </t>
  </si>
  <si>
    <t xml:space="preserve">Massenstrom PCM fest </t>
  </si>
  <si>
    <t xml:space="preserve">Spez. Wärmekapazität PCM flüssig </t>
  </si>
  <si>
    <t xml:space="preserve">Spez. Wärmekapazität PCM fest </t>
  </si>
  <si>
    <t xml:space="preserve">spez. Enthalpie Speisewasser </t>
  </si>
  <si>
    <t xml:space="preserve">Erstarrungsenthalpie </t>
  </si>
  <si>
    <t xml:space="preserve">Druck Speisewasser </t>
  </si>
  <si>
    <t xml:space="preserve">Druck Dampf </t>
  </si>
  <si>
    <t xml:space="preserve">Temperatur Speisewasser </t>
  </si>
  <si>
    <t xml:space="preserve">Temperatur PCM flüssig </t>
  </si>
  <si>
    <t xml:space="preserve">Temperatur PCM fest </t>
  </si>
  <si>
    <t xml:space="preserve">Schmelztemperatur PCM </t>
  </si>
  <si>
    <t xml:space="preserve">Umgebungstemperatur </t>
  </si>
  <si>
    <t>Temperatur im Metallbehälter | damit Adiabat</t>
  </si>
  <si>
    <t>m³/s</t>
  </si>
  <si>
    <t xml:space="preserve">Dichte Sattdampf </t>
  </si>
  <si>
    <t xml:space="preserve">Massenstrom Sattdampf </t>
  </si>
  <si>
    <t xml:space="preserve">Volumenstrom Sattdampf </t>
  </si>
  <si>
    <t xml:space="preserve">ṁ_Sattdampf </t>
  </si>
  <si>
    <t xml:space="preserve">ϱ_Sattdampf </t>
  </si>
  <si>
    <t xml:space="preserve">V̇_Sattdampf </t>
  </si>
  <si>
    <t xml:space="preserve">spez. Enthalpie Sattdampf </t>
  </si>
  <si>
    <t xml:space="preserve">h_Sattdampf </t>
  </si>
  <si>
    <t>Temperatur Sattdampf</t>
  </si>
  <si>
    <t>Strömungsgeschwindigkeit Speisewasser</t>
  </si>
  <si>
    <t>Strömungsgeschwindigkeit Sattdampf</t>
  </si>
  <si>
    <t>w_Speisewasser</t>
  </si>
  <si>
    <t>w_Sattdampf</t>
  </si>
  <si>
    <t>m/s</t>
  </si>
  <si>
    <t>m²</t>
  </si>
  <si>
    <t>m</t>
  </si>
  <si>
    <t>A_Rotating Drum</t>
  </si>
  <si>
    <t>Fläche Rotating Drum</t>
  </si>
  <si>
    <t>Leistung Rotating Drum</t>
  </si>
  <si>
    <t>ZIEL Vorstellung (Annahme)</t>
  </si>
  <si>
    <t>kW</t>
  </si>
  <si>
    <t>Auf Basis von Entladeleistung 100 kW</t>
  </si>
  <si>
    <t>Rotating Drum</t>
  </si>
  <si>
    <t>von Paper</t>
  </si>
  <si>
    <t>Druck Dampf (230°C)</t>
  </si>
  <si>
    <t>p_Dampf(230°C)</t>
  </si>
  <si>
    <t>max. zul. Druck der RD | wurde dafür ausgelegt</t>
  </si>
  <si>
    <t>aus Tab. AD-S1 | Konstruktionsklasse K1 | einseitig geschweißt mit Gegennaht</t>
  </si>
  <si>
    <t>iteratives Vorgehen | geschätzt | MIT Zuschläge</t>
  </si>
  <si>
    <t>OHNE Zuschlägen | c1 und c2 aus Berechnung von Zylinder</t>
  </si>
  <si>
    <t>Verhältnis s0/D_a</t>
  </si>
  <si>
    <t>Verhältnis d_i1/D_a</t>
  </si>
  <si>
    <t>für β aus AD-B9</t>
  </si>
  <si>
    <t>Verhätlnis s0/d_i0</t>
  </si>
  <si>
    <t>abhängig nach Diagramm</t>
  </si>
  <si>
    <t>Temperaturdifferenz PCM und HTF</t>
  </si>
  <si>
    <t>Füllgrad der Rotating Drum</t>
  </si>
  <si>
    <t>Immersion im PCM-Becken</t>
  </si>
  <si>
    <t>komplett befüllt</t>
  </si>
  <si>
    <t>Eintauchwinkel Rotating Drum</t>
  </si>
  <si>
    <t>Umdrehungen Rotating Drum</t>
  </si>
  <si>
    <t>U_RD</t>
  </si>
  <si>
    <t>Winkel des Schabers</t>
  </si>
  <si>
    <t>ψ</t>
  </si>
  <si>
    <t>ϕ</t>
  </si>
  <si>
    <t>ΔT_PCM-HTF</t>
  </si>
  <si>
    <t>°</t>
  </si>
  <si>
    <t>1/min</t>
  </si>
  <si>
    <t>K</t>
  </si>
  <si>
    <t>Simulationsdaten</t>
  </si>
  <si>
    <t>Worst Case Szenario T_PCM = T_Dampf</t>
  </si>
  <si>
    <t>Vorfaktor A_max</t>
  </si>
  <si>
    <t>max. Vorfaktor von A1 und A2</t>
  </si>
  <si>
    <t>berechnet mit K(20°C) und K(Betriebstemp.)</t>
  </si>
  <si>
    <t>s_e &lt; 25 mm</t>
  </si>
  <si>
    <t>Vergleichgsspannung δ_V</t>
  </si>
  <si>
    <t>Zulässige Spannung δ_zul</t>
  </si>
  <si>
    <t>Festigkeitsbedigung: δ_V &lt;= δ_zul</t>
  </si>
  <si>
    <t>ber. Wandstärke | MIT Zuschläge | Bed.: s_erf_Kr &lt;= s_erf_Kr_geschätzt OKAY</t>
  </si>
  <si>
    <t>s/d_a &gt;= 0,02 | s(OHNE Zuschläge vom gesch. Krempenwert)</t>
  </si>
  <si>
    <t>ber. Wandstärke | MIT Zuschläge</t>
  </si>
  <si>
    <t>Massenstrom Kühlwasser ein</t>
  </si>
  <si>
    <t>Massenstrom Kühlwasser aus</t>
  </si>
  <si>
    <t>Temperatur Kühlwasser ein</t>
  </si>
  <si>
    <t>Temperatur Kühlwasser aus</t>
  </si>
  <si>
    <t xml:space="preserve">spez. Enthalpie Kühlwasser ein </t>
  </si>
  <si>
    <t xml:space="preserve">spez. Enthalpie Kühlwasser aus </t>
  </si>
  <si>
    <t xml:space="preserve">Druck Kühlwasser ein </t>
  </si>
  <si>
    <t xml:space="preserve">Druck Kühlwasser aus </t>
  </si>
  <si>
    <t>T_Kühlwasser_aus</t>
  </si>
  <si>
    <t>h_Kühlwasser_aus</t>
  </si>
  <si>
    <t>ṁ_Kühlwasser_ein</t>
  </si>
  <si>
    <t>ṁ_Kühlwasser_aus</t>
  </si>
  <si>
    <t>T_Kühlwasser_ein</t>
  </si>
  <si>
    <t>h_Kühlwasser_ein</t>
  </si>
  <si>
    <t>p_Kühlwasser_ein</t>
  </si>
  <si>
    <t>p_Kühlwasser_aus</t>
  </si>
  <si>
    <t xml:space="preserve">Massenstrom überhitzter Dampf </t>
  </si>
  <si>
    <t xml:space="preserve">Temperatur überhitzter Dampf </t>
  </si>
  <si>
    <t xml:space="preserve">spez. Enthalpie überhitzter Dampf  </t>
  </si>
  <si>
    <t>ṁ_überhitzter_Dampf</t>
  </si>
  <si>
    <t>T_überhitzter_Dampf</t>
  </si>
  <si>
    <t>h_überhitzter_Dampf</t>
  </si>
  <si>
    <t>p_überhitzter_Dampf</t>
  </si>
  <si>
    <t>Massenstrom Wasser</t>
  </si>
  <si>
    <t>Temperatur Wasser</t>
  </si>
  <si>
    <t>spez. Enthalpie Wasser</t>
  </si>
  <si>
    <t>Druck Wasser</t>
  </si>
  <si>
    <t xml:space="preserve">Druck überhitzter Dampf  </t>
  </si>
  <si>
    <t>Q̇_Kondensator</t>
  </si>
  <si>
    <t>Gewicht ibc Behälter</t>
  </si>
  <si>
    <t>m_ibc</t>
  </si>
  <si>
    <t>kg</t>
  </si>
  <si>
    <t>Inhalt 1000l Wasser</t>
  </si>
  <si>
    <t>Druck ibc Behälter</t>
  </si>
  <si>
    <t>p_ipc</t>
  </si>
  <si>
    <t>drucklos = p_umg = 1 bar</t>
  </si>
  <si>
    <t>Temperatur ibc Behälter</t>
  </si>
  <si>
    <t>T_ibc</t>
  </si>
  <si>
    <t>maximale Wärmeabgabe an Kühlwasser</t>
  </si>
  <si>
    <t>Q̇_Kühlwasser</t>
  </si>
  <si>
    <t>maximales Limit von Jonas</t>
  </si>
  <si>
    <t>Spez. Wärmekapazität Wasser</t>
  </si>
  <si>
    <t>kJ/kg*K</t>
  </si>
  <si>
    <t>Dichte Wasser</t>
  </si>
  <si>
    <t>dynamische Viskosität Wasser</t>
  </si>
  <si>
    <t>kinematische Viskosität Wasser</t>
  </si>
  <si>
    <t>Temperaturleitfähigkeit Wasser</t>
  </si>
  <si>
    <t>Wärmeleitfähigkeit Wasser</t>
  </si>
  <si>
    <t>Prandtl Zahl</t>
  </si>
  <si>
    <t>Reynolds Zahl</t>
  </si>
  <si>
    <t>Reynolds Zahl kritisch</t>
  </si>
  <si>
    <t>benetzte Breite</t>
  </si>
  <si>
    <t>Nusselt Zahl</t>
  </si>
  <si>
    <t>bei 100°C Sättigungstemperatur</t>
  </si>
  <si>
    <t>Pa*s</t>
  </si>
  <si>
    <t>m²/s</t>
  </si>
  <si>
    <t>J/kg*K</t>
  </si>
  <si>
    <t>Re &gt; Re_krit --&gt; turbulent</t>
  </si>
  <si>
    <t>vom Kondensat</t>
  </si>
  <si>
    <t>W/m*K</t>
  </si>
  <si>
    <t>Wärmeleitfähigkeit Rohrwändel</t>
  </si>
  <si>
    <t>Außendurchmesser Rohrwändel</t>
  </si>
  <si>
    <t>Innendurchmesser Rohrwändel</t>
  </si>
  <si>
    <t>Wandstärke Rohrwändel</t>
  </si>
  <si>
    <t>d_a_RW</t>
  </si>
  <si>
    <t>d_i_RW</t>
  </si>
  <si>
    <t>s_RW</t>
  </si>
  <si>
    <t>Wandtemperatur Rohrwändel</t>
  </si>
  <si>
    <t>Siedtemperatur Wasser</t>
  </si>
  <si>
    <t>kW/m²</t>
  </si>
  <si>
    <t>Iteration</t>
  </si>
  <si>
    <t>Wärmeaustauschfläche Kondensator</t>
  </si>
  <si>
    <t>A_Kondensator</t>
  </si>
  <si>
    <t>t_Siede</t>
  </si>
  <si>
    <t>T_W_RW</t>
  </si>
  <si>
    <t>λ_RW</t>
  </si>
  <si>
    <t>ϱ_Wasser</t>
  </si>
  <si>
    <t>η_Wasser</t>
  </si>
  <si>
    <t>ν_Wasser</t>
  </si>
  <si>
    <t>cp_Wasser</t>
  </si>
  <si>
    <t>a_Wasser</t>
  </si>
  <si>
    <t>λ_Wasser</t>
  </si>
  <si>
    <t>Pr</t>
  </si>
  <si>
    <t>Re</t>
  </si>
  <si>
    <t>Nu</t>
  </si>
  <si>
    <t>b</t>
  </si>
  <si>
    <t>Re_krit</t>
  </si>
  <si>
    <t>Länge Rohrwändel</t>
  </si>
  <si>
    <t>l_RW</t>
  </si>
  <si>
    <t>mit d_i_RW</t>
  </si>
  <si>
    <t>q_λ</t>
  </si>
  <si>
    <t>q_kon</t>
  </si>
  <si>
    <t>Wärmstromdichte Kondensator1</t>
  </si>
  <si>
    <t>Wärmstromdichte Kondensator2</t>
  </si>
  <si>
    <t>Pumpe</t>
  </si>
  <si>
    <t>P_Pumpe</t>
  </si>
  <si>
    <t>Massenstrom Pumpenwasser</t>
  </si>
  <si>
    <t>Temperatur Pumpenwasser</t>
  </si>
  <si>
    <t>spez. Enthalpie Pumpenwasser</t>
  </si>
  <si>
    <t>Druck Pumpenwasser</t>
  </si>
  <si>
    <t>Leistung Pumpe</t>
  </si>
  <si>
    <t>ṁ_Pumpenwasser</t>
  </si>
  <si>
    <t>T_Pumpenwasser</t>
  </si>
  <si>
    <t>h_Pumpenwasser</t>
  </si>
  <si>
    <t>p_Pumpenwasser</t>
  </si>
  <si>
    <t>Vorwärmer</t>
  </si>
  <si>
    <t>Bemerkung</t>
  </si>
  <si>
    <t>Dichte überhitzter Dampf</t>
  </si>
  <si>
    <t>ϱ_überhitzter_Dampf</t>
  </si>
  <si>
    <t>V̇_überhitzter_Dampf</t>
  </si>
  <si>
    <t>ṁ_Wasser</t>
  </si>
  <si>
    <t>V̇_Wasser</t>
  </si>
  <si>
    <t>Nummerierung</t>
  </si>
  <si>
    <t>Produkt</t>
  </si>
  <si>
    <t>Pumpenwasser</t>
  </si>
  <si>
    <t>Speisewasser</t>
  </si>
  <si>
    <t>Sattdampf</t>
  </si>
  <si>
    <t>überhitzter Dampf</t>
  </si>
  <si>
    <t>Kühlwasser ein</t>
  </si>
  <si>
    <t>Kühlwasser aus</t>
  </si>
  <si>
    <t>PCM ein</t>
  </si>
  <si>
    <t>PCM aus</t>
  </si>
  <si>
    <t>Durchflussrate</t>
  </si>
  <si>
    <t>kg/h</t>
  </si>
  <si>
    <t>m³/h</t>
  </si>
  <si>
    <t>Druck</t>
  </si>
  <si>
    <t>Temperatur</t>
  </si>
  <si>
    <t>Dichte</t>
  </si>
  <si>
    <t xml:space="preserve">Volumenstrom Wasser </t>
  </si>
  <si>
    <t>Dichte Pumpenwasser</t>
  </si>
  <si>
    <t xml:space="preserve">Volumenstrom Pumpenwasser </t>
  </si>
  <si>
    <t xml:space="preserve">Volumenstrom überhitzter Dampf </t>
  </si>
  <si>
    <t>Dichte Kühlwasser aus</t>
  </si>
  <si>
    <t>Dichte Kühlwasser ein</t>
  </si>
  <si>
    <t>ϱ_Kühlwasser_aus</t>
  </si>
  <si>
    <t>ϱ_Kühlwasser_ein</t>
  </si>
  <si>
    <t xml:space="preserve">Volumenstrom Kühlwasser ein </t>
  </si>
  <si>
    <t xml:space="preserve">Volumenstrom Kühlwasser aus </t>
  </si>
  <si>
    <t>V̇_Kühlwasser_ein</t>
  </si>
  <si>
    <t>V̇_Kühlwasser_aus</t>
  </si>
  <si>
    <t xml:space="preserve">Druck PCM flüssig </t>
  </si>
  <si>
    <t xml:space="preserve">Druck PCM fest </t>
  </si>
  <si>
    <t>p_PCM_l</t>
  </si>
  <si>
    <t>p_PCM_s</t>
  </si>
  <si>
    <t>isobar</t>
  </si>
  <si>
    <t>2,7 bar und 130 °C</t>
  </si>
  <si>
    <t>7,9 bar und 170 °C</t>
  </si>
  <si>
    <t>solid</t>
  </si>
  <si>
    <t>Außendurchmesser Wasserrohr</t>
  </si>
  <si>
    <t>Innendurchmesser Wasserrohr</t>
  </si>
  <si>
    <t>Außendurchmesser Sattdampfrohr</t>
  </si>
  <si>
    <t>Innendurchmesser Sattdampfrohr</t>
  </si>
  <si>
    <t>Querschnittsfläche Wasserrohr</t>
  </si>
  <si>
    <t>Querschnittsfläche Sattdampfrohr</t>
  </si>
  <si>
    <t>Strömungsgeschwindigkeit Wasser</t>
  </si>
  <si>
    <t>Strömungsgeschwindigkeit Pumpenwasser</t>
  </si>
  <si>
    <t>Außendurchmesser Kühlwasserrohr</t>
  </si>
  <si>
    <t>Innendurchmesser Kühlwasserrohr</t>
  </si>
  <si>
    <t>Querschnittsfläche Kühlwasserrohr</t>
  </si>
  <si>
    <t>austenitischer Stahl 300°C 1.4571</t>
  </si>
  <si>
    <t>austenitischer Stahl 200°C 1.4541</t>
  </si>
  <si>
    <t>von 355,6 (Norm) auf 355,0</t>
  </si>
  <si>
    <t>Benennung</t>
  </si>
  <si>
    <t>technische Daten</t>
  </si>
  <si>
    <t>Material</t>
  </si>
  <si>
    <t>Vorratsbehälter Kühlung</t>
  </si>
  <si>
    <t>Vorratsbehälter</t>
  </si>
  <si>
    <t>Durchlauferhitzer</t>
  </si>
  <si>
    <t>Kondensator</t>
  </si>
  <si>
    <t>Zahnradpumpe</t>
  </si>
  <si>
    <t>Druckminderer</t>
  </si>
  <si>
    <t>Heißtank PCM</t>
  </si>
  <si>
    <t>Kalttank PCM</t>
  </si>
  <si>
    <t>Wärmetauscher Kühlung</t>
  </si>
  <si>
    <t>Förderschnecke</t>
  </si>
  <si>
    <t xml:space="preserve"> mit el. Beheizung</t>
  </si>
  <si>
    <t>ID-Nummer</t>
  </si>
  <si>
    <t>DN25/DN40</t>
  </si>
  <si>
    <t>DN20</t>
  </si>
  <si>
    <t>DN32</t>
  </si>
  <si>
    <t>Niro-Stahl</t>
  </si>
  <si>
    <t xml:space="preserve"> - 10 … + 220</t>
  </si>
  <si>
    <t>1 cbm</t>
  </si>
  <si>
    <t xml:space="preserve"> - 20 … +</t>
  </si>
  <si>
    <t>Vorratswasser ein1</t>
  </si>
  <si>
    <t>Vorratswasser aus1</t>
  </si>
  <si>
    <t>Vorratswasser ein2</t>
  </si>
  <si>
    <t>Vorratswasser aus2</t>
  </si>
  <si>
    <t>DN65</t>
  </si>
  <si>
    <t xml:space="preserve"> - 40 … +225</t>
  </si>
  <si>
    <t>Iteration für q_λ und q_kon</t>
  </si>
  <si>
    <t>gesch. Angebot Plattenwärmetauscher</t>
  </si>
  <si>
    <t>Kreiselpumpe</t>
  </si>
  <si>
    <t>0 … + 90</t>
  </si>
  <si>
    <t>DN25</t>
  </si>
  <si>
    <t>5,9 kg</t>
  </si>
  <si>
    <t>spez. Enthalpie Vorratswasser ein1</t>
  </si>
  <si>
    <t>spez. Enthalpie Vorratswasser aus1</t>
  </si>
  <si>
    <t>h_Wasser</t>
  </si>
  <si>
    <t>Strömungsgeschwindigkeit Kühlwasser ein</t>
  </si>
  <si>
    <t>Strömungsgeschwindigkeit Kühlwasser aus</t>
  </si>
  <si>
    <t>Strömungsgeschwindigkeit Vorratswasser aus1</t>
  </si>
  <si>
    <t>Strömungsgeschwindigkeit Vorratswasser aus2</t>
  </si>
  <si>
    <t>p_Wasser</t>
  </si>
  <si>
    <t>Spez. Wärmekapazität Kühlwasser ein</t>
  </si>
  <si>
    <t>cp_Kühlwasser_ein</t>
  </si>
  <si>
    <t>Massenstrom Vorratswasser ein1</t>
  </si>
  <si>
    <t>Massenstrom Vorratswasser aus1</t>
  </si>
  <si>
    <t>Kontrolle</t>
  </si>
  <si>
    <t xml:space="preserve">Wärmestrom Kondensator </t>
  </si>
  <si>
    <t>Wärmestrom Kondensator b</t>
  </si>
  <si>
    <t>Wärmestrom Kondensator a</t>
  </si>
  <si>
    <t>Q̇_Kondensator_a</t>
  </si>
  <si>
    <t>Q̇_Kondensator_b</t>
  </si>
  <si>
    <t>Spez. Wärmekapazität überhitzter Dampf</t>
  </si>
  <si>
    <t>Druck Vorratswasser ein1</t>
  </si>
  <si>
    <t>Druck Vorratswasser aus1</t>
  </si>
  <si>
    <t>Wärmeübergangskoeffizient Kondensat</t>
  </si>
  <si>
    <t>α_Kondensat</t>
  </si>
  <si>
    <t>Spez. Wärmekapazität Vorratswasser ein1</t>
  </si>
  <si>
    <t>festgelegt</t>
  </si>
  <si>
    <t>h'</t>
  </si>
  <si>
    <t>h''</t>
  </si>
  <si>
    <t>Temp. Vorratswasser ein1</t>
  </si>
  <si>
    <t>Temp.  Vorratswasser ab</t>
  </si>
  <si>
    <t>T_Vorratswasser a_b</t>
  </si>
  <si>
    <t>log. Mitteltemperatur Kondensator a</t>
  </si>
  <si>
    <t>Δt_log_a</t>
  </si>
  <si>
    <t>log. Mitteltemperatur Kondensator b</t>
  </si>
  <si>
    <t>Δt_log_b</t>
  </si>
  <si>
    <t>Wärmedurchgangskoefizient</t>
  </si>
  <si>
    <t>k</t>
  </si>
  <si>
    <t>kW/m²*K</t>
  </si>
  <si>
    <t>von Angebot vau-therm gegeben</t>
  </si>
  <si>
    <t>T_Sattdampf</t>
  </si>
  <si>
    <t>Leistung Vorwärmer</t>
  </si>
  <si>
    <t>P_Vorwärmer</t>
  </si>
  <si>
    <t>cp_überhitzter Dampf</t>
  </si>
  <si>
    <t>T_Wasser</t>
  </si>
  <si>
    <t>Strömungsgeschw. Vorratswasser ein1</t>
  </si>
  <si>
    <t>Temp. Vorratswasser aus1</t>
  </si>
  <si>
    <t>1 Wasser</t>
  </si>
  <si>
    <t>2 Pumpenwasser</t>
  </si>
  <si>
    <t>Außendurchmesser Pumpenrohr</t>
  </si>
  <si>
    <t>Innendurchmesser Pumpenrohr</t>
  </si>
  <si>
    <t>Querschnittsfläche Pumpenrohr</t>
  </si>
  <si>
    <t>bei 100°C Sättigungstemperatur | VDI</t>
  </si>
  <si>
    <t>d_a_Wasserrohr</t>
  </si>
  <si>
    <t>d_i_Wasserrohr</t>
  </si>
  <si>
    <t>d_a_Pumpenrohr</t>
  </si>
  <si>
    <t>d_i_Pumpenrohr</t>
  </si>
  <si>
    <t>A_Wasserrohr</t>
  </si>
  <si>
    <t>w_Pumpenwasser</t>
  </si>
  <si>
    <t>A_Pumpenrohr</t>
  </si>
  <si>
    <t>d_a_Speiserohr</t>
  </si>
  <si>
    <t>d_i_Speiserohr</t>
  </si>
  <si>
    <t>A_Speiserohr</t>
  </si>
  <si>
    <t>Druck Sattdampf</t>
  </si>
  <si>
    <t>p_Sattdampf</t>
  </si>
  <si>
    <t>d_a_Sattdampfrohr</t>
  </si>
  <si>
    <t>d_i_Sattdampfrohr</t>
  </si>
  <si>
    <t>A_Sattdampfrohr</t>
  </si>
  <si>
    <t>Außendurchmesser ü.Dampfrohr</t>
  </si>
  <si>
    <t>Innendurchmesser ü.Dampfrohr</t>
  </si>
  <si>
    <t>Querschnittsfläche ü.Dampfrohr</t>
  </si>
  <si>
    <t>Strömungsgeschw. überhitzter Dampf</t>
  </si>
  <si>
    <t>W_überhitzter_Dampf</t>
  </si>
  <si>
    <t>Dichte Vorratswasser ein1</t>
  </si>
  <si>
    <t>Volumenstrom Vorratswasser ein1</t>
  </si>
  <si>
    <t>Außendurchmesser Vorratswasser ein1 Rohr</t>
  </si>
  <si>
    <t>Innendurchmesser Vorratswasser ein1 Rohr</t>
  </si>
  <si>
    <t>QuerschnittsflächeVorratswasser ein1 Rohr</t>
  </si>
  <si>
    <t>d_a_VW_ein1_Rohr</t>
  </si>
  <si>
    <t>d_i_VW_ein1_Rohr</t>
  </si>
  <si>
    <t>A_VW_ein1_Rohr</t>
  </si>
  <si>
    <t>h_VW_ein1</t>
  </si>
  <si>
    <t>p_VW_ein1</t>
  </si>
  <si>
    <t>T_VW_ein1</t>
  </si>
  <si>
    <t>cp_VW_ein1</t>
  </si>
  <si>
    <t>w_VW_ein1</t>
  </si>
  <si>
    <t>ṁ_VW_ein1</t>
  </si>
  <si>
    <t>V̇_VW_ein1</t>
  </si>
  <si>
    <t>Volumenstrom Vorratswasser aus1</t>
  </si>
  <si>
    <t>Dichte Vorratswasser aus1</t>
  </si>
  <si>
    <t>ϱ_VW_ein1</t>
  </si>
  <si>
    <t>ϱ_VW_aus1</t>
  </si>
  <si>
    <t>ṁ_VW_aus1</t>
  </si>
  <si>
    <t>V̇_VW_aus1</t>
  </si>
  <si>
    <t>T_VW_aus1</t>
  </si>
  <si>
    <t>p_VW_aus1</t>
  </si>
  <si>
    <t>h_VW_aus1</t>
  </si>
  <si>
    <t>w_VW_aus1</t>
  </si>
  <si>
    <t>Außendurchmesser Vorratswasser aus1 Rohr</t>
  </si>
  <si>
    <t>Innendurchmesser Vorratswasser aus1 Rohr</t>
  </si>
  <si>
    <t>QuerschnittsflächeVorratswasser aus1 Rohr</t>
  </si>
  <si>
    <t>d_a_VW_aus1_Rohr</t>
  </si>
  <si>
    <t>d_i_VW_aus1_Rohr</t>
  </si>
  <si>
    <t>A_VW_aus1_Rohr</t>
  </si>
  <si>
    <t>Massenstrom Vorratswasser ein2</t>
  </si>
  <si>
    <t>Dichte Vorratswasser ein2</t>
  </si>
  <si>
    <t>Volumenstrom Vorratswasser ein2</t>
  </si>
  <si>
    <t>spez. Enthalpie Vorratswasser ein2</t>
  </si>
  <si>
    <t>Temp. Vorratswasser ein2</t>
  </si>
  <si>
    <t>Druck Vorratswasser ein2</t>
  </si>
  <si>
    <t>Spez. Wärmekapazität Vorratswasser ein2</t>
  </si>
  <si>
    <t>Strömungsgeschw. Vorratswasser ein2</t>
  </si>
  <si>
    <t>Außendurchmesser Vorratswasser ein2 Rohr</t>
  </si>
  <si>
    <t>Innendurchmesser Vorratswasser ein2 Rohr</t>
  </si>
  <si>
    <t>QuerschnittsflächeVorratswasser ein2 Rohr</t>
  </si>
  <si>
    <t>Massenstrom Vorratswasser aus2</t>
  </si>
  <si>
    <t>Dichte Vorratswasser aus2</t>
  </si>
  <si>
    <t>Volumenstrom Vorratswasser aus2</t>
  </si>
  <si>
    <t>Temp. Vorratswasser aus2</t>
  </si>
  <si>
    <t>Druck Vorratswasser aus2</t>
  </si>
  <si>
    <t>spez. Enthalpie Vorratswasser aus2</t>
  </si>
  <si>
    <t>Außendurchmesser Vorratswasser aus2 Rohr</t>
  </si>
  <si>
    <t>Innendurchmesser Vorratswasser aus2 Rohr</t>
  </si>
  <si>
    <t>QuerschnittsflächeVorratswasser aus2 Rohr</t>
  </si>
  <si>
    <t>Außendurchmesser Speiserohr</t>
  </si>
  <si>
    <t>Innendurchmesser Speiserohr</t>
  </si>
  <si>
    <t>Querschnittsfläche Speiserohr</t>
  </si>
  <si>
    <t>ṁ_VW_ein2</t>
  </si>
  <si>
    <t>ϱ_VW_ein2</t>
  </si>
  <si>
    <t>V̇_VW_ein2</t>
  </si>
  <si>
    <t>T_VW_ein2</t>
  </si>
  <si>
    <t>p_VW_ein2</t>
  </si>
  <si>
    <t>h_VW_ein2</t>
  </si>
  <si>
    <t>cp_VW_ein2</t>
  </si>
  <si>
    <t>w_VW_ein2</t>
  </si>
  <si>
    <t>d_a_VW_ein2_Rohr</t>
  </si>
  <si>
    <t>d_i_VW_ein2_Rohr</t>
  </si>
  <si>
    <t>A_VW_ein2_Rohr</t>
  </si>
  <si>
    <t>ṁ_VW_aus2</t>
  </si>
  <si>
    <t>ϱ_VW_aus2</t>
  </si>
  <si>
    <t>V̇_VW_aus2</t>
  </si>
  <si>
    <t>T_VW_aus2</t>
  </si>
  <si>
    <t>p_VW_aus2</t>
  </si>
  <si>
    <t>h_VW_aus2</t>
  </si>
  <si>
    <t>w_VW_aus2</t>
  </si>
  <si>
    <t>d_a_VW_aus2_Rohr</t>
  </si>
  <si>
    <t>d_i_VW_aus2_Rohr</t>
  </si>
  <si>
    <t>A_VW_aus2_Rohr</t>
  </si>
  <si>
    <t>w_Kühlwasser_ein</t>
  </si>
  <si>
    <t>d_a__Kühlwasser_ein</t>
  </si>
  <si>
    <t>d_i__Kühlwasser_ein</t>
  </si>
  <si>
    <t>w_Kühlwasser_aus</t>
  </si>
  <si>
    <t>A_Kühlwasserrohr</t>
  </si>
  <si>
    <t>w_der_Rotating_Drum</t>
  </si>
  <si>
    <t>spez. Enthalpie gesättigter Dampf</t>
  </si>
  <si>
    <t>spez. Enthalpie gesättigte Flüssigkeit</t>
  </si>
  <si>
    <t>3 Speisewasser</t>
  </si>
  <si>
    <t>4 Sattdampf</t>
  </si>
  <si>
    <t>5 überhitzter Dampf</t>
  </si>
  <si>
    <t>6 Vorratswasser ein1</t>
  </si>
  <si>
    <t>7 Vorratswasser aus1</t>
  </si>
  <si>
    <t>8 Vorratswasser ein2</t>
  </si>
  <si>
    <t>9 Vorratswasser aus2</t>
  </si>
  <si>
    <t>10 Kühlwasser ein</t>
  </si>
  <si>
    <t>11 Kühlwasser aus</t>
  </si>
  <si>
    <t>12 PCM ein</t>
  </si>
  <si>
    <t>13 PCM aus</t>
  </si>
  <si>
    <t>Wärmetauscher</t>
  </si>
  <si>
    <t>RD allgemeine Daten</t>
  </si>
  <si>
    <t>kleinste deltaT nehmen</t>
  </si>
  <si>
    <t>Gewölbte Böden - Klöpperboden</t>
  </si>
  <si>
    <t>R! Rohr Vorratswasser ein1 1"</t>
  </si>
  <si>
    <t>R! Rohr Vorratswasser aus1 1"</t>
  </si>
  <si>
    <t>bei 2,7026 bar</t>
  </si>
  <si>
    <t>w_Wasser</t>
  </si>
  <si>
    <t>Strömungsgeschw.</t>
  </si>
  <si>
    <t>max. Druck, bar</t>
  </si>
  <si>
    <t>max. Temp.bereich, °C</t>
  </si>
  <si>
    <t>R! Rohr Sattdampf 1"</t>
  </si>
  <si>
    <t>R! Rohr Vorratswasser ein2 1"</t>
  </si>
  <si>
    <t>R! Rohr Vorratswasser aus2 1"</t>
  </si>
  <si>
    <t>Nenndurchmesser</t>
  </si>
  <si>
    <t>DN 50</t>
  </si>
  <si>
    <t>1,1 kW</t>
  </si>
  <si>
    <t>PCM Ventil</t>
  </si>
  <si>
    <t>11 kW</t>
  </si>
  <si>
    <t>R! Rohr ü. Sattdampf 2 1/2"</t>
  </si>
  <si>
    <t>AISI1304 V2A</t>
  </si>
  <si>
    <t>auf Basis von 100 kg/h</t>
  </si>
  <si>
    <t>isoliert</t>
  </si>
  <si>
    <t>AISI316 V4A</t>
  </si>
  <si>
    <t>AISI304 V2A</t>
  </si>
  <si>
    <t>DN15</t>
  </si>
  <si>
    <t>DN100</t>
  </si>
  <si>
    <t>DN50</t>
  </si>
  <si>
    <t>R! Rohr Wasser 1"</t>
  </si>
  <si>
    <t>R! Rohr Kühlwasser ein 1"</t>
  </si>
  <si>
    <t>R! Rohr Kühlwasser aus 1"</t>
  </si>
  <si>
    <t>R! Rohr Speisewasser 1"</t>
  </si>
  <si>
    <t>R! Rohr Pumpenwasser 1/4"</t>
  </si>
  <si>
    <t>AFOTEK Anlagen für Oberflächentechnik GmbH - Elektro- und Automatisierungstechnik</t>
  </si>
  <si>
    <t>gewünschte Parameter grün/rot anzeigen lassen</t>
  </si>
  <si>
    <t>GRAFCET-Workshop interaktiv (vbm-fachbuch.de)</t>
  </si>
  <si>
    <t>Verdampfungsenthalpie 7,9 bar [kJ/kg]</t>
  </si>
  <si>
    <t>Verdampfungsenthalpie 2,7 bar [kJ/kg]</t>
  </si>
  <si>
    <t>Massenstrom [kg/s]</t>
  </si>
  <si>
    <t>Leistung [kW]</t>
  </si>
  <si>
    <t>Heißtank</t>
  </si>
  <si>
    <t>Wärmeleitwert (PCM_222°C-400°C)</t>
  </si>
  <si>
    <t xml:space="preserve">Wärmeleitwert (V2A) </t>
  </si>
  <si>
    <t>[W/m*K]</t>
  </si>
  <si>
    <t xml:space="preserve">Wärmeleitwert (Steinwolle 20°C) </t>
  </si>
  <si>
    <t>Dicke Tank</t>
  </si>
  <si>
    <t>Dicke Steinwolle</t>
  </si>
  <si>
    <t>Eigenschaft</t>
  </si>
  <si>
    <t>Wärmeübergangskoeffizient Luft</t>
  </si>
  <si>
    <t>Wärmeübergangskoeffizient PCM</t>
  </si>
  <si>
    <t>Notiz</t>
  </si>
  <si>
    <t>W/m²*K</t>
  </si>
  <si>
    <t>5…25</t>
  </si>
  <si>
    <t>idealer Übergang</t>
  </si>
  <si>
    <t>Wärmedurchgangskoeffizent</t>
  </si>
  <si>
    <t>Verlustwärmestrom</t>
  </si>
  <si>
    <t>Fläche Tank</t>
  </si>
  <si>
    <t>Umgebungstemperatur</t>
  </si>
  <si>
    <t>PCM Temperatur</t>
  </si>
  <si>
    <t>W</t>
  </si>
  <si>
    <t>Kalttank</t>
  </si>
  <si>
    <t>Wasserbehälter 285 l</t>
  </si>
  <si>
    <t>Umdrehungen [U/min]</t>
  </si>
  <si>
    <t xml:space="preserve">Wärmeleitwert (V4A) </t>
  </si>
  <si>
    <t xml:space="preserve">Wärmeleitwert (1.4301) </t>
  </si>
  <si>
    <t>richtig</t>
  </si>
  <si>
    <t>V2A</t>
  </si>
  <si>
    <t>V4A</t>
  </si>
  <si>
    <t>B101</t>
  </si>
  <si>
    <t>W102</t>
  </si>
  <si>
    <t>B301</t>
  </si>
  <si>
    <t>B202</t>
  </si>
  <si>
    <t>B203</t>
  </si>
  <si>
    <t>V103</t>
  </si>
  <si>
    <t>V201</t>
  </si>
  <si>
    <t>D101</t>
  </si>
  <si>
    <t>W301</t>
  </si>
  <si>
    <t>W103</t>
  </si>
  <si>
    <t>P101</t>
  </si>
  <si>
    <t>P301</t>
  </si>
  <si>
    <t>P302</t>
  </si>
  <si>
    <t>H201</t>
  </si>
  <si>
    <t>a</t>
  </si>
  <si>
    <t>c</t>
  </si>
  <si>
    <t>d</t>
  </si>
  <si>
    <t>r</t>
  </si>
  <si>
    <t>e</t>
  </si>
  <si>
    <t>f</t>
  </si>
  <si>
    <t>g</t>
  </si>
  <si>
    <t>LI_301 = 100%</t>
  </si>
  <si>
    <t>LI_101 = 100%</t>
  </si>
  <si>
    <t>TI_102 = 60°C</t>
  </si>
  <si>
    <t>TI_204 = 250°C</t>
  </si>
  <si>
    <t>LI_205 = 100%</t>
  </si>
  <si>
    <t>LI_205 = 0%</t>
  </si>
  <si>
    <t>TI_302 &gt;= 92°C</t>
  </si>
  <si>
    <t>M101 = 0,25 U/min</t>
  </si>
  <si>
    <t>FI_104 = 0,002448 kg/s</t>
  </si>
  <si>
    <t>h</t>
  </si>
  <si>
    <t>i</t>
  </si>
  <si>
    <t>j</t>
  </si>
  <si>
    <t>n</t>
  </si>
  <si>
    <t>o</t>
  </si>
  <si>
    <t>p</t>
  </si>
  <si>
    <t>q</t>
  </si>
  <si>
    <t>t</t>
  </si>
  <si>
    <t>u</t>
  </si>
  <si>
    <t>v</t>
  </si>
  <si>
    <t>M101 = 0,5 U/min</t>
  </si>
  <si>
    <t>M101 = 1 U/min</t>
  </si>
  <si>
    <t>M101 = 2,5 U/min</t>
  </si>
  <si>
    <t>M101 = 5 U/min</t>
  </si>
  <si>
    <t>M101 = 50 U/min</t>
  </si>
  <si>
    <t>M101 = 10 U/min</t>
  </si>
  <si>
    <t>M101 = 25 U/min</t>
  </si>
  <si>
    <t>w</t>
  </si>
  <si>
    <t>FI_104 = 0,00329 kg/s</t>
  </si>
  <si>
    <t>FI_104 = 0,00454 kg/s</t>
  </si>
  <si>
    <t>FI_104 = 0,00702 kg/s</t>
  </si>
  <si>
    <t>FI_104 = 0,00983 kg/s</t>
  </si>
  <si>
    <t>FI_104 = 0,01358 kg/s</t>
  </si>
  <si>
    <t>FI_104 = 0,02248 kg/s</t>
  </si>
  <si>
    <t>FI_104 = 0,03132 kg/s</t>
  </si>
  <si>
    <t xml:space="preserve">Wärmeleitfähigkeit </t>
  </si>
  <si>
    <t xml:space="preserve">nahtlos Tabelle AD-HP0 </t>
  </si>
  <si>
    <t>aus Tab. AD-S1 | Konstruktionsklasse K3 | ebener Boden, einseitig geschweißt ohne Gegennaht</t>
  </si>
  <si>
    <t>∞</t>
  </si>
  <si>
    <t>Heißtank B203</t>
  </si>
  <si>
    <t>Kalttank B202</t>
  </si>
  <si>
    <t>Wasserbehälter B101</t>
  </si>
  <si>
    <t>Dicke Tank s_Tank</t>
  </si>
  <si>
    <t>Dicke Steinwolle s_Dämmung</t>
  </si>
  <si>
    <t>Fläche Tank A_Tank</t>
  </si>
  <si>
    <t xml:space="preserve">Wärmeübergangskoeffizient Luft </t>
  </si>
  <si>
    <t>Mediumtemperatur</t>
  </si>
  <si>
    <t>Einhausung</t>
  </si>
  <si>
    <t>5.88 qm</t>
  </si>
  <si>
    <t>0.82 qm</t>
  </si>
  <si>
    <t>0.3 cbm</t>
  </si>
  <si>
    <t>0.0007 cbm</t>
  </si>
  <si>
    <t>0.785 cmb</t>
  </si>
  <si>
    <t>0.6 cbm</t>
  </si>
  <si>
    <t>1.2 m</t>
  </si>
  <si>
    <t>1.12 qm</t>
  </si>
  <si>
    <t>200 W</t>
  </si>
  <si>
    <t>DN 8</t>
  </si>
  <si>
    <t>1.1 kW</t>
  </si>
  <si>
    <t>0.25 kW</t>
  </si>
  <si>
    <t>7 l/min</t>
  </si>
  <si>
    <t>3.6 m³/h</t>
  </si>
  <si>
    <t>7.2 m³/h</t>
  </si>
  <si>
    <t>19 kg</t>
  </si>
  <si>
    <t>0.18 m³/h</t>
  </si>
  <si>
    <t>2.78 m</t>
  </si>
  <si>
    <t>16.7 kW</t>
  </si>
  <si>
    <t>100 kW</t>
  </si>
  <si>
    <t>109kW</t>
  </si>
  <si>
    <t xml:space="preserve">315x150 </t>
  </si>
  <si>
    <t>maximales Limit von OBM</t>
  </si>
  <si>
    <t>Auf Basis von Entladeleistung 56 kW</t>
  </si>
  <si>
    <t>Kondensator WST ruhender Dampf (Berechnung unnötig)</t>
  </si>
  <si>
    <r>
      <t xml:space="preserve">Kondensator WST ruhender Dampf </t>
    </r>
    <r>
      <rPr>
        <b/>
        <sz val="11"/>
        <color theme="1"/>
        <rFont val="Calibri"/>
        <family val="2"/>
        <scheme val="minor"/>
      </rPr>
      <t>(Berechnung unnötig)</t>
    </r>
  </si>
  <si>
    <t>Q̇_Rotating Drum</t>
  </si>
  <si>
    <t>Energiebilanz für Pumpe</t>
  </si>
  <si>
    <t>Energiebilanz für Vorwärmer</t>
  </si>
  <si>
    <t>Parameter</t>
  </si>
  <si>
    <t>Online - Wasser - Dampf - Berechnung (peacesoftware.de)</t>
  </si>
  <si>
    <t>Vorgabe</t>
  </si>
  <si>
    <t>maximal</t>
  </si>
  <si>
    <t>thermodynamische Auslegung Rotating Drum 1 | 7.9 bar 170 °C</t>
  </si>
  <si>
    <t>apparatetechnische Auslegung Rotating Drum 1 |nach AD-B2000 | 7.9 bar 170 °C</t>
  </si>
  <si>
    <t>thermodynamische Auslegung Rotating Drum 2 | 2.7 bar 130 °C</t>
  </si>
  <si>
    <t>apparatetechnische Auslegung Rotating Drum 2 | nach AD-B2000 | 2.7 bar 130 °C</t>
  </si>
  <si>
    <t xml:space="preserve">Massenstrom </t>
  </si>
  <si>
    <t>statischer Druck maximal</t>
  </si>
  <si>
    <t>D1</t>
  </si>
  <si>
    <t>D2</t>
  </si>
  <si>
    <t>Differenzdruck</t>
  </si>
  <si>
    <t>Stömungsgeschw. Eingang</t>
  </si>
  <si>
    <t>kg/m^3</t>
  </si>
  <si>
    <t>2,7 bar 130°C</t>
  </si>
  <si>
    <t>8 bar 170°C</t>
  </si>
  <si>
    <t>Auslegungspunkt</t>
  </si>
  <si>
    <t>statischer Druck Auslass</t>
  </si>
  <si>
    <t>Max. Strömungsgeschw. Start</t>
  </si>
  <si>
    <t>Max. Strömungsgeschw. Ende</t>
  </si>
  <si>
    <t>Höhe PCM oberfläche Etart</t>
  </si>
  <si>
    <t>Höhe PCM oberfläche Ende</t>
  </si>
  <si>
    <t>Blende/Venturi-Düse:</t>
  </si>
  <si>
    <t>Volumenstrom</t>
  </si>
  <si>
    <t>m^3/h</t>
  </si>
  <si>
    <t>mbar</t>
  </si>
  <si>
    <t>DN</t>
  </si>
  <si>
    <t>l/h</t>
  </si>
  <si>
    <t>10^-6/K</t>
  </si>
  <si>
    <t>Temperatur Start</t>
  </si>
  <si>
    <t>Temperatur Betrieb</t>
  </si>
  <si>
    <t>Ausdehnungskoeffizient Cu</t>
  </si>
  <si>
    <t>1.4301</t>
  </si>
  <si>
    <t>CW004A</t>
  </si>
  <si>
    <t>Längendehnung</t>
  </si>
  <si>
    <t>Differenzielle Dehnung</t>
  </si>
  <si>
    <t>lambda_rau</t>
  </si>
  <si>
    <t>lambda_glatt</t>
  </si>
  <si>
    <t>lambda_0</t>
  </si>
  <si>
    <t>delta_p</t>
  </si>
  <si>
    <t>Pa</t>
  </si>
  <si>
    <t>&gt;2320, also turbulent</t>
  </si>
  <si>
    <t>d/k</t>
  </si>
  <si>
    <t>mm^2/s</t>
  </si>
  <si>
    <t>nu</t>
  </si>
  <si>
    <t>m^2</t>
  </si>
  <si>
    <t>A</t>
  </si>
  <si>
    <t>D_i</t>
  </si>
  <si>
    <t>V_dot</t>
  </si>
  <si>
    <t>Rho_W</t>
  </si>
  <si>
    <t>m_dot</t>
  </si>
  <si>
    <t>L</t>
  </si>
  <si>
    <t>p1</t>
  </si>
  <si>
    <t>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</si>
</sst>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"/>
    <numFmt numFmtId="166" formatCode="0.000000"/>
    <numFmt numFmtId="167" formatCode="#,##0.0000"/>
    <numFmt numFmtId="168" formatCode="0\ \k\W"/>
    <numFmt numFmtId="169" formatCode="0.0\ \W"/>
    <numFmt numFmtId="170" formatCode="0.00000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u val="double"/>
      <sz val="11"/>
      <color theme="1"/>
      <name val="Calibri"/>
      <family val="2"/>
    </font>
    <font>
      <u val="double"/>
      <sz val="11"/>
      <color theme="10"/>
      <name val="Calibri"/>
      <family val="2"/>
      <scheme val="minor"/>
    </font>
    <font>
      <u val="double"/>
      <sz val="11"/>
      <name val="Calibri"/>
      <family val="2"/>
      <scheme val="minor"/>
    </font>
    <font>
      <u val="double"/>
      <sz val="11"/>
      <color rgb="FFFF0000"/>
      <name val="Calibri"/>
      <family val="2"/>
      <scheme val="minor"/>
    </font>
    <font>
      <u val="double"/>
      <sz val="9"/>
      <color theme="1"/>
      <name val="Calibri"/>
      <family val="2"/>
      <scheme val="minor"/>
    </font>
    <font>
      <u val="double"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2">
    <xf numFmtId="0" fontId="0" fillId="0" borderId="0" xfId="0"/>
    <xf numFmtId="2" fontId="0" fillId="0" borderId="0" xfId="0" applyNumberFormat="1"/>
    <xf numFmtId="0" fontId="1" fillId="0" borderId="0" xfId="1"/>
    <xf numFmtId="0" fontId="2" fillId="0" borderId="0" xfId="0" applyFont="1"/>
    <xf numFmtId="0" fontId="0" fillId="3" borderId="0" xfId="0" applyFill="1"/>
    <xf numFmtId="0" fontId="0" fillId="4" borderId="0" xfId="0" applyFill="1"/>
    <xf numFmtId="164" fontId="0" fillId="0" borderId="0" xfId="0" applyNumberFormat="1"/>
    <xf numFmtId="2" fontId="0" fillId="4" borderId="0" xfId="0" applyNumberFormat="1" applyFill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2" fontId="0" fillId="3" borderId="0" xfId="0" applyNumberFormat="1" applyFill="1"/>
    <xf numFmtId="2" fontId="0" fillId="0" borderId="0" xfId="0" applyNumberFormat="1" applyAlignment="1">
      <alignment wrapText="1"/>
    </xf>
    <xf numFmtId="2" fontId="4" fillId="0" borderId="0" xfId="0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5" borderId="0" xfId="0" applyFill="1"/>
    <xf numFmtId="0" fontId="0" fillId="0" borderId="15" xfId="0" applyBorder="1"/>
    <xf numFmtId="0" fontId="4" fillId="0" borderId="0" xfId="0" applyFont="1" applyAlignment="1">
      <alignment wrapText="1"/>
    </xf>
    <xf numFmtId="0" fontId="0" fillId="0" borderId="16" xfId="0" applyBorder="1"/>
    <xf numFmtId="2" fontId="3" fillId="0" borderId="0" xfId="0" applyNumberFormat="1" applyFont="1"/>
    <xf numFmtId="2" fontId="0" fillId="0" borderId="17" xfId="0" applyNumberFormat="1" applyBorder="1"/>
    <xf numFmtId="2" fontId="0" fillId="0" borderId="1" xfId="0" applyNumberFormat="1" applyBorder="1"/>
    <xf numFmtId="0" fontId="0" fillId="0" borderId="0" xfId="0" applyAlignment="1">
      <alignment vertical="center"/>
    </xf>
    <xf numFmtId="165" fontId="0" fillId="0" borderId="0" xfId="0" applyNumberFormat="1" applyAlignment="1">
      <alignment horizontal="right" vertical="center"/>
    </xf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/>
    <xf numFmtId="2" fontId="0" fillId="0" borderId="3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3" fontId="0" fillId="0" borderId="0" xfId="0" applyNumberFormat="1"/>
    <xf numFmtId="165" fontId="0" fillId="0" borderId="21" xfId="0" applyNumberFormat="1" applyBorder="1" applyAlignment="1">
      <alignment horizontal="center" vertical="center" wrapText="1"/>
    </xf>
    <xf numFmtId="0" fontId="0" fillId="4" borderId="28" xfId="0" applyFill="1" applyBorder="1"/>
    <xf numFmtId="0" fontId="0" fillId="5" borderId="3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6" borderId="3" xfId="0" applyFill="1" applyBorder="1" applyAlignment="1">
      <alignment horizontal="center" vertical="center" wrapText="1"/>
    </xf>
    <xf numFmtId="0" fontId="0" fillId="0" borderId="9" xfId="0" applyBorder="1"/>
    <xf numFmtId="0" fontId="7" fillId="0" borderId="9" xfId="0" applyFont="1" applyBorder="1"/>
    <xf numFmtId="0" fontId="7" fillId="0" borderId="10" xfId="0" applyFont="1" applyBorder="1"/>
    <xf numFmtId="0" fontId="7" fillId="0" borderId="0" xfId="0" applyFont="1"/>
    <xf numFmtId="0" fontId="1" fillId="0" borderId="0" xfId="1" applyBorder="1"/>
    <xf numFmtId="0" fontId="3" fillId="0" borderId="0" xfId="1" applyFont="1" applyBorder="1"/>
    <xf numFmtId="0" fontId="0" fillId="2" borderId="5" xfId="0" applyFill="1" applyBorder="1"/>
    <xf numFmtId="0" fontId="1" fillId="0" borderId="5" xfId="1" applyBorder="1"/>
    <xf numFmtId="165" fontId="0" fillId="4" borderId="0" xfId="0" applyNumberFormat="1" applyFill="1" applyAlignment="1">
      <alignment horizontal="right" vertical="center"/>
    </xf>
    <xf numFmtId="165" fontId="7" fillId="0" borderId="0" xfId="0" applyNumberFormat="1" applyFont="1" applyAlignment="1">
      <alignment horizontal="right" vertical="center"/>
    </xf>
    <xf numFmtId="165" fontId="0" fillId="0" borderId="10" xfId="0" applyNumberFormat="1" applyBorder="1" applyAlignment="1">
      <alignment horizontal="right" vertical="center"/>
    </xf>
    <xf numFmtId="165" fontId="0" fillId="0" borderId="5" xfId="0" applyNumberFormat="1" applyBorder="1" applyAlignment="1">
      <alignment horizontal="right" vertical="center"/>
    </xf>
    <xf numFmtId="165" fontId="0" fillId="2" borderId="0" xfId="0" applyNumberFormat="1" applyFill="1" applyAlignment="1">
      <alignment horizontal="right" vertical="center"/>
    </xf>
    <xf numFmtId="165" fontId="7" fillId="2" borderId="0" xfId="0" applyNumberFormat="1" applyFont="1" applyFill="1" applyAlignment="1">
      <alignment horizontal="right" vertical="center"/>
    </xf>
    <xf numFmtId="165" fontId="0" fillId="0" borderId="0" xfId="0" applyNumberFormat="1"/>
    <xf numFmtId="165" fontId="4" fillId="0" borderId="0" xfId="0" applyNumberFormat="1" applyFont="1" applyAlignment="1">
      <alignment horizontal="right" vertical="center"/>
    </xf>
    <xf numFmtId="0" fontId="0" fillId="5" borderId="17" xfId="0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5" fontId="0" fillId="0" borderId="13" xfId="0" applyNumberFormat="1" applyBorder="1" applyAlignment="1">
      <alignment horizontal="right" vertical="center"/>
    </xf>
    <xf numFmtId="165" fontId="0" fillId="4" borderId="0" xfId="0" applyNumberFormat="1" applyFill="1"/>
    <xf numFmtId="165" fontId="0" fillId="7" borderId="0" xfId="0" applyNumberFormat="1" applyFill="1" applyAlignment="1">
      <alignment horizontal="right" vertical="center"/>
    </xf>
    <xf numFmtId="165" fontId="7" fillId="7" borderId="10" xfId="0" applyNumberFormat="1" applyFont="1" applyFill="1" applyBorder="1" applyAlignment="1">
      <alignment horizontal="right" vertical="center"/>
    </xf>
    <xf numFmtId="165" fontId="0" fillId="7" borderId="10" xfId="0" applyNumberFormat="1" applyFill="1" applyBorder="1" applyAlignment="1">
      <alignment horizontal="right" vertical="center"/>
    </xf>
    <xf numFmtId="0" fontId="0" fillId="2" borderId="0" xfId="0" applyFill="1"/>
    <xf numFmtId="0" fontId="6" fillId="6" borderId="17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165" fontId="0" fillId="2" borderId="10" xfId="0" applyNumberFormat="1" applyFill="1" applyBorder="1" applyAlignment="1">
      <alignment horizontal="right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2" xfId="0" applyBorder="1" applyAlignment="1">
      <alignment horizontal="center" vertical="center"/>
    </xf>
    <xf numFmtId="0" fontId="0" fillId="0" borderId="28" xfId="0" applyBorder="1"/>
    <xf numFmtId="0" fontId="0" fillId="8" borderId="0" xfId="0" applyFill="1"/>
    <xf numFmtId="0" fontId="6" fillId="0" borderId="21" xfId="0" applyFont="1" applyBorder="1" applyAlignment="1">
      <alignment horizontal="center" vertical="center"/>
    </xf>
    <xf numFmtId="17" fontId="0" fillId="0" borderId="0" xfId="0" applyNumberFormat="1"/>
    <xf numFmtId="0" fontId="16" fillId="0" borderId="0" xfId="0" applyFont="1"/>
    <xf numFmtId="0" fontId="0" fillId="4" borderId="21" xfId="0" applyFill="1" applyBorder="1"/>
    <xf numFmtId="0" fontId="0" fillId="9" borderId="21" xfId="0" applyFill="1" applyBorder="1"/>
    <xf numFmtId="0" fontId="0" fillId="0" borderId="21" xfId="0" applyBorder="1" applyAlignment="1">
      <alignment horizontal="right"/>
    </xf>
    <xf numFmtId="3" fontId="0" fillId="0" borderId="21" xfId="0" applyNumberFormat="1" applyBorder="1" applyAlignment="1">
      <alignment horizontal="right"/>
    </xf>
    <xf numFmtId="2" fontId="0" fillId="0" borderId="21" xfId="0" applyNumberFormat="1" applyBorder="1" applyAlignment="1">
      <alignment horizontal="right"/>
    </xf>
    <xf numFmtId="170" fontId="0" fillId="0" borderId="0" xfId="0" applyNumberFormat="1"/>
    <xf numFmtId="0" fontId="0" fillId="0" borderId="20" xfId="0" applyBorder="1"/>
    <xf numFmtId="0" fontId="8" fillId="0" borderId="21" xfId="0" applyFont="1" applyBorder="1"/>
    <xf numFmtId="0" fontId="8" fillId="0" borderId="21" xfId="0" applyFont="1" applyBorder="1" applyAlignment="1">
      <alignment horizontal="center" vertical="center"/>
    </xf>
    <xf numFmtId="170" fontId="0" fillId="0" borderId="21" xfId="0" applyNumberFormat="1" applyBorder="1"/>
    <xf numFmtId="170" fontId="0" fillId="0" borderId="18" xfId="0" applyNumberFormat="1" applyBorder="1"/>
    <xf numFmtId="170" fontId="0" fillId="0" borderId="20" xfId="0" applyNumberFormat="1" applyBorder="1"/>
    <xf numFmtId="165" fontId="0" fillId="0" borderId="21" xfId="0" applyNumberFormat="1" applyBorder="1" applyAlignment="1">
      <alignment horizontal="right"/>
    </xf>
    <xf numFmtId="0" fontId="0" fillId="5" borderId="25" xfId="0" applyFill="1" applyBorder="1"/>
    <xf numFmtId="0" fontId="0" fillId="5" borderId="20" xfId="0" applyFill="1" applyBorder="1"/>
    <xf numFmtId="0" fontId="0" fillId="5" borderId="24" xfId="0" applyFill="1" applyBorder="1"/>
    <xf numFmtId="0" fontId="0" fillId="0" borderId="26" xfId="0" applyBorder="1"/>
    <xf numFmtId="0" fontId="0" fillId="0" borderId="22" xfId="0" applyBorder="1"/>
    <xf numFmtId="0" fontId="0" fillId="6" borderId="24" xfId="0" applyFill="1" applyBorder="1"/>
    <xf numFmtId="167" fontId="0" fillId="0" borderId="21" xfId="0" applyNumberFormat="1" applyBorder="1" applyAlignment="1">
      <alignment horizontal="right"/>
    </xf>
    <xf numFmtId="2" fontId="0" fillId="0" borderId="27" xfId="0" applyNumberFormat="1" applyBorder="1"/>
    <xf numFmtId="2" fontId="0" fillId="0" borderId="21" xfId="0" applyNumberFormat="1" applyBorder="1"/>
    <xf numFmtId="2" fontId="0" fillId="0" borderId="23" xfId="0" applyNumberFormat="1" applyBorder="1"/>
    <xf numFmtId="2" fontId="0" fillId="0" borderId="18" xfId="0" applyNumberFormat="1" applyBorder="1"/>
    <xf numFmtId="2" fontId="0" fillId="6" borderId="25" xfId="0" applyNumberFormat="1" applyFill="1" applyBorder="1"/>
    <xf numFmtId="2" fontId="0" fillId="6" borderId="20" xfId="0" applyNumberFormat="1" applyFill="1" applyBorder="1"/>
    <xf numFmtId="2" fontId="0" fillId="0" borderId="21" xfId="0" applyNumberFormat="1" applyBorder="1" applyAlignment="1">
      <alignment vertical="center" wrapText="1"/>
    </xf>
    <xf numFmtId="164" fontId="0" fillId="0" borderId="21" xfId="0" applyNumberFormat="1" applyBorder="1"/>
    <xf numFmtId="164" fontId="0" fillId="0" borderId="18" xfId="0" applyNumberFormat="1" applyBorder="1"/>
    <xf numFmtId="164" fontId="0" fillId="6" borderId="20" xfId="0" applyNumberFormat="1" applyFill="1" applyBorder="1"/>
    <xf numFmtId="2" fontId="6" fillId="0" borderId="0" xfId="0" applyNumberFormat="1" applyFont="1"/>
    <xf numFmtId="168" fontId="0" fillId="0" borderId="21" xfId="0" applyNumberFormat="1" applyBorder="1" applyAlignment="1">
      <alignment horizontal="center" vertical="center" wrapText="1"/>
    </xf>
    <xf numFmtId="169" fontId="0" fillId="0" borderId="21" xfId="0" applyNumberForma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17" fillId="0" borderId="0" xfId="0" applyFont="1"/>
    <xf numFmtId="165" fontId="17" fillId="0" borderId="0" xfId="0" applyNumberFormat="1" applyFont="1" applyAlignment="1">
      <alignment horizontal="right" vertical="center"/>
    </xf>
    <xf numFmtId="0" fontId="18" fillId="0" borderId="0" xfId="0" applyFont="1"/>
    <xf numFmtId="167" fontId="17" fillId="0" borderId="0" xfId="0" applyNumberFormat="1" applyFont="1" applyAlignment="1">
      <alignment horizontal="left"/>
    </xf>
    <xf numFmtId="0" fontId="3" fillId="0" borderId="0" xfId="0" applyFont="1"/>
    <xf numFmtId="0" fontId="9" fillId="0" borderId="0" xfId="0" applyFont="1"/>
    <xf numFmtId="2" fontId="9" fillId="0" borderId="0" xfId="0" applyNumberFormat="1" applyFont="1"/>
    <xf numFmtId="0" fontId="14" fillId="0" borderId="0" xfId="0" applyFont="1"/>
    <xf numFmtId="164" fontId="9" fillId="0" borderId="0" xfId="0" applyNumberFormat="1" applyFont="1"/>
    <xf numFmtId="0" fontId="10" fillId="0" borderId="0" xfId="0" applyFont="1"/>
    <xf numFmtId="166" fontId="10" fillId="0" borderId="0" xfId="0" applyNumberFormat="1" applyFont="1"/>
    <xf numFmtId="164" fontId="10" fillId="0" borderId="0" xfId="0" applyNumberFormat="1" applyFont="1"/>
    <xf numFmtId="0" fontId="11" fillId="0" borderId="0" xfId="1" applyFont="1" applyFill="1" applyBorder="1"/>
    <xf numFmtId="0" fontId="12" fillId="0" borderId="0" xfId="1" applyFont="1" applyFill="1" applyBorder="1"/>
    <xf numFmtId="165" fontId="9" fillId="0" borderId="0" xfId="0" applyNumberFormat="1" applyFont="1"/>
    <xf numFmtId="0" fontId="9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5" fillId="0" borderId="0" xfId="0" applyFont="1"/>
    <xf numFmtId="165" fontId="0" fillId="0" borderId="10" xfId="0" applyNumberFormat="1" applyBorder="1" applyAlignment="1">
      <alignment horizontal="left" vertical="center"/>
    </xf>
    <xf numFmtId="0" fontId="8" fillId="0" borderId="0" xfId="0" applyFont="1"/>
    <xf numFmtId="49" fontId="0" fillId="0" borderId="0" xfId="0" applyNumberFormat="1"/>
    <xf numFmtId="0" fontId="0" fillId="5" borderId="2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5" borderId="33" xfId="0" applyFill="1" applyBorder="1" applyAlignment="1">
      <alignment horizontal="center" vertical="center" wrapText="1"/>
    </xf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4" borderId="21" xfId="0" applyFill="1" applyBorder="1" applyAlignment="1">
      <alignment horizont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68">
    <dxf>
      <numFmt numFmtId="165" formatCode="0.00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70C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5" formatCode="0.00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Anfahrvorgänge </a:t>
            </a:r>
          </a:p>
        </c:rich>
      </c:tx>
      <c:layout>
        <c:manualLayout>
          <c:xMode val="edge"/>
          <c:yMode val="edge"/>
          <c:x val="0.30627742612899078"/>
          <c:y val="2.03045522966127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366173933839084"/>
          <c:y val="0.13377315871418358"/>
          <c:w val="0.67446874146526459"/>
          <c:h val="0.72009055510567566"/>
        </c:manualLayout>
      </c:layout>
      <c:scatterChart>
        <c:scatterStyle val="smoothMarker"/>
        <c:varyColors val="0"/>
        <c:ser>
          <c:idx val="0"/>
          <c:order val="0"/>
          <c:tx>
            <c:v>7.9 bar 170 °C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Simulationen!$E$3:$E$11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Simulationen!$C$3:$C$11</c:f>
              <c:numCache>
                <c:formatCode>0.00</c:formatCode>
                <c:ptCount val="9"/>
                <c:pt idx="0">
                  <c:v>5.0176999999999996</c:v>
                </c:pt>
                <c:pt idx="1">
                  <c:v>6.7629000000000001</c:v>
                </c:pt>
                <c:pt idx="2">
                  <c:v>9.3143999999999991</c:v>
                </c:pt>
                <c:pt idx="3">
                  <c:v>14.396000000000001</c:v>
                </c:pt>
                <c:pt idx="4">
                  <c:v>20.165900000000001</c:v>
                </c:pt>
                <c:pt idx="5">
                  <c:v>27.836200000000002</c:v>
                </c:pt>
                <c:pt idx="6">
                  <c:v>46.0944</c:v>
                </c:pt>
                <c:pt idx="7">
                  <c:v>64.208100000000002</c:v>
                </c:pt>
                <c:pt idx="8">
                  <c:v>77.590900000000005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98-4E16-B79D-C541C32C3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150943"/>
        <c:axId val="100703782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2,7 bar 130 °C</c:v>
                </c:tx>
                <c:spPr>
                  <a:ln w="1905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Simulationen!$E$15:$E$23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2.5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25</c:v>
                      </c:pt>
                      <c:pt idx="7">
                        <c:v>50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Simulationen!$C$15:$C$23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8.2156000000000002</c:v>
                      </c:pt>
                      <c:pt idx="1">
                        <c:v>11.093</c:v>
                      </c:pt>
                      <c:pt idx="2">
                        <c:v>15.3118</c:v>
                      </c:pt>
                      <c:pt idx="3">
                        <c:v>23.610700000000001</c:v>
                      </c:pt>
                      <c:pt idx="4">
                        <c:v>32.744900000000001</c:v>
                      </c:pt>
                      <c:pt idx="5">
                        <c:v>45.509700000000002</c:v>
                      </c:pt>
                      <c:pt idx="6">
                        <c:v>73.071600000000004</c:v>
                      </c:pt>
                      <c:pt idx="7">
                        <c:v>104.63760000000001</c:v>
                      </c:pt>
                      <c:pt idx="8">
                        <c:v>130.12280000000001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AA0-4672-A1E3-F851E62B2295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3"/>
          <c:order val="3"/>
          <c:tx>
            <c:v>2.7 bar 130 °C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Simulationen!$E$15:$E$23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Simulationen!$D$15:$D$23</c:f>
              <c:numCache>
                <c:formatCode>0.000</c:formatCode>
                <c:ptCount val="9"/>
                <c:pt idx="0">
                  <c:v>3.7795464147392156E-3</c:v>
                </c:pt>
                <c:pt idx="1">
                  <c:v>5.1032801473662442E-3</c:v>
                </c:pt>
                <c:pt idx="2">
                  <c:v>7.044118359365587E-3</c:v>
                </c:pt>
                <c:pt idx="3">
                  <c:v>1.0861986529831443E-2</c:v>
                </c:pt>
                <c:pt idx="4">
                  <c:v>1.5064130361263224E-2</c:v>
                </c:pt>
                <c:pt idx="5">
                  <c:v>2.0936513884665428E-2</c:v>
                </c:pt>
                <c:pt idx="6">
                  <c:v>3.3616230561280741E-2</c:v>
                </c:pt>
                <c:pt idx="7">
                  <c:v>4.8138013769769242E-2</c:v>
                </c:pt>
                <c:pt idx="8">
                  <c:v>5.9862354814721755E-2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11-47A0-800E-27BA006A0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627728"/>
        <c:axId val="4248940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Simulationen!$E$3:$E$11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2.5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25</c:v>
                      </c:pt>
                      <c:pt idx="7">
                        <c:v>50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Simulationen!$D$3:$D$11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2.4481722799149144E-3</c:v>
                      </c:pt>
                      <c:pt idx="1">
                        <c:v>3.2996680375145136E-3</c:v>
                      </c:pt>
                      <c:pt idx="2">
                        <c:v>4.5445634222929781E-3</c:v>
                      </c:pt>
                      <c:pt idx="3">
                        <c:v>7.0239129763945852E-3</c:v>
                      </c:pt>
                      <c:pt idx="4">
                        <c:v>9.8390891004914941E-3</c:v>
                      </c:pt>
                      <c:pt idx="5">
                        <c:v>1.3581484189602316E-2</c:v>
                      </c:pt>
                      <c:pt idx="6">
                        <c:v>2.2489792602050748E-2</c:v>
                      </c:pt>
                      <c:pt idx="7">
                        <c:v>3.132759841481253E-2</c:v>
                      </c:pt>
                      <c:pt idx="8">
                        <c:v>3.7857163751051304E-2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B11-47A0-800E-27BA006A0241}"/>
                  </c:ext>
                </c:extLst>
              </c15:ser>
            </c15:filteredScatterSeries>
          </c:ext>
        </c:extLst>
      </c:scatterChart>
      <c:valAx>
        <c:axId val="151315094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Umdrehungen [1/min]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7037823"/>
        <c:crosses val="autoZero"/>
        <c:crossBetween val="midCat"/>
      </c:valAx>
      <c:valAx>
        <c:axId val="1007037823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Entladeleistung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3150943"/>
        <c:crosses val="autoZero"/>
        <c:crossBetween val="midCat"/>
      </c:valAx>
      <c:valAx>
        <c:axId val="424894096"/>
        <c:scaling>
          <c:orientation val="minMax"/>
          <c:max val="6.900000000000002E-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Massenstrom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4627728"/>
        <c:crosses val="max"/>
        <c:crossBetween val="midCat"/>
      </c:valAx>
      <c:valAx>
        <c:axId val="60462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489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756183570572455"/>
          <c:y val="9.6870034611001271E-2"/>
          <c:w val="0.36120592185047928"/>
          <c:h val="5.71069530301346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Anfahrvorgang</a:t>
            </a:r>
            <a:r>
              <a:rPr lang="en-US" baseline="0"/>
              <a:t> 7,9 bar 170 °C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366173933839084"/>
          <c:y val="0.13377315871418358"/>
          <c:w val="0.67446874146526459"/>
          <c:h val="0.72009055510567566"/>
        </c:manualLayout>
      </c:layou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13150943"/>
        <c:axId val="10070378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7,9 bar 170 °C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Simulationen!$E$3:$E$11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2.5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25</c:v>
                      </c:pt>
                      <c:pt idx="7">
                        <c:v>50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Simulationen!$C$3:$C$11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5.0176999999999996</c:v>
                      </c:pt>
                      <c:pt idx="1">
                        <c:v>6.7629000000000001</c:v>
                      </c:pt>
                      <c:pt idx="2">
                        <c:v>9.3143999999999991</c:v>
                      </c:pt>
                      <c:pt idx="3">
                        <c:v>14.396000000000001</c:v>
                      </c:pt>
                      <c:pt idx="4">
                        <c:v>20.165900000000001</c:v>
                      </c:pt>
                      <c:pt idx="5">
                        <c:v>27.836200000000002</c:v>
                      </c:pt>
                      <c:pt idx="6">
                        <c:v>46.0944</c:v>
                      </c:pt>
                      <c:pt idx="7">
                        <c:v>64.208100000000002</c:v>
                      </c:pt>
                      <c:pt idx="8">
                        <c:v>77.590900000000005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75F-42A8-8137-B3EEF893CC4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2,7 bar 130 °C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Simulationen!$E$15:$E$23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2.5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25</c:v>
                      </c:pt>
                      <c:pt idx="7">
                        <c:v>50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Simulationen!$C$15:$C$23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8.2156000000000002</c:v>
                      </c:pt>
                      <c:pt idx="1">
                        <c:v>11.093</c:v>
                      </c:pt>
                      <c:pt idx="2">
                        <c:v>15.3118</c:v>
                      </c:pt>
                      <c:pt idx="3">
                        <c:v>23.610700000000001</c:v>
                      </c:pt>
                      <c:pt idx="4">
                        <c:v>32.744900000000001</c:v>
                      </c:pt>
                      <c:pt idx="5">
                        <c:v>45.509700000000002</c:v>
                      </c:pt>
                      <c:pt idx="6">
                        <c:v>73.071600000000004</c:v>
                      </c:pt>
                      <c:pt idx="7">
                        <c:v>104.63760000000001</c:v>
                      </c:pt>
                      <c:pt idx="8">
                        <c:v>130.12280000000001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75F-42A8-8137-B3EEF893CC46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2"/>
          <c:order val="2"/>
          <c:tx>
            <c:v>7,9 bar 170 °C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Simulationen!$E$3:$E$11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Simulationen!$D$3:$D$11</c:f>
              <c:numCache>
                <c:formatCode>0.000</c:formatCode>
                <c:ptCount val="9"/>
                <c:pt idx="0">
                  <c:v>2.4481722799149144E-3</c:v>
                </c:pt>
                <c:pt idx="1">
                  <c:v>3.2996680375145136E-3</c:v>
                </c:pt>
                <c:pt idx="2">
                  <c:v>4.5445634222929781E-3</c:v>
                </c:pt>
                <c:pt idx="3">
                  <c:v>7.0239129763945852E-3</c:v>
                </c:pt>
                <c:pt idx="4">
                  <c:v>9.8390891004914941E-3</c:v>
                </c:pt>
                <c:pt idx="5">
                  <c:v>1.3581484189602316E-2</c:v>
                </c:pt>
                <c:pt idx="6">
                  <c:v>2.2489792602050748E-2</c:v>
                </c:pt>
                <c:pt idx="7">
                  <c:v>3.132759841481253E-2</c:v>
                </c:pt>
                <c:pt idx="8">
                  <c:v>3.7857163751051304E-2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5F-42A8-8137-B3EEF893C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627728"/>
        <c:axId val="424894096"/>
      </c:scatterChart>
      <c:valAx>
        <c:axId val="151315094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Umdrehungen [1/min]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7037823"/>
        <c:crosses val="autoZero"/>
        <c:crossBetween val="midCat"/>
      </c:valAx>
      <c:valAx>
        <c:axId val="1007037823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Entladeleistung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3150943"/>
        <c:crosses val="autoZero"/>
        <c:crossBetween val="midCat"/>
      </c:valAx>
      <c:valAx>
        <c:axId val="424894096"/>
        <c:scaling>
          <c:orientation val="minMax"/>
          <c:max val="4.9250000000000009E-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Massenstrom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4627728"/>
        <c:crosses val="max"/>
        <c:crossBetween val="midCat"/>
      </c:valAx>
      <c:valAx>
        <c:axId val="60462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489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952416329522503"/>
          <c:y val="3.5956377721163106E-2"/>
          <c:w val="0.18373649123849711"/>
          <c:h val="5.71069530301346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chart" Target="../charts/chart2.xml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1738311</xdr:colOff>
      <xdr:row>70</xdr:row>
      <xdr:rowOff>131670</xdr:rowOff>
    </xdr:from>
    <xdr:to>
      <xdr:col>12</xdr:col>
      <xdr:colOff>2713224</xdr:colOff>
      <xdr:row>90</xdr:row>
      <xdr:rowOff>75639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873FDEF8-2211-4694-AA46-522335647322}"/>
            </a:ext>
          </a:extLst>
        </xdr:cNvPr>
        <xdr:cNvGrpSpPr/>
      </xdr:nvGrpSpPr>
      <xdr:grpSpPr>
        <a:xfrm>
          <a:off x="13701711" y="13942920"/>
          <a:ext cx="5813613" cy="3763494"/>
          <a:chOff x="12416116" y="15374471"/>
          <a:chExt cx="5815854" cy="3776381"/>
        </a:xfrm>
      </xdr:grpSpPr>
      <xdr:sp macro="" textlink="">
        <xdr:nvSpPr>
          <xdr:cNvPr id="2" name="Rechteck 1">
            <a:extLst>
              <a:ext uri="{FF2B5EF4-FFF2-40B4-BE49-F238E27FC236}">
                <a16:creationId xmlns:a16="http://schemas.microsoft.com/office/drawing/2014/main" id="{2D53D4A7-BCA5-4EDF-948A-0A651D4C36EF}"/>
              </a:ext>
            </a:extLst>
          </xdr:cNvPr>
          <xdr:cNvSpPr/>
        </xdr:nvSpPr>
        <xdr:spPr>
          <a:xfrm>
            <a:off x="12416116" y="15374471"/>
            <a:ext cx="5815854" cy="3776381"/>
          </a:xfrm>
          <a:prstGeom prst="rect">
            <a:avLst/>
          </a:prstGeom>
          <a:solidFill>
            <a:schemeClr val="bg1">
              <a:lumMod val="95000"/>
            </a:schemeClr>
          </a:solidFill>
          <a:ln w="762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pic>
        <xdr:nvPicPr>
          <xdr:cNvPr id="6" name="Grafik 5" descr="Informationen">
            <a:extLst>
              <a:ext uri="{FF2B5EF4-FFF2-40B4-BE49-F238E27FC236}">
                <a16:creationId xmlns:a16="http://schemas.microsoft.com/office/drawing/2014/main" id="{6F08B352-717E-4997-B4C6-1E1DA59E91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2497761" y="15412891"/>
            <a:ext cx="914400" cy="911999"/>
          </a:xfrm>
          <a:prstGeom prst="rect">
            <a:avLst/>
          </a:prstGeom>
        </xdr:spPr>
      </xdr:pic>
      <xdr:sp macro="" textlink="">
        <xdr:nvSpPr>
          <xdr:cNvPr id="7" name="Textfeld 6">
            <a:extLst>
              <a:ext uri="{FF2B5EF4-FFF2-40B4-BE49-F238E27FC236}">
                <a16:creationId xmlns:a16="http://schemas.microsoft.com/office/drawing/2014/main" id="{AACCE3FD-7152-4015-9E27-ABD389C38172}"/>
              </a:ext>
            </a:extLst>
          </xdr:cNvPr>
          <xdr:cNvSpPr txBox="1"/>
        </xdr:nvSpPr>
        <xdr:spPr>
          <a:xfrm>
            <a:off x="13436654" y="15562569"/>
            <a:ext cx="4786512" cy="34514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1100"/>
              <a:t>Die Excel-Datei</a:t>
            </a:r>
            <a:r>
              <a:rPr lang="de-DE" sz="1100" baseline="0"/>
              <a:t> enthält die thermodynamische + apparatetechnische Auslegung für die </a:t>
            </a:r>
            <a:r>
              <a:rPr lang="de-DE" sz="1100" b="1" baseline="0"/>
              <a:t>Rotating Drum</a:t>
            </a:r>
            <a:r>
              <a:rPr lang="de-DE" sz="1100" baseline="0"/>
              <a:t>, sowie die thermodynamische Auslegung für den </a:t>
            </a:r>
            <a:r>
              <a:rPr lang="de-DE" sz="1100" b="1" baseline="0"/>
              <a:t>Versuchsstand</a:t>
            </a:r>
            <a:r>
              <a:rPr lang="de-DE" sz="1100" baseline="0"/>
              <a:t>. </a:t>
            </a:r>
          </a:p>
          <a:p>
            <a:endParaRPr lang="de-DE" sz="1100" baseline="0"/>
          </a:p>
          <a:p>
            <a:r>
              <a:rPr lang="de-DE" sz="1100" baseline="0"/>
              <a:t>Es werden 2 Betriebspunkte (7.9 bar u. 170 °C, sowie 2.7 bar u. 130 °C) ausgelegt. Bei Bedarf kann man weitere Betriebspunkte auslegen wenn man ein Betriebspunkt von den bereits vorhanden kopiert und an einer Stelle wieder einfügt (Achtung: Bei Excel Einfügen MIT Formeln (Nach Strg C: Rechtsklick: Einfügen mit Formeln))</a:t>
            </a:r>
          </a:p>
          <a:p>
            <a:endParaRPr lang="de-DE" sz="1100" baseline="0"/>
          </a:p>
          <a:p>
            <a:r>
              <a:rPr lang="de-DE" sz="1100" b="1" u="sng" baseline="0"/>
              <a:t>Bei thermodynamischer Auslegung: </a:t>
            </a:r>
          </a:p>
          <a:p>
            <a:r>
              <a:rPr lang="de-DE" sz="1100" baseline="0"/>
              <a:t>Die grün markierten Werte bleiben bei den anderen Betriebspunkten unverändert. Die orange markierten Werte müssen je nach Betriebspunkt angepasst werden.</a:t>
            </a:r>
          </a:p>
          <a:p>
            <a:endParaRPr lang="de-DE" sz="1100" baseline="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100" b="1" u="sng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Bei apparatetechnischer Auslegung: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100" b="0" u="none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die Werte, die grün markiert sind, bedeuten, dass die Bedingung (verfasst beim Kommentar daneben) erfüllt sind und die Berechnung fortgeführt werden kann.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100" b="0" u="none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Rot markiert bedeutet, dass die Bedingung nicht erfüllt ist.</a:t>
            </a:r>
            <a:endParaRPr lang="de-DE" b="0" u="none">
              <a:effectLst/>
            </a:endParaRPr>
          </a:p>
          <a:p>
            <a:endParaRPr lang="de-DE" sz="1100" baseline="0"/>
          </a:p>
        </xdr:txBody>
      </xdr:sp>
    </xdr:grpSp>
    <xdr:clientData/>
  </xdr:twoCellAnchor>
  <xdr:twoCellAnchor>
    <xdr:from>
      <xdr:col>23</xdr:col>
      <xdr:colOff>1309688</xdr:colOff>
      <xdr:row>70</xdr:row>
      <xdr:rowOff>166688</xdr:rowOff>
    </xdr:from>
    <xdr:to>
      <xdr:col>26</xdr:col>
      <xdr:colOff>1736913</xdr:colOff>
      <xdr:row>90</xdr:row>
      <xdr:rowOff>110657</xdr:rowOff>
    </xdr:to>
    <xdr:grpSp>
      <xdr:nvGrpSpPr>
        <xdr:cNvPr id="11" name="Gruppieren 10">
          <a:extLst>
            <a:ext uri="{FF2B5EF4-FFF2-40B4-BE49-F238E27FC236}">
              <a16:creationId xmlns:a16="http://schemas.microsoft.com/office/drawing/2014/main" id="{84B87A51-F7D3-4272-8C2D-4D46F656CA9E}"/>
            </a:ext>
          </a:extLst>
        </xdr:cNvPr>
        <xdr:cNvGrpSpPr/>
      </xdr:nvGrpSpPr>
      <xdr:grpSpPr>
        <a:xfrm>
          <a:off x="34399538" y="13977938"/>
          <a:ext cx="5818375" cy="3763494"/>
          <a:chOff x="12416116" y="15374471"/>
          <a:chExt cx="5815854" cy="3776381"/>
        </a:xfrm>
      </xdr:grpSpPr>
      <xdr:sp macro="" textlink="">
        <xdr:nvSpPr>
          <xdr:cNvPr id="12" name="Rechteck 11">
            <a:extLst>
              <a:ext uri="{FF2B5EF4-FFF2-40B4-BE49-F238E27FC236}">
                <a16:creationId xmlns:a16="http://schemas.microsoft.com/office/drawing/2014/main" id="{C16D7216-3011-42E6-A0F4-6DB621CDF5A0}"/>
              </a:ext>
            </a:extLst>
          </xdr:cNvPr>
          <xdr:cNvSpPr/>
        </xdr:nvSpPr>
        <xdr:spPr>
          <a:xfrm>
            <a:off x="12416116" y="15374471"/>
            <a:ext cx="5815854" cy="3776381"/>
          </a:xfrm>
          <a:prstGeom prst="rect">
            <a:avLst/>
          </a:prstGeom>
          <a:solidFill>
            <a:schemeClr val="bg1">
              <a:lumMod val="95000"/>
            </a:schemeClr>
          </a:solidFill>
          <a:ln w="762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pic>
        <xdr:nvPicPr>
          <xdr:cNvPr id="13" name="Grafik 12" descr="Informationen">
            <a:extLst>
              <a:ext uri="{FF2B5EF4-FFF2-40B4-BE49-F238E27FC236}">
                <a16:creationId xmlns:a16="http://schemas.microsoft.com/office/drawing/2014/main" id="{32C0D05D-C5C1-4A2D-ACB7-CCD7E5CE76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2497761" y="15412891"/>
            <a:ext cx="914400" cy="911999"/>
          </a:xfrm>
          <a:prstGeom prst="rect">
            <a:avLst/>
          </a:prstGeom>
        </xdr:spPr>
      </xdr:pic>
      <xdr:sp macro="" textlink="">
        <xdr:nvSpPr>
          <xdr:cNvPr id="14" name="Textfeld 13">
            <a:extLst>
              <a:ext uri="{FF2B5EF4-FFF2-40B4-BE49-F238E27FC236}">
                <a16:creationId xmlns:a16="http://schemas.microsoft.com/office/drawing/2014/main" id="{1D71DFC4-B352-4F12-B4D2-E73E521B9505}"/>
              </a:ext>
            </a:extLst>
          </xdr:cNvPr>
          <xdr:cNvSpPr txBox="1"/>
        </xdr:nvSpPr>
        <xdr:spPr>
          <a:xfrm>
            <a:off x="13436654" y="15562569"/>
            <a:ext cx="4786512" cy="34514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1100"/>
              <a:t>Die Excel-Datei</a:t>
            </a:r>
            <a:r>
              <a:rPr lang="de-DE" sz="1100" baseline="0"/>
              <a:t> enthält die thermodynamische + apparatetechnische Auslegung für die Rotating Drum, sowie die thermodynamische Auslegung für den Versuchsstand. </a:t>
            </a:r>
          </a:p>
          <a:p>
            <a:endParaRPr lang="de-DE" sz="1100" baseline="0"/>
          </a:p>
          <a:p>
            <a:r>
              <a:rPr lang="de-DE" sz="1100" baseline="0"/>
              <a:t>Es wurden 2 Betriebspunkte (7.9 bar u. 170 °C, sowie 2.7 bar u. 130 °C) ausgelegt. Bei Bedarf kann man weitere Betriebspunkte auslegen wenn man ein Betriebspunkt von den bereits vorhanden kopiert und an einer Stelle wieder einfügt (Achtung: Bei Excel Einfügen MIT Formeln (Rechtsklick: EInfügen mit Formeln))</a:t>
            </a:r>
          </a:p>
          <a:p>
            <a:endParaRPr lang="de-DE" sz="1100" baseline="0"/>
          </a:p>
          <a:p>
            <a:r>
              <a:rPr lang="de-DE" sz="1100" b="1" u="sng" baseline="0"/>
              <a:t>Bei thermodynamischer Auslegung: </a:t>
            </a:r>
          </a:p>
          <a:p>
            <a:r>
              <a:rPr lang="de-DE" sz="1100" baseline="0"/>
              <a:t>Die grün markierten Werte bleiben bei den anderen Betriebspunkten unverändert. Die orange markierten Werte müssen je nach Betriebspunkt angepasst werden.</a:t>
            </a:r>
          </a:p>
          <a:p>
            <a:endParaRPr lang="de-DE" sz="1100" baseline="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100" b="1" u="sng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Bei apparatetechnischer Auslegung: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100" b="0" u="none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die Werte, die grün markiert sind, bedeuten, dass die Bedingung (verfasst beim Kommentar daneben) erfüllt sind und die Berechnung fortgeührt werden kann.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100" b="0" u="none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Rot markiert bedeutet, dass die Bedingung nicht erfüllt ist.</a:t>
            </a:r>
            <a:endParaRPr lang="de-DE" b="0" u="none">
              <a:effectLst/>
            </a:endParaRPr>
          </a:p>
          <a:p>
            <a:endParaRPr lang="de-DE" sz="1100" baseline="0"/>
          </a:p>
        </xdr:txBody>
      </xdr:sp>
    </xdr:grpSp>
    <xdr:clientData/>
  </xdr:twoCellAnchor>
  <xdr:twoCellAnchor>
    <xdr:from>
      <xdr:col>31</xdr:col>
      <xdr:colOff>404812</xdr:colOff>
      <xdr:row>3</xdr:row>
      <xdr:rowOff>23812</xdr:rowOff>
    </xdr:from>
    <xdr:to>
      <xdr:col>39</xdr:col>
      <xdr:colOff>2857500</xdr:colOff>
      <xdr:row>49</xdr:row>
      <xdr:rowOff>23813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49557692-9107-4662-AAA8-29FEC0544B72}"/>
            </a:ext>
          </a:extLst>
        </xdr:cNvPr>
        <xdr:cNvSpPr/>
      </xdr:nvSpPr>
      <xdr:spPr>
        <a:xfrm>
          <a:off x="46362937" y="785812"/>
          <a:ext cx="13596938" cy="8763001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600"/>
            <a:t>leerer Platz für weitere Auslegungen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299837</xdr:colOff>
      <xdr:row>1</xdr:row>
      <xdr:rowOff>44342</xdr:rowOff>
    </xdr:from>
    <xdr:to>
      <xdr:col>18</xdr:col>
      <xdr:colOff>452237</xdr:colOff>
      <xdr:row>30</xdr:row>
      <xdr:rowOff>39797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50373" y="425342"/>
          <a:ext cx="5486400" cy="551995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497862</xdr:colOff>
      <xdr:row>16</xdr:row>
      <xdr:rowOff>79242</xdr:rowOff>
    </xdr:from>
    <xdr:to>
      <xdr:col>10</xdr:col>
      <xdr:colOff>548761</xdr:colOff>
      <xdr:row>37</xdr:row>
      <xdr:rowOff>136958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55612" y="3317742"/>
          <a:ext cx="6827256" cy="40582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291353</xdr:colOff>
      <xdr:row>25</xdr:row>
      <xdr:rowOff>78441</xdr:rowOff>
    </xdr:from>
    <xdr:to>
      <xdr:col>24</xdr:col>
      <xdr:colOff>419238</xdr:colOff>
      <xdr:row>53</xdr:row>
      <xdr:rowOff>96558</xdr:rowOff>
    </xdr:to>
    <xdr:grpSp>
      <xdr:nvGrpSpPr>
        <xdr:cNvPr id="25" name="Gruppieren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GrpSpPr/>
      </xdr:nvGrpSpPr>
      <xdr:grpSpPr>
        <a:xfrm>
          <a:off x="9870782" y="4840941"/>
          <a:ext cx="13843885" cy="5352117"/>
          <a:chOff x="25470970" y="168088"/>
          <a:chExt cx="13843885" cy="5363323"/>
        </a:xfrm>
      </xdr:grpSpPr>
      <xdr:pic>
        <xdr:nvPicPr>
          <xdr:cNvPr id="22" name="Grafik 21">
            <a:extLst>
              <a:ext uri="{FF2B5EF4-FFF2-40B4-BE49-F238E27FC236}">
                <a16:creationId xmlns:a16="http://schemas.microsoft.com/office/drawing/2014/main" id="{00000000-0008-0000-0A00-00001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5470970" y="168088"/>
            <a:ext cx="13213019" cy="5363323"/>
          </a:xfrm>
          <a:prstGeom prst="rect">
            <a:avLst/>
          </a:prstGeom>
          <a:ln w="76200">
            <a:solidFill>
              <a:srgbClr val="FF0000"/>
            </a:solidFill>
          </a:ln>
        </xdr:spPr>
      </xdr:pic>
      <xdr:pic>
        <xdr:nvPicPr>
          <xdr:cNvPr id="24" name="Grafik 23">
            <a:extLst>
              <a:ext uri="{FF2B5EF4-FFF2-40B4-BE49-F238E27FC236}">
                <a16:creationId xmlns:a16="http://schemas.microsoft.com/office/drawing/2014/main" id="{00000000-0008-0000-0A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8324117" y="1277471"/>
            <a:ext cx="990738" cy="1991003"/>
          </a:xfrm>
          <a:prstGeom prst="rect">
            <a:avLst/>
          </a:prstGeom>
          <a:ln w="76200">
            <a:solidFill>
              <a:srgbClr val="FF0000"/>
            </a:solidFill>
          </a:ln>
        </xdr:spPr>
      </xdr:pic>
    </xdr:grpSp>
    <xdr:clientData/>
  </xdr:twoCellAnchor>
  <xdr:twoCellAnchor>
    <xdr:from>
      <xdr:col>5</xdr:col>
      <xdr:colOff>357054</xdr:colOff>
      <xdr:row>1</xdr:row>
      <xdr:rowOff>65966</xdr:rowOff>
    </xdr:from>
    <xdr:to>
      <xdr:col>12</xdr:col>
      <xdr:colOff>676422</xdr:colOff>
      <xdr:row>21</xdr:row>
      <xdr:rowOff>8819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259772</xdr:colOff>
      <xdr:row>55</xdr:row>
      <xdr:rowOff>17318</xdr:rowOff>
    </xdr:from>
    <xdr:to>
      <xdr:col>25</xdr:col>
      <xdr:colOff>41760</xdr:colOff>
      <xdr:row>83</xdr:row>
      <xdr:rowOff>46641</xdr:rowOff>
    </xdr:to>
    <xdr:grpSp>
      <xdr:nvGrpSpPr>
        <xdr:cNvPr id="28" name="Gruppieren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GrpSpPr/>
      </xdr:nvGrpSpPr>
      <xdr:grpSpPr>
        <a:xfrm>
          <a:off x="9839201" y="10494818"/>
          <a:ext cx="14259988" cy="5363323"/>
          <a:chOff x="26237045" y="10512136"/>
          <a:chExt cx="14259988" cy="5363323"/>
        </a:xfrm>
      </xdr:grpSpPr>
      <xdr:pic>
        <xdr:nvPicPr>
          <xdr:cNvPr id="23" name="Grafik 22">
            <a:extLst>
              <a:ext uri="{FF2B5EF4-FFF2-40B4-BE49-F238E27FC236}">
                <a16:creationId xmlns:a16="http://schemas.microsoft.com/office/drawing/2014/main" id="{00000000-0008-0000-0A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6237045" y="10512136"/>
            <a:ext cx="13213019" cy="5363323"/>
          </a:xfrm>
          <a:prstGeom prst="rect">
            <a:avLst/>
          </a:prstGeom>
          <a:ln w="76200">
            <a:solidFill>
              <a:srgbClr val="0070C0"/>
            </a:solidFill>
          </a:ln>
        </xdr:spPr>
      </xdr:pic>
      <xdr:pic>
        <xdr:nvPicPr>
          <xdr:cNvPr id="26" name="Grafik 25">
            <a:extLst>
              <a:ext uri="{FF2B5EF4-FFF2-40B4-BE49-F238E27FC236}">
                <a16:creationId xmlns:a16="http://schemas.microsoft.com/office/drawing/2014/main" id="{00000000-0008-0000-0A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9087136" y="11637818"/>
            <a:ext cx="1409897" cy="1924319"/>
          </a:xfrm>
          <a:prstGeom prst="rect">
            <a:avLst/>
          </a:prstGeom>
          <a:ln w="76200">
            <a:solidFill>
              <a:srgbClr val="0070C0"/>
            </a:solidFill>
          </a:ln>
        </xdr:spPr>
      </xdr:pic>
    </xdr:grpSp>
    <xdr:clientData/>
  </xdr:twoCellAnchor>
  <xdr:twoCellAnchor>
    <xdr:from>
      <xdr:col>12</xdr:col>
      <xdr:colOff>728869</xdr:colOff>
      <xdr:row>1</xdr:row>
      <xdr:rowOff>74544</xdr:rowOff>
    </xdr:from>
    <xdr:to>
      <xdr:col>20</xdr:col>
      <xdr:colOff>286237</xdr:colOff>
      <xdr:row>21</xdr:row>
      <xdr:rowOff>17397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47625</xdr:rowOff>
    </xdr:from>
    <xdr:to>
      <xdr:col>11</xdr:col>
      <xdr:colOff>612553</xdr:colOff>
      <xdr:row>26</xdr:row>
      <xdr:rowOff>186170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238125"/>
          <a:ext cx="8927878" cy="4901045"/>
        </a:xfrm>
        <a:prstGeom prst="rect">
          <a:avLst/>
        </a:prstGeom>
      </xdr:spPr>
    </xdr:pic>
    <xdr:clientData/>
  </xdr:twoCellAnchor>
  <xdr:twoCellAnchor editAs="oneCell">
    <xdr:from>
      <xdr:col>0</xdr:col>
      <xdr:colOff>604157</xdr:colOff>
      <xdr:row>75</xdr:row>
      <xdr:rowOff>55790</xdr:rowOff>
    </xdr:from>
    <xdr:to>
      <xdr:col>7</xdr:col>
      <xdr:colOff>176217</xdr:colOff>
      <xdr:row>91</xdr:row>
      <xdr:rowOff>103847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4157" y="14343290"/>
          <a:ext cx="4906060" cy="3096057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31</xdr:row>
      <xdr:rowOff>81643</xdr:rowOff>
    </xdr:from>
    <xdr:to>
      <xdr:col>21</xdr:col>
      <xdr:colOff>140995</xdr:colOff>
      <xdr:row>71</xdr:row>
      <xdr:rowOff>16022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5987143"/>
          <a:ext cx="15775602" cy="755437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24CE51-FB0C-478E-9C70-72BBF5488F78}" name="Tabelle5" displayName="Tabelle5" ref="C2:G194" totalsRowShown="0" dataDxfId="67">
  <autoFilter ref="C2:G194" xr:uid="{6424CE51-FB0C-478E-9C70-72BBF5488F78}"/>
  <tableColumns count="5">
    <tableColumn id="1" xr3:uid="{9C61DB90-AEF0-4007-9ABF-22FF7A06A7F0}" name="Parameter" dataDxfId="66"/>
    <tableColumn id="5" xr3:uid="{424DAA9F-94D3-4D0A-8B25-2532C355CA1D}" name="Formelzeichen" dataDxfId="65"/>
    <tableColumn id="4" xr3:uid="{2C607558-8277-4C3B-8ED6-C25633731AE4}" name="Einheit" dataDxfId="64"/>
    <tableColumn id="2" xr3:uid="{E0CBC09D-8EC8-4828-8300-F47AB2DBC16B}" name="Wert" dataDxfId="63"/>
    <tableColumn id="3" xr3:uid="{80D74E9C-BBDB-4CB5-9121-0056C78B0C10}" name="Kommenta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ECDF5C2-48CC-42EC-B55D-91D3A96A9611}" name="Tabelle4168" displayName="Tabelle4168" ref="J2:M68" totalsRowShown="0" headerRowDxfId="62">
  <autoFilter ref="J2:M68" xr:uid="{DECDF5C2-48CC-42EC-B55D-91D3A96A9611}"/>
  <tableColumns count="4">
    <tableColumn id="1" xr3:uid="{43865ABF-132D-4074-BAD3-F2BEEB949A6A}" name="Parameter" dataDxfId="61"/>
    <tableColumn id="4" xr3:uid="{EC8D2807-0372-4C38-BE23-8A470CF434A8}" name="Einheit" dataDxfId="60"/>
    <tableColumn id="2" xr3:uid="{85A3ACA0-2E95-4635-9685-BA7225D6491D}" name="Wert" dataDxfId="59"/>
    <tableColumn id="3" xr3:uid="{9B7595B2-A6AF-41CC-A78F-147872FEA046}" name="Kommentar" dataDxfId="5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8A0F3F-25AB-4AB3-ADE6-B799B5A19A6E}" name="Tabelle55" displayName="Tabelle55" ref="Q2:U194" totalsRowShown="0" dataDxfId="4">
  <autoFilter ref="Q2:U194" xr:uid="{81693B8A-870C-4E87-A91B-322755D611F6}"/>
  <tableColumns count="5">
    <tableColumn id="1" xr3:uid="{3D905523-CDC6-4433-B898-55F632F0685C}" name="Parameter" dataDxfId="3"/>
    <tableColumn id="5" xr3:uid="{B2F4BC87-80DF-4867-BBC5-8BE96F7BBE98}" name="Formelzeichen" dataDxfId="2"/>
    <tableColumn id="4" xr3:uid="{643146FE-20CA-4C8D-91C0-515FDA4AFCB6}" name="Einheit" dataDxfId="1"/>
    <tableColumn id="2" xr3:uid="{600F2BC5-4617-4CD9-9687-436E7789847A}" name="Wert" dataDxfId="0"/>
    <tableColumn id="3" xr3:uid="{7C7C6F75-0EAF-4F77-A472-9849B17F9A58}" name="Kommentar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C50CD91-84CB-4FD1-859D-01960B13802C}" name="Tabelle416810" displayName="Tabelle416810" ref="X2:AA68" totalsRowShown="0" headerRowDxfId="57">
  <autoFilter ref="X2:AA68" xr:uid="{6738F413-A1A3-493A-9357-FE84255E14F4}"/>
  <tableColumns count="4">
    <tableColumn id="1" xr3:uid="{9D6A3A24-B0BA-4ED0-A8FE-239B9CF98496}" name="Parameter" dataDxfId="56"/>
    <tableColumn id="4" xr3:uid="{99A76E32-9818-42AC-A6E5-A706A52F5D1B}" name="Einheit" dataDxfId="55"/>
    <tableColumn id="2" xr3:uid="{C2FDD267-5DB5-4292-B36A-BB04FEF5EC94}" name="Wert" dataDxfId="54"/>
    <tableColumn id="3" xr3:uid="{2C5890BC-A85E-4922-9DE2-0ADC1050293A}" name="Kommentar" dataDxfId="53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F1DA0D8-6F4F-4F73-96C9-B4770F5EC584}" name="Tabelle12" displayName="Tabelle12" ref="A3:D15" totalsRowShown="0">
  <autoFilter ref="A3:D15" xr:uid="{0DE08868-58DB-485D-93CE-EF2CB4778653}"/>
  <tableColumns count="4">
    <tableColumn id="1" xr3:uid="{30CC202C-9448-4B80-84CE-CE2A8FDE9230}" name="Eigenschaft"/>
    <tableColumn id="2" xr3:uid="{E3EFF2B0-2F39-4C61-AF0C-868866ACC8E6}" name="Wert"/>
    <tableColumn id="3" xr3:uid="{75AD887F-EC19-408A-8B35-FBED90C07A43}" name="Einheit"/>
    <tableColumn id="4" xr3:uid="{B8D571D9-00A9-4DD4-9F56-4DBB5FE48250}" name="Notiz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5A7314F-EE16-4EA7-9E23-0278470B1996}" name="Tabelle1214" displayName="Tabelle1214" ref="A18:D30" totalsRowShown="0">
  <autoFilter ref="A18:D30" xr:uid="{6FBE3864-1B26-4212-AC45-5959965D4E22}"/>
  <tableColumns count="4">
    <tableColumn id="1" xr3:uid="{D5A5DDA9-5677-45EB-ACE8-A9CB297EBC22}" name="Eigenschaft"/>
    <tableColumn id="2" xr3:uid="{092DD282-F06E-463A-8845-383874124AE1}" name="Wert" dataDxfId="52"/>
    <tableColumn id="3" xr3:uid="{478ECE2E-299E-40F5-ACFA-860B7D44F375}" name="Einheit"/>
    <tableColumn id="4" xr3:uid="{64005D4A-2662-4DE1-96BC-5CBFFC3BB3A3}" name="Notiz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3F1C96B-EA7A-49AA-ACDB-894959E57360}" name="Tabelle1215" displayName="Tabelle1215" ref="A33:D45" totalsRowShown="0">
  <autoFilter ref="A33:D45" xr:uid="{2F3EBFEE-E5E8-4221-8191-A8930E358924}"/>
  <tableColumns count="4">
    <tableColumn id="1" xr3:uid="{D45FA4E2-0AB7-4034-A87C-13FA2CA8C1B7}" name="Eigenschaft"/>
    <tableColumn id="2" xr3:uid="{94AA8371-0A0D-4E87-AC56-A2E53FC37F81}" name="Wert" dataDxfId="51"/>
    <tableColumn id="3" xr3:uid="{66E05EC2-CDB2-4D37-BA62-9CAA3927C39D}" name="Einheit"/>
    <tableColumn id="4" xr3:uid="{F9CF5541-A6A9-4819-BFCA-0D1BFBCB7868}" name="Notiz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EB0775-5186-48B4-B265-0B186BFD3148}" name="Tabelle6" displayName="Tabelle6" ref="B2:E11" totalsRowShown="0" headerRowDxfId="50" headerRowBorderDxfId="49" tableBorderDxfId="48" totalsRowBorderDxfId="47">
  <autoFilter ref="B2:E11" xr:uid="{1589E103-89E2-4B1F-AB97-626C1D55556E}"/>
  <tableColumns count="4">
    <tableColumn id="1" xr3:uid="{FE867F12-7137-4F23-B53B-B6C709396FF6}" name="Verdampfungsenthalpie 7,9 bar [kJ/kg]" dataDxfId="46"/>
    <tableColumn id="2" xr3:uid="{F5FFD2CD-7D19-484C-BB0D-0372E0F539FC}" name="Leistung [kW]" dataDxfId="45"/>
    <tableColumn id="3" xr3:uid="{3A25119B-3C46-4668-89DF-4FCDDBB1EF0E}" name="Massenstrom [kg/s]" dataDxfId="44">
      <calculatedColumnFormula>C3/$B$3</calculatedColumnFormula>
    </tableColumn>
    <tableColumn id="4" xr3:uid="{EB747254-9F58-48A3-8400-E03C204A49D9}" name="Umdrehungen [U/min]" dataDxfId="43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0C4E710-BAA0-4235-8FEB-6625E7ED7E6B}" name="Tabelle10" displayName="Tabelle10" ref="B14:E23" totalsRowShown="0" headerRowDxfId="42" headerRowBorderDxfId="41" tableBorderDxfId="40" totalsRowBorderDxfId="39">
  <autoFilter ref="B14:E23" xr:uid="{AC8C86BF-B733-432D-917C-1C3E02DAF5A3}"/>
  <tableColumns count="4">
    <tableColumn id="1" xr3:uid="{F3B9E045-4B75-4D03-A968-5E3F53C971D6}" name="Verdampfungsenthalpie 2,7 bar [kJ/kg]" dataDxfId="38"/>
    <tableColumn id="2" xr3:uid="{EB0DF78D-70D1-47C2-9ECF-9BD1CA05281C}" name="Leistung [kW]" dataDxfId="37"/>
    <tableColumn id="3" xr3:uid="{FF8F6E55-976F-40B2-94B6-C37AC63E4D0D}" name="Massenstrom [kg/s]" dataDxfId="36">
      <calculatedColumnFormula>C15/$B$15</calculatedColumnFormula>
    </tableColumn>
    <tableColumn id="4" xr3:uid="{DB0BC7D7-2481-4BFB-B86C-79696F88FE33}" name="Umdrehungen [U/min]" dataDxfId="3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peacesoftware.de/einigewerte/wasser_dampf.html" TargetMode="External"/><Relationship Id="rId18" Type="http://schemas.openxmlformats.org/officeDocument/2006/relationships/hyperlink" Target="http://www.peacesoftware.de/einigewerte/wasser_dampf.html" TargetMode="External"/><Relationship Id="rId26" Type="http://schemas.openxmlformats.org/officeDocument/2006/relationships/hyperlink" Target="https://www.internetchemie.info/chemie-lexikon/daten/w/wasser-dampfdruck.php" TargetMode="External"/><Relationship Id="rId39" Type="http://schemas.openxmlformats.org/officeDocument/2006/relationships/hyperlink" Target="http://www.peacesoftware.de/einigewerte/wasser_dampf.html" TargetMode="External"/><Relationship Id="rId21" Type="http://schemas.openxmlformats.org/officeDocument/2006/relationships/hyperlink" Target="http://www.peacesoftware.de/einigewerte/wasser_dampf.html" TargetMode="External"/><Relationship Id="rId34" Type="http://schemas.openxmlformats.org/officeDocument/2006/relationships/hyperlink" Target="http://www.peacesoftware.de/einigewerte/wasser_dampf.html" TargetMode="External"/><Relationship Id="rId42" Type="http://schemas.openxmlformats.org/officeDocument/2006/relationships/hyperlink" Target="http://www.peacesoftware.de/einigewerte/wasser_dampf.html" TargetMode="External"/><Relationship Id="rId47" Type="http://schemas.openxmlformats.org/officeDocument/2006/relationships/hyperlink" Target="http://www.peacesoftware.de/einigewerte/wasser_dampf.html" TargetMode="External"/><Relationship Id="rId50" Type="http://schemas.openxmlformats.org/officeDocument/2006/relationships/hyperlink" Target="http://www.peacesoftware.de/einigewerte/wasser_dampf.html" TargetMode="External"/><Relationship Id="rId55" Type="http://schemas.openxmlformats.org/officeDocument/2006/relationships/hyperlink" Target="http://www.peacesoftware.de/einigewerte/wasser_dampf.html" TargetMode="External"/><Relationship Id="rId63" Type="http://schemas.openxmlformats.org/officeDocument/2006/relationships/table" Target="../tables/table2.xml"/><Relationship Id="rId7" Type="http://schemas.openxmlformats.org/officeDocument/2006/relationships/hyperlink" Target="http://www.peacesoftware.de/einigewerte/wasser_dampf.html" TargetMode="External"/><Relationship Id="rId2" Type="http://schemas.openxmlformats.org/officeDocument/2006/relationships/hyperlink" Target="https://www.internetchemie.info/chemie-lexikon/daten/w/wasser-dampfdruck.php" TargetMode="External"/><Relationship Id="rId16" Type="http://schemas.openxmlformats.org/officeDocument/2006/relationships/hyperlink" Target="http://www.peacesoftware.de/einigewerte/wasser_dampf.html" TargetMode="External"/><Relationship Id="rId20" Type="http://schemas.openxmlformats.org/officeDocument/2006/relationships/hyperlink" Target="http://www.peacesoftware.de/einigewerte/wasser_dampf.html" TargetMode="External"/><Relationship Id="rId29" Type="http://schemas.openxmlformats.org/officeDocument/2006/relationships/hyperlink" Target="https://www.internetchemie.info/chemie-lexikon/daten/w/wasser-dampfdruck.php" TargetMode="External"/><Relationship Id="rId41" Type="http://schemas.openxmlformats.org/officeDocument/2006/relationships/hyperlink" Target="http://www.peacesoftware.de/einigewerte/wasser_dampf.html" TargetMode="External"/><Relationship Id="rId54" Type="http://schemas.openxmlformats.org/officeDocument/2006/relationships/hyperlink" Target="http://www.peacesoftware.de/einigewerte/wasser_dampf.html" TargetMode="External"/><Relationship Id="rId62" Type="http://schemas.openxmlformats.org/officeDocument/2006/relationships/table" Target="../tables/table1.xml"/><Relationship Id="rId1" Type="http://schemas.openxmlformats.org/officeDocument/2006/relationships/hyperlink" Target="https://www.internetchemie.info/chemie-lexikon/daten/w/wasser-dampfdruck.php" TargetMode="External"/><Relationship Id="rId6" Type="http://schemas.openxmlformats.org/officeDocument/2006/relationships/hyperlink" Target="http://www.peacesoftware.de/einigewerte/wasser_dampf.html" TargetMode="External"/><Relationship Id="rId11" Type="http://schemas.openxmlformats.org/officeDocument/2006/relationships/hyperlink" Target="http://www.peacesoftware.de/einigewerte/wasser_dampf.html" TargetMode="External"/><Relationship Id="rId24" Type="http://schemas.openxmlformats.org/officeDocument/2006/relationships/hyperlink" Target="http://www.peacesoftware.de/einigewerte/wasser_dampf.html" TargetMode="External"/><Relationship Id="rId32" Type="http://schemas.openxmlformats.org/officeDocument/2006/relationships/hyperlink" Target="http://www.peacesoftware.de/einigewerte/wasser_dampf.html" TargetMode="External"/><Relationship Id="rId37" Type="http://schemas.openxmlformats.org/officeDocument/2006/relationships/hyperlink" Target="http://www.peacesoftware.de/einigewerte/wasser_dampf.html" TargetMode="External"/><Relationship Id="rId40" Type="http://schemas.openxmlformats.org/officeDocument/2006/relationships/hyperlink" Target="http://www.peacesoftware.de/einigewerte/wasser_dampf.html" TargetMode="External"/><Relationship Id="rId45" Type="http://schemas.openxmlformats.org/officeDocument/2006/relationships/hyperlink" Target="http://www.peacesoftware.de/einigewerte/wasser_dampf.html" TargetMode="External"/><Relationship Id="rId53" Type="http://schemas.openxmlformats.org/officeDocument/2006/relationships/hyperlink" Target="http://www.peacesoftware.de/einigewerte/wasser_dampf.html" TargetMode="External"/><Relationship Id="rId58" Type="http://schemas.openxmlformats.org/officeDocument/2006/relationships/hyperlink" Target="http://www.peacesoftware.de/einigewerte/wasser_dampf.html" TargetMode="External"/><Relationship Id="rId5" Type="http://schemas.openxmlformats.org/officeDocument/2006/relationships/hyperlink" Target="http://www.peacesoftware.de/einigewerte/wasser_dampf.html" TargetMode="External"/><Relationship Id="rId15" Type="http://schemas.openxmlformats.org/officeDocument/2006/relationships/hyperlink" Target="http://www.peacesoftware.de/einigewerte/wasser_dampf.html" TargetMode="External"/><Relationship Id="rId23" Type="http://schemas.openxmlformats.org/officeDocument/2006/relationships/hyperlink" Target="http://www.peacesoftware.de/einigewerte/wasser_dampf.html" TargetMode="External"/><Relationship Id="rId28" Type="http://schemas.openxmlformats.org/officeDocument/2006/relationships/hyperlink" Target="https://www.internetchemie.info/chemie-lexikon/daten/w/wasser-dampfdruck.php" TargetMode="External"/><Relationship Id="rId36" Type="http://schemas.openxmlformats.org/officeDocument/2006/relationships/hyperlink" Target="http://www.peacesoftware.de/einigewerte/wasser_dampf.html" TargetMode="External"/><Relationship Id="rId49" Type="http://schemas.openxmlformats.org/officeDocument/2006/relationships/hyperlink" Target="http://www.peacesoftware.de/einigewerte/wasser_dampf.html" TargetMode="External"/><Relationship Id="rId57" Type="http://schemas.openxmlformats.org/officeDocument/2006/relationships/hyperlink" Target="http://www.peacesoftware.de/einigewerte/wasser_dampf.html" TargetMode="External"/><Relationship Id="rId61" Type="http://schemas.openxmlformats.org/officeDocument/2006/relationships/drawing" Target="../drawings/drawing1.xml"/><Relationship Id="rId10" Type="http://schemas.openxmlformats.org/officeDocument/2006/relationships/hyperlink" Target="http://www.peacesoftware.de/einigewerte/wasser_dampf.html" TargetMode="External"/><Relationship Id="rId19" Type="http://schemas.openxmlformats.org/officeDocument/2006/relationships/hyperlink" Target="http://www.peacesoftware.de/einigewerte/wasser_dampf.html" TargetMode="External"/><Relationship Id="rId31" Type="http://schemas.openxmlformats.org/officeDocument/2006/relationships/hyperlink" Target="http://www.peacesoftware.de/einigewerte/wasser_dampf.html" TargetMode="External"/><Relationship Id="rId44" Type="http://schemas.openxmlformats.org/officeDocument/2006/relationships/hyperlink" Target="http://www.peacesoftware.de/einigewerte/wasser_dampf.html" TargetMode="External"/><Relationship Id="rId52" Type="http://schemas.openxmlformats.org/officeDocument/2006/relationships/hyperlink" Target="http://www.peacesoftware.de/einigewerte/wasser_dampf.html" TargetMode="External"/><Relationship Id="rId60" Type="http://schemas.openxmlformats.org/officeDocument/2006/relationships/printerSettings" Target="../printerSettings/printerSettings1.bin"/><Relationship Id="rId65" Type="http://schemas.openxmlformats.org/officeDocument/2006/relationships/table" Target="../tables/table4.xml"/><Relationship Id="rId4" Type="http://schemas.openxmlformats.org/officeDocument/2006/relationships/hyperlink" Target="http://www.peacesoftware.de/einigewerte/wasser_dampf.html" TargetMode="External"/><Relationship Id="rId9" Type="http://schemas.openxmlformats.org/officeDocument/2006/relationships/hyperlink" Target="http://www.peacesoftware.de/einigewerte/wasser_dampf.html" TargetMode="External"/><Relationship Id="rId14" Type="http://schemas.openxmlformats.org/officeDocument/2006/relationships/hyperlink" Target="http://www.peacesoftware.de/einigewerte/wasser_dampf.html" TargetMode="External"/><Relationship Id="rId22" Type="http://schemas.openxmlformats.org/officeDocument/2006/relationships/hyperlink" Target="http://www.peacesoftware.de/einigewerte/wasser_dampf.html" TargetMode="External"/><Relationship Id="rId27" Type="http://schemas.openxmlformats.org/officeDocument/2006/relationships/hyperlink" Target="https://www.internetchemie.info/chemie-lexikon/daten/w/wasser-dampfdruck.php" TargetMode="External"/><Relationship Id="rId30" Type="http://schemas.openxmlformats.org/officeDocument/2006/relationships/hyperlink" Target="https://www.internetchemie.info/chemie-lexikon/daten/w/wasser-dampfdruck.php" TargetMode="External"/><Relationship Id="rId35" Type="http://schemas.openxmlformats.org/officeDocument/2006/relationships/hyperlink" Target="http://www.peacesoftware.de/einigewerte/wasser_dampf.html" TargetMode="External"/><Relationship Id="rId43" Type="http://schemas.openxmlformats.org/officeDocument/2006/relationships/hyperlink" Target="http://www.peacesoftware.de/einigewerte/wasser_dampf.html" TargetMode="External"/><Relationship Id="rId48" Type="http://schemas.openxmlformats.org/officeDocument/2006/relationships/hyperlink" Target="http://www.peacesoftware.de/einigewerte/wasser_dampf.html" TargetMode="External"/><Relationship Id="rId56" Type="http://schemas.openxmlformats.org/officeDocument/2006/relationships/hyperlink" Target="http://www.peacesoftware.de/einigewerte/wasser_dampf.html" TargetMode="External"/><Relationship Id="rId64" Type="http://schemas.openxmlformats.org/officeDocument/2006/relationships/table" Target="../tables/table3.xml"/><Relationship Id="rId8" Type="http://schemas.openxmlformats.org/officeDocument/2006/relationships/hyperlink" Target="http://www.peacesoftware.de/einigewerte/wasser_dampf.html" TargetMode="External"/><Relationship Id="rId51" Type="http://schemas.openxmlformats.org/officeDocument/2006/relationships/hyperlink" Target="http://www.peacesoftware.de/einigewerte/wasser_dampf.html" TargetMode="External"/><Relationship Id="rId3" Type="http://schemas.openxmlformats.org/officeDocument/2006/relationships/hyperlink" Target="https://www.internetchemie.info/chemie-lexikon/daten/w/wasser-dampfdruck.php" TargetMode="External"/><Relationship Id="rId12" Type="http://schemas.openxmlformats.org/officeDocument/2006/relationships/hyperlink" Target="http://www.peacesoftware.de/einigewerte/wasser_dampf.html" TargetMode="External"/><Relationship Id="rId17" Type="http://schemas.openxmlformats.org/officeDocument/2006/relationships/hyperlink" Target="http://www.peacesoftware.de/einigewerte/wasser_dampf.html" TargetMode="External"/><Relationship Id="rId25" Type="http://schemas.openxmlformats.org/officeDocument/2006/relationships/hyperlink" Target="http://www.peacesoftware.de/einigewerte/wasser_dampf.html" TargetMode="External"/><Relationship Id="rId33" Type="http://schemas.openxmlformats.org/officeDocument/2006/relationships/hyperlink" Target="http://www.peacesoftware.de/einigewerte/wasser_dampf.html" TargetMode="External"/><Relationship Id="rId38" Type="http://schemas.openxmlformats.org/officeDocument/2006/relationships/hyperlink" Target="http://www.peacesoftware.de/einigewerte/wasser_dampf.html" TargetMode="External"/><Relationship Id="rId46" Type="http://schemas.openxmlformats.org/officeDocument/2006/relationships/hyperlink" Target="http://www.peacesoftware.de/einigewerte/wasser_dampf.html" TargetMode="External"/><Relationship Id="rId59" Type="http://schemas.openxmlformats.org/officeDocument/2006/relationships/hyperlink" Target="http://www.peacesoftware.de/einigewerte/wasser_dampf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vbm-fachbuch.de/media/pdf/e1/20/3d/sample-9783834333308.pdf" TargetMode="External"/><Relationship Id="rId1" Type="http://schemas.openxmlformats.org/officeDocument/2006/relationships/hyperlink" Target="https://www.afotek.de/de/dienstleistungen/elektro-und-automatisierungstechnik.html" TargetMode="Externa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DF14B-4F31-4E11-A397-07B6A73C1347}">
  <sheetPr>
    <tabColor rgb="FFFF0000"/>
  </sheetPr>
  <dimension ref="B1:BY222"/>
  <sheetViews>
    <sheetView showGridLines="0" tabSelected="1" topLeftCell="M127" zoomScaleNormal="100" workbookViewId="0">
      <selection activeCell="W134" sqref="W134"/>
    </sheetView>
  </sheetViews>
  <sheetFormatPr baseColWidth="10" defaultRowHeight="15" x14ac:dyDescent="0.25"/>
  <cols>
    <col min="1" max="1" width="1.7109375" customWidth="1"/>
    <col min="2" max="2" width="13.42578125" customWidth="1"/>
    <col min="3" max="3" width="45.140625" bestFit="1" customWidth="1"/>
    <col min="4" max="4" width="21.7109375" bestFit="1" customWidth="1"/>
    <col min="5" max="5" width="9.5703125" bestFit="1" customWidth="1"/>
    <col min="6" max="6" width="22.140625" bestFit="1" customWidth="1"/>
    <col min="7" max="7" width="55.7109375" bestFit="1" customWidth="1"/>
    <col min="8" max="8" width="2.140625" customWidth="1"/>
    <col min="9" max="9" width="7.85546875" bestFit="1" customWidth="1"/>
    <col min="10" max="10" width="44.7109375" bestFit="1" customWidth="1"/>
    <col min="11" max="11" width="17.140625" bestFit="1" customWidth="1"/>
    <col min="12" max="12" width="10.7109375" bestFit="1" customWidth="1"/>
    <col min="13" max="13" width="63.42578125" bestFit="1" customWidth="1"/>
    <col min="14" max="14" width="2" style="22" customWidth="1"/>
    <col min="15" max="15" width="2" customWidth="1"/>
    <col min="16" max="16" width="17.140625" bestFit="1" customWidth="1"/>
    <col min="17" max="17" width="40.85546875" bestFit="1" customWidth="1"/>
    <col min="18" max="18" width="23" bestFit="1" customWidth="1"/>
    <col min="19" max="19" width="14.42578125" bestFit="1" customWidth="1"/>
    <col min="20" max="20" width="12.140625" style="28" bestFit="1" customWidth="1"/>
    <col min="21" max="21" width="55.7109375" bestFit="1" customWidth="1"/>
    <col min="22" max="22" width="2.140625" customWidth="1"/>
    <col min="24" max="24" width="49.42578125" bestFit="1" customWidth="1"/>
    <col min="25" max="25" width="17.5703125" bestFit="1" customWidth="1"/>
    <col min="26" max="26" width="13.85546875" bestFit="1" customWidth="1"/>
    <col min="27" max="27" width="55.140625" bestFit="1" customWidth="1"/>
    <col min="28" max="28" width="2.42578125" customWidth="1"/>
    <col min="29" max="29" width="2.28515625" style="24" customWidth="1"/>
    <col min="31" max="31" width="41" bestFit="1" customWidth="1"/>
    <col min="32" max="32" width="21.5703125" bestFit="1" customWidth="1"/>
    <col min="33" max="33" width="12.85546875" bestFit="1" customWidth="1"/>
    <col min="34" max="34" width="10.5703125" bestFit="1" customWidth="1"/>
    <col min="35" max="35" width="43.42578125" bestFit="1" customWidth="1"/>
    <col min="36" max="36" width="1.5703125" customWidth="1"/>
    <col min="38" max="38" width="47.85546875" bestFit="1" customWidth="1"/>
    <col min="39" max="39" width="17.85546875" bestFit="1" customWidth="1"/>
    <col min="40" max="40" width="63.42578125" bestFit="1" customWidth="1"/>
    <col min="46" max="46" width="11.140625" customWidth="1"/>
    <col min="47" max="47" width="18.140625" bestFit="1" customWidth="1"/>
    <col min="48" max="48" width="6.42578125" bestFit="1" customWidth="1"/>
    <col min="49" max="49" width="10" bestFit="1" customWidth="1"/>
    <col min="50" max="50" width="8.85546875" customWidth="1"/>
    <col min="51" max="51" width="7.42578125" customWidth="1"/>
    <col min="52" max="52" width="10.5703125" customWidth="1"/>
    <col min="53" max="53" width="14" customWidth="1"/>
    <col min="54" max="54" width="14.42578125" customWidth="1"/>
    <col min="55" max="57" width="13.5703125" customWidth="1"/>
    <col min="58" max="58" width="11.85546875" customWidth="1"/>
    <col min="59" max="59" width="11.7109375" customWidth="1"/>
    <col min="60" max="60" width="11" bestFit="1" customWidth="1"/>
    <col min="61" max="61" width="11.5703125" bestFit="1" customWidth="1"/>
    <col min="62" max="62" width="1.28515625" customWidth="1"/>
    <col min="63" max="63" width="18.42578125" style="32" customWidth="1"/>
    <col min="64" max="64" width="10.7109375" style="32" customWidth="1"/>
    <col min="65" max="65" width="12.42578125" style="32" customWidth="1"/>
    <col min="66" max="66" width="18" style="32" customWidth="1"/>
    <col min="67" max="67" width="10" style="32" customWidth="1"/>
    <col min="68" max="68" width="10.85546875" style="32" customWidth="1"/>
    <col min="69" max="69" width="11.42578125" customWidth="1"/>
    <col min="70" max="70" width="9.85546875" customWidth="1"/>
    <col min="71" max="71" width="10.5703125" customWidth="1"/>
    <col min="72" max="72" width="19.85546875" customWidth="1"/>
    <col min="73" max="73" width="8.140625" customWidth="1"/>
    <col min="74" max="74" width="8.85546875" customWidth="1"/>
    <col min="75" max="75" width="9" customWidth="1"/>
    <col min="76" max="76" width="10.7109375" customWidth="1"/>
    <col min="77" max="77" width="9.85546875" customWidth="1"/>
  </cols>
  <sheetData>
    <row r="1" spans="2:72" ht="30" customHeight="1" thickBot="1" x14ac:dyDescent="0.3">
      <c r="C1" s="156" t="s">
        <v>753</v>
      </c>
      <c r="D1" s="157"/>
      <c r="E1" s="157"/>
      <c r="F1" s="157"/>
      <c r="G1" s="158"/>
      <c r="I1" s="8"/>
      <c r="J1" s="159" t="s">
        <v>754</v>
      </c>
      <c r="K1" s="160"/>
      <c r="L1" s="160"/>
      <c r="M1" s="161"/>
      <c r="Q1" s="164" t="s">
        <v>755</v>
      </c>
      <c r="R1" s="165"/>
      <c r="S1" s="165"/>
      <c r="T1" s="165"/>
      <c r="U1" s="166"/>
      <c r="X1" s="167" t="s">
        <v>756</v>
      </c>
      <c r="Y1" s="168"/>
      <c r="Z1" s="168"/>
      <c r="AA1" s="169"/>
      <c r="AE1" s="170"/>
      <c r="AF1" s="170"/>
      <c r="AG1" s="170"/>
      <c r="AH1" s="170"/>
      <c r="AI1" s="170"/>
      <c r="AL1" s="171"/>
      <c r="AM1" s="171"/>
      <c r="AN1" s="171"/>
    </row>
    <row r="2" spans="2:72" ht="15.75" thickBot="1" x14ac:dyDescent="0.3">
      <c r="C2" t="s">
        <v>749</v>
      </c>
      <c r="D2" t="s">
        <v>139</v>
      </c>
      <c r="E2" t="s">
        <v>43</v>
      </c>
      <c r="F2" t="s">
        <v>1</v>
      </c>
      <c r="G2" t="s">
        <v>3</v>
      </c>
      <c r="I2" s="8"/>
      <c r="J2" t="s">
        <v>749</v>
      </c>
      <c r="K2" t="s">
        <v>43</v>
      </c>
      <c r="L2" t="s">
        <v>1</v>
      </c>
      <c r="M2" t="s">
        <v>3</v>
      </c>
      <c r="Q2" t="s">
        <v>749</v>
      </c>
      <c r="R2" t="s">
        <v>139</v>
      </c>
      <c r="S2" t="s">
        <v>43</v>
      </c>
      <c r="T2" t="s">
        <v>1</v>
      </c>
      <c r="U2" t="s">
        <v>3</v>
      </c>
      <c r="X2" t="s">
        <v>749</v>
      </c>
      <c r="Y2" t="s">
        <v>43</v>
      </c>
      <c r="Z2" t="s">
        <v>1</v>
      </c>
      <c r="AA2" t="s">
        <v>3</v>
      </c>
      <c r="AT2" s="172" t="s">
        <v>368</v>
      </c>
      <c r="AU2" s="76" t="s">
        <v>335</v>
      </c>
      <c r="AV2" s="41"/>
      <c r="AW2" s="34">
        <v>1</v>
      </c>
      <c r="AX2" s="34">
        <v>2</v>
      </c>
      <c r="AY2" s="34">
        <v>3</v>
      </c>
      <c r="AZ2" s="34">
        <v>4</v>
      </c>
      <c r="BA2" s="34">
        <v>5</v>
      </c>
      <c r="BB2" s="34">
        <v>6</v>
      </c>
      <c r="BC2" s="34">
        <v>7</v>
      </c>
      <c r="BD2" s="34">
        <v>8</v>
      </c>
      <c r="BE2" s="34">
        <v>9</v>
      </c>
      <c r="BF2" s="34">
        <v>10</v>
      </c>
      <c r="BG2" s="34">
        <v>11</v>
      </c>
      <c r="BH2" s="34">
        <v>12</v>
      </c>
      <c r="BI2" s="35">
        <v>13</v>
      </c>
      <c r="BL2"/>
      <c r="BM2"/>
    </row>
    <row r="3" spans="2:72" ht="15" customHeight="1" x14ac:dyDescent="0.25">
      <c r="B3" s="142" t="s">
        <v>184</v>
      </c>
      <c r="C3" s="14" t="s">
        <v>138</v>
      </c>
      <c r="D3" s="15" t="s">
        <v>130</v>
      </c>
      <c r="E3" s="15" t="s">
        <v>44</v>
      </c>
      <c r="F3" s="57">
        <v>1000</v>
      </c>
      <c r="G3" s="16"/>
      <c r="I3" s="142" t="s">
        <v>9</v>
      </c>
      <c r="J3" t="s">
        <v>60</v>
      </c>
      <c r="K3" t="s">
        <v>57</v>
      </c>
      <c r="L3" s="1">
        <v>3</v>
      </c>
      <c r="M3" t="s">
        <v>13</v>
      </c>
      <c r="P3" s="149" t="s">
        <v>184</v>
      </c>
      <c r="Q3" s="17" t="s">
        <v>138</v>
      </c>
      <c r="R3" t="s">
        <v>130</v>
      </c>
      <c r="S3" t="s">
        <v>44</v>
      </c>
      <c r="T3" s="29">
        <v>1000</v>
      </c>
      <c r="W3" s="149" t="s">
        <v>9</v>
      </c>
      <c r="X3" t="s">
        <v>60</v>
      </c>
      <c r="Y3" t="s">
        <v>57</v>
      </c>
      <c r="Z3" s="1">
        <v>3</v>
      </c>
      <c r="AA3" t="s">
        <v>13</v>
      </c>
      <c r="AD3" s="170"/>
      <c r="AE3" s="125"/>
      <c r="AF3" s="125"/>
      <c r="AG3" s="125"/>
      <c r="AH3" s="126"/>
      <c r="AI3" s="125"/>
      <c r="AK3" s="170"/>
      <c r="AL3" s="125"/>
      <c r="AM3" s="125"/>
      <c r="AN3" s="125"/>
      <c r="AT3" s="173"/>
      <c r="AU3" s="184" t="s">
        <v>336</v>
      </c>
      <c r="AV3" s="186"/>
      <c r="AW3" s="163" t="s">
        <v>0</v>
      </c>
      <c r="AX3" s="163" t="s">
        <v>337</v>
      </c>
      <c r="AY3" s="163" t="s">
        <v>338</v>
      </c>
      <c r="AZ3" s="163" t="s">
        <v>339</v>
      </c>
      <c r="BA3" s="163" t="s">
        <v>340</v>
      </c>
      <c r="BB3" s="163" t="s">
        <v>407</v>
      </c>
      <c r="BC3" s="163" t="s">
        <v>408</v>
      </c>
      <c r="BD3" s="163" t="s">
        <v>409</v>
      </c>
      <c r="BE3" s="163" t="s">
        <v>410</v>
      </c>
      <c r="BF3" s="163" t="s">
        <v>341</v>
      </c>
      <c r="BG3" s="163" t="s">
        <v>342</v>
      </c>
      <c r="BH3" s="163" t="s">
        <v>343</v>
      </c>
      <c r="BI3" s="190" t="s">
        <v>344</v>
      </c>
      <c r="BL3"/>
      <c r="BM3"/>
    </row>
    <row r="4" spans="2:72" x14ac:dyDescent="0.25">
      <c r="B4" s="143"/>
      <c r="C4" s="17" t="s">
        <v>137</v>
      </c>
      <c r="D4" t="s">
        <v>132</v>
      </c>
      <c r="E4" t="s">
        <v>44</v>
      </c>
      <c r="F4" s="29">
        <v>355</v>
      </c>
      <c r="G4" s="18" t="s">
        <v>384</v>
      </c>
      <c r="I4" s="143"/>
      <c r="J4" t="s">
        <v>61</v>
      </c>
      <c r="K4" t="s">
        <v>57</v>
      </c>
      <c r="L4" s="1">
        <v>190</v>
      </c>
      <c r="M4" t="s">
        <v>14</v>
      </c>
      <c r="P4" s="150"/>
      <c r="Q4" s="17" t="s">
        <v>137</v>
      </c>
      <c r="R4" t="s">
        <v>132</v>
      </c>
      <c r="S4" t="s">
        <v>44</v>
      </c>
      <c r="T4" s="29">
        <v>355</v>
      </c>
      <c r="U4" t="s">
        <v>384</v>
      </c>
      <c r="W4" s="150"/>
      <c r="X4" t="s">
        <v>61</v>
      </c>
      <c r="Y4" t="s">
        <v>57</v>
      </c>
      <c r="Z4" s="1">
        <v>190</v>
      </c>
      <c r="AA4" t="s">
        <v>14</v>
      </c>
      <c r="AD4" s="170"/>
      <c r="AE4" s="125"/>
      <c r="AF4" s="125"/>
      <c r="AG4" s="125"/>
      <c r="AH4" s="126"/>
      <c r="AI4" s="125"/>
      <c r="AK4" s="170"/>
      <c r="AL4" s="125"/>
      <c r="AM4" s="125"/>
      <c r="AN4" s="125"/>
      <c r="AT4" s="173"/>
      <c r="AU4" s="184"/>
      <c r="AV4" s="186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90"/>
      <c r="BL4"/>
      <c r="BM4"/>
    </row>
    <row r="5" spans="2:72" x14ac:dyDescent="0.25">
      <c r="B5" s="143"/>
      <c r="C5" s="17" t="s">
        <v>135</v>
      </c>
      <c r="D5" t="s">
        <v>136</v>
      </c>
      <c r="E5" t="s">
        <v>44</v>
      </c>
      <c r="F5" s="29">
        <v>323.89999999999998</v>
      </c>
      <c r="G5" s="18" t="s">
        <v>8</v>
      </c>
      <c r="I5" s="143"/>
      <c r="J5" t="s">
        <v>61</v>
      </c>
      <c r="K5" t="s">
        <v>57</v>
      </c>
      <c r="L5" s="1">
        <v>176</v>
      </c>
      <c r="M5" t="s">
        <v>15</v>
      </c>
      <c r="P5" s="150"/>
      <c r="Q5" s="17" t="s">
        <v>135</v>
      </c>
      <c r="R5" t="s">
        <v>136</v>
      </c>
      <c r="S5" t="s">
        <v>44</v>
      </c>
      <c r="T5" s="29">
        <v>323.89999999999998</v>
      </c>
      <c r="U5" t="s">
        <v>8</v>
      </c>
      <c r="W5" s="150"/>
      <c r="X5" t="s">
        <v>61</v>
      </c>
      <c r="Y5" t="s">
        <v>57</v>
      </c>
      <c r="Z5" s="1">
        <v>176</v>
      </c>
      <c r="AA5" t="s">
        <v>15</v>
      </c>
      <c r="AD5" s="170"/>
      <c r="AE5" s="125"/>
      <c r="AF5" s="125"/>
      <c r="AG5" s="125"/>
      <c r="AH5" s="126"/>
      <c r="AI5" s="125"/>
      <c r="AK5" s="170"/>
      <c r="AL5" s="125"/>
      <c r="AM5" s="125"/>
      <c r="AN5" s="125"/>
      <c r="AT5" s="173"/>
      <c r="AU5" s="181" t="s">
        <v>345</v>
      </c>
      <c r="AV5" s="31" t="s">
        <v>346</v>
      </c>
      <c r="AW5" s="33">
        <f>T15*3600</f>
        <v>165.61623123157378</v>
      </c>
      <c r="AX5" s="33">
        <f>AW5</f>
        <v>165.61623123157378</v>
      </c>
      <c r="AY5" s="33">
        <f>AW5</f>
        <v>165.61623123157378</v>
      </c>
      <c r="AZ5" s="33">
        <f>AW5</f>
        <v>165.61623123157378</v>
      </c>
      <c r="BA5" s="33">
        <f>AW5</f>
        <v>165.61623123157378</v>
      </c>
      <c r="BB5" s="33">
        <f>T71*3600</f>
        <v>7567.6368923139344</v>
      </c>
      <c r="BC5" s="33">
        <f>BB5</f>
        <v>7567.6368923139344</v>
      </c>
      <c r="BD5" s="33">
        <f>T92*3600</f>
        <v>344.90353956465822</v>
      </c>
      <c r="BE5" s="33">
        <f>BD5</f>
        <v>344.90353956465822</v>
      </c>
      <c r="BF5" s="33">
        <f>T113*3600</f>
        <v>1726.8204385599959</v>
      </c>
      <c r="BG5" s="33">
        <f>BF5</f>
        <v>1726.8204385599959</v>
      </c>
      <c r="BH5" s="33">
        <f>T134*3600</f>
        <v>2566.0947601770604</v>
      </c>
      <c r="BI5" s="37">
        <f>BH5</f>
        <v>2566.0947601770604</v>
      </c>
      <c r="BL5"/>
      <c r="BM5"/>
    </row>
    <row r="6" spans="2:72" x14ac:dyDescent="0.25">
      <c r="B6" s="143"/>
      <c r="C6" s="17" t="s">
        <v>140</v>
      </c>
      <c r="D6" t="s">
        <v>131</v>
      </c>
      <c r="E6" t="s">
        <v>44</v>
      </c>
      <c r="F6" s="29">
        <f>L19</f>
        <v>11</v>
      </c>
      <c r="G6" s="18" t="s">
        <v>8</v>
      </c>
      <c r="I6" s="143"/>
      <c r="J6" t="s">
        <v>61</v>
      </c>
      <c r="K6" t="s">
        <v>57</v>
      </c>
      <c r="L6" s="1">
        <v>157</v>
      </c>
      <c r="M6" t="s">
        <v>383</v>
      </c>
      <c r="P6" s="150"/>
      <c r="Q6" s="17" t="s">
        <v>140</v>
      </c>
      <c r="R6" t="s">
        <v>131</v>
      </c>
      <c r="S6" t="s">
        <v>44</v>
      </c>
      <c r="T6" s="29">
        <v>11</v>
      </c>
      <c r="U6" t="s">
        <v>8</v>
      </c>
      <c r="W6" s="150"/>
      <c r="X6" t="s">
        <v>61</v>
      </c>
      <c r="Y6" t="s">
        <v>57</v>
      </c>
      <c r="Z6" s="1">
        <v>157</v>
      </c>
      <c r="AA6" t="s">
        <v>383</v>
      </c>
      <c r="AD6" s="170"/>
      <c r="AE6" s="125"/>
      <c r="AF6" s="125"/>
      <c r="AG6" s="125"/>
      <c r="AH6" s="126"/>
      <c r="AI6" s="125"/>
      <c r="AK6" s="170"/>
      <c r="AL6" s="125"/>
      <c r="AM6" s="125"/>
      <c r="AN6" s="125"/>
      <c r="AT6" s="173"/>
      <c r="AU6" s="181"/>
      <c r="AV6" s="31" t="s">
        <v>347</v>
      </c>
      <c r="AW6" s="33">
        <f>T17*3600</f>
        <v>0.17281393147761653</v>
      </c>
      <c r="AX6" s="33">
        <f>T32*3600</f>
        <v>0.17279889181419492</v>
      </c>
      <c r="AY6" s="33">
        <f>T42*3600</f>
        <v>0.17716155544426751</v>
      </c>
      <c r="AZ6" s="33">
        <f>T52*3600</f>
        <v>110.64562897765946</v>
      </c>
      <c r="BA6" s="33">
        <f>T62*3600</f>
        <v>316.81634585012625</v>
      </c>
      <c r="BB6" s="33">
        <f>T73*3600</f>
        <v>7.7861441707804042</v>
      </c>
      <c r="BC6" s="33">
        <f>T84*3600</f>
        <v>7.8494276950781554</v>
      </c>
      <c r="BD6" s="33">
        <f>T94*3600</f>
        <v>0.35486225386823028</v>
      </c>
      <c r="BE6" s="33">
        <f>T105*3600</f>
        <v>0.34903000255858352</v>
      </c>
      <c r="BF6" s="33">
        <f>T115*3600</f>
        <v>1.727254446909227</v>
      </c>
      <c r="BG6" s="33">
        <f>T126*3600</f>
        <v>1.7286966753785342</v>
      </c>
      <c r="BH6" s="33">
        <f>BH5/BH9</f>
        <v>1.3059006413114811</v>
      </c>
      <c r="BI6" s="33">
        <f>BI5/BI9</f>
        <v>1.2487079124949199</v>
      </c>
      <c r="BL6"/>
      <c r="BM6"/>
    </row>
    <row r="7" spans="2:72" x14ac:dyDescent="0.25">
      <c r="B7" s="143"/>
      <c r="C7" s="17" t="s">
        <v>179</v>
      </c>
      <c r="D7" t="s">
        <v>178</v>
      </c>
      <c r="E7" t="s">
        <v>176</v>
      </c>
      <c r="F7" s="29">
        <f>2*3.1416*(F4/2)/1000*F3/1000</f>
        <v>1.1152679999999999</v>
      </c>
      <c r="G7" s="18"/>
      <c r="I7" s="143"/>
      <c r="J7" t="s">
        <v>61</v>
      </c>
      <c r="K7" t="s">
        <v>57</v>
      </c>
      <c r="L7" s="1">
        <v>145</v>
      </c>
      <c r="M7" s="124" t="s">
        <v>382</v>
      </c>
      <c r="P7" s="150"/>
      <c r="Q7" s="17" t="s">
        <v>179</v>
      </c>
      <c r="R7" t="s">
        <v>178</v>
      </c>
      <c r="S7" t="s">
        <v>176</v>
      </c>
      <c r="T7" s="29">
        <f>2*3.1416*(T4/2)/1000*T3/1000</f>
        <v>1.1152679999999999</v>
      </c>
      <c r="W7" s="150"/>
      <c r="X7" t="s">
        <v>61</v>
      </c>
      <c r="Y7" t="s">
        <v>57</v>
      </c>
      <c r="Z7" s="1">
        <v>145</v>
      </c>
      <c r="AA7" s="124" t="s">
        <v>382</v>
      </c>
      <c r="AD7" s="170"/>
      <c r="AE7" s="125"/>
      <c r="AF7" s="125"/>
      <c r="AG7" s="125"/>
      <c r="AH7" s="126"/>
      <c r="AI7" s="125"/>
      <c r="AK7" s="170"/>
      <c r="AL7" s="125"/>
      <c r="AM7" s="125"/>
      <c r="AN7" s="125"/>
      <c r="AT7" s="173"/>
      <c r="AU7" s="77" t="s">
        <v>348</v>
      </c>
      <c r="AV7" s="31" t="s">
        <v>48</v>
      </c>
      <c r="AW7" s="33">
        <f>T19</f>
        <v>1</v>
      </c>
      <c r="AX7" s="33">
        <f>T34</f>
        <v>2.7025960655999999</v>
      </c>
      <c r="AY7" s="33">
        <f>T44</f>
        <v>2.7025960655999999</v>
      </c>
      <c r="AZ7" s="33">
        <f>T54</f>
        <v>2.7025960655999999</v>
      </c>
      <c r="BA7" s="33">
        <f>T64</f>
        <v>1</v>
      </c>
      <c r="BB7" s="33">
        <f>T75</f>
        <v>4</v>
      </c>
      <c r="BC7" s="33">
        <f>T86</f>
        <v>4</v>
      </c>
      <c r="BD7" s="33">
        <f>T96</f>
        <v>4</v>
      </c>
      <c r="BE7" s="33">
        <f>T107</f>
        <v>4</v>
      </c>
      <c r="BF7" s="33">
        <f>T117</f>
        <v>4</v>
      </c>
      <c r="BG7" s="33">
        <f>T128</f>
        <v>4</v>
      </c>
      <c r="BH7" s="33">
        <f>T136</f>
        <v>1</v>
      </c>
      <c r="BI7" s="37">
        <f>T139</f>
        <v>1</v>
      </c>
      <c r="BL7"/>
      <c r="BM7"/>
    </row>
    <row r="8" spans="2:72" ht="15.75" thickBot="1" x14ac:dyDescent="0.3">
      <c r="B8" s="144"/>
      <c r="C8" s="46" t="s">
        <v>180</v>
      </c>
      <c r="D8" s="19" t="s">
        <v>746</v>
      </c>
      <c r="E8" s="19" t="s">
        <v>182</v>
      </c>
      <c r="F8" s="56">
        <f>F15*F150</f>
        <v>56.932494783577766</v>
      </c>
      <c r="G8" s="20"/>
      <c r="I8" s="143"/>
      <c r="J8" t="s">
        <v>62</v>
      </c>
      <c r="K8" t="s">
        <v>58</v>
      </c>
      <c r="L8" s="1">
        <v>2</v>
      </c>
      <c r="M8" t="s">
        <v>22</v>
      </c>
      <c r="P8" s="151"/>
      <c r="Q8" s="46" t="s">
        <v>180</v>
      </c>
      <c r="R8" s="19" t="s">
        <v>746</v>
      </c>
      <c r="S8" s="19" t="s">
        <v>182</v>
      </c>
      <c r="T8" s="74">
        <v>100</v>
      </c>
      <c r="U8" s="19" t="s">
        <v>181</v>
      </c>
      <c r="W8" s="150"/>
      <c r="X8" t="s">
        <v>62</v>
      </c>
      <c r="Y8" t="s">
        <v>58</v>
      </c>
      <c r="Z8" s="1">
        <v>2</v>
      </c>
      <c r="AA8" t="s">
        <v>22</v>
      </c>
      <c r="AD8" s="170"/>
      <c r="AE8" s="125"/>
      <c r="AF8" s="125"/>
      <c r="AG8" s="125"/>
      <c r="AH8" s="128"/>
      <c r="AI8" s="125"/>
      <c r="AK8" s="170"/>
      <c r="AL8" s="125"/>
      <c r="AM8" s="125"/>
      <c r="AN8" s="125"/>
      <c r="AT8" s="173"/>
      <c r="AU8" s="77" t="s">
        <v>349</v>
      </c>
      <c r="AV8" s="31" t="s">
        <v>49</v>
      </c>
      <c r="AW8" s="33">
        <f>T18</f>
        <v>100</v>
      </c>
      <c r="AX8" s="33">
        <f>T33</f>
        <v>100</v>
      </c>
      <c r="AY8" s="33">
        <f>T43</f>
        <v>130</v>
      </c>
      <c r="AZ8" s="33">
        <f>T53</f>
        <v>130</v>
      </c>
      <c r="BA8" s="33">
        <f>T63</f>
        <v>122</v>
      </c>
      <c r="BB8" s="33">
        <f>T74</f>
        <v>80</v>
      </c>
      <c r="BC8" s="33">
        <f>T85</f>
        <v>92</v>
      </c>
      <c r="BD8" s="33">
        <f>T95</f>
        <v>80</v>
      </c>
      <c r="BE8" s="33">
        <f>T106</f>
        <v>50</v>
      </c>
      <c r="BF8" s="33">
        <f>T116</f>
        <v>11</v>
      </c>
      <c r="BG8" s="33">
        <f>T127</f>
        <v>17</v>
      </c>
      <c r="BH8" s="33">
        <f>T135</f>
        <v>250</v>
      </c>
      <c r="BI8" s="37">
        <f>T141</f>
        <v>215</v>
      </c>
      <c r="BL8"/>
      <c r="BM8"/>
    </row>
    <row r="9" spans="2:72" ht="15.75" customHeight="1" thickBot="1" x14ac:dyDescent="0.3">
      <c r="B9" s="142" t="s">
        <v>391</v>
      </c>
      <c r="C9" t="s">
        <v>432</v>
      </c>
      <c r="D9" t="s">
        <v>251</v>
      </c>
      <c r="E9" t="s">
        <v>182</v>
      </c>
      <c r="F9" s="29">
        <f>F15*(F65-F20)</f>
        <v>65.256073583921392</v>
      </c>
      <c r="I9" s="143"/>
      <c r="J9" t="s">
        <v>63</v>
      </c>
      <c r="K9" t="s">
        <v>58</v>
      </c>
      <c r="L9" s="1">
        <v>1.05</v>
      </c>
      <c r="M9" t="s">
        <v>16</v>
      </c>
      <c r="P9" s="149" t="s">
        <v>391</v>
      </c>
      <c r="Q9" t="s">
        <v>432</v>
      </c>
      <c r="R9" t="s">
        <v>251</v>
      </c>
      <c r="S9" t="s">
        <v>182</v>
      </c>
      <c r="T9" s="29">
        <f>T15*(T65-T20)</f>
        <v>105.95781795567437</v>
      </c>
      <c r="W9" s="150"/>
      <c r="X9" t="s">
        <v>63</v>
      </c>
      <c r="Y9" t="s">
        <v>58</v>
      </c>
      <c r="Z9" s="1">
        <v>1.05</v>
      </c>
      <c r="AA9" t="s">
        <v>16</v>
      </c>
      <c r="AE9" s="125"/>
      <c r="AF9" s="125"/>
      <c r="AG9" s="125"/>
      <c r="AH9" s="126"/>
      <c r="AI9" s="125"/>
      <c r="AK9" s="170"/>
      <c r="AL9" s="125"/>
      <c r="AM9" s="125"/>
      <c r="AN9" s="125"/>
      <c r="AT9" s="173"/>
      <c r="AU9" s="77" t="s">
        <v>350</v>
      </c>
      <c r="AV9" s="31" t="s">
        <v>129</v>
      </c>
      <c r="AW9" s="33">
        <f>T16</f>
        <v>958.35</v>
      </c>
      <c r="AX9" s="33">
        <f>T31</f>
        <v>958.43341061269996</v>
      </c>
      <c r="AY9" s="33">
        <f>T41</f>
        <v>934.83166150951001</v>
      </c>
      <c r="AZ9" s="33">
        <f>T51</f>
        <v>1.4968167541893</v>
      </c>
      <c r="BA9" s="33">
        <f>T61</f>
        <v>0.52275153539559005</v>
      </c>
      <c r="BB9" s="33">
        <f>T72</f>
        <v>971.93639448824001</v>
      </c>
      <c r="BC9" s="33">
        <f>T83</f>
        <v>964.10046519176001</v>
      </c>
      <c r="BD9" s="33">
        <f>T93</f>
        <v>971.93639448824001</v>
      </c>
      <c r="BE9" s="33">
        <f>T104</f>
        <v>988.17734016079999</v>
      </c>
      <c r="BF9" s="33">
        <f>T114</f>
        <v>999.74872934905</v>
      </c>
      <c r="BG9" s="33">
        <f>T125</f>
        <v>998.91465238218996</v>
      </c>
      <c r="BH9" s="33">
        <v>1965</v>
      </c>
      <c r="BI9" s="37">
        <v>2055</v>
      </c>
    </row>
    <row r="10" spans="2:72" ht="15.75" customHeight="1" thickBot="1" x14ac:dyDescent="0.3">
      <c r="B10" s="144"/>
      <c r="C10" s="47" t="s">
        <v>294</v>
      </c>
      <c r="D10" s="48" t="s">
        <v>295</v>
      </c>
      <c r="E10" s="19" t="s">
        <v>176</v>
      </c>
      <c r="F10" s="56">
        <f>F9/(F166*F165)</f>
        <v>3.4708648501568828</v>
      </c>
      <c r="G10" s="19"/>
      <c r="I10" s="143"/>
      <c r="J10" t="s">
        <v>217</v>
      </c>
      <c r="K10" t="s">
        <v>57</v>
      </c>
      <c r="L10" s="27">
        <f>L3*(L14+L13)/(2*L13)</f>
        <v>72.5</v>
      </c>
      <c r="P10" s="151"/>
      <c r="Q10" s="47" t="s">
        <v>294</v>
      </c>
      <c r="R10" s="48" t="s">
        <v>295</v>
      </c>
      <c r="S10" s="19" t="s">
        <v>176</v>
      </c>
      <c r="T10" s="56">
        <f>T9/(T166*T165)</f>
        <v>5.7015986215665988</v>
      </c>
      <c r="U10" s="19"/>
      <c r="W10" s="150"/>
      <c r="X10" t="s">
        <v>217</v>
      </c>
      <c r="Y10" t="s">
        <v>57</v>
      </c>
      <c r="Z10" s="27">
        <f>Z3*(Z14+Z13)/(2*Z13)</f>
        <v>72.5</v>
      </c>
      <c r="AD10" s="170"/>
      <c r="AE10" s="125"/>
      <c r="AF10" s="125"/>
      <c r="AG10" s="125"/>
      <c r="AH10" s="128"/>
      <c r="AI10" s="125"/>
      <c r="AK10" s="170"/>
      <c r="AL10" s="125"/>
      <c r="AM10" s="125"/>
      <c r="AN10" s="125"/>
      <c r="AT10" s="173"/>
      <c r="AU10" s="77" t="s">
        <v>592</v>
      </c>
      <c r="AV10" s="31" t="s">
        <v>175</v>
      </c>
      <c r="AW10" s="33">
        <f>T21</f>
        <v>8.2654934265169885E-2</v>
      </c>
      <c r="AX10" s="33">
        <f>T36</f>
        <v>0.78959329385247823</v>
      </c>
      <c r="AY10" s="33">
        <f>T46</f>
        <v>8.4734353268606885E-2</v>
      </c>
      <c r="AZ10" s="33">
        <f>T56</f>
        <v>52.920543567758394</v>
      </c>
      <c r="BA10" s="33">
        <f>T66</f>
        <v>23.684190551099437</v>
      </c>
      <c r="BB10" s="33">
        <f>T78</f>
        <v>3.7240240362123043</v>
      </c>
      <c r="BC10" s="33">
        <f>T78</f>
        <v>3.7240240362123043</v>
      </c>
      <c r="BD10" s="33">
        <f>T99</f>
        <v>0.16972657248103676</v>
      </c>
      <c r="BE10" s="33">
        <f>T109</f>
        <v>0.16693707313630804</v>
      </c>
      <c r="BF10" s="33">
        <f>T119</f>
        <v>0.82612612043373423</v>
      </c>
      <c r="BG10" s="33">
        <f>T130</f>
        <v>0.82681592187686259</v>
      </c>
      <c r="BH10" s="33">
        <f>(BH6/3600)/(PI()/4*(BH11/1000)^2)</f>
        <v>0.73898859467234979</v>
      </c>
      <c r="BI10" s="33">
        <f>(BI6/3600)/(PI()/4*(BI11/1000)^2)</f>
        <v>0.17665603266802521</v>
      </c>
    </row>
    <row r="11" spans="2:72" ht="15.75" thickBot="1" x14ac:dyDescent="0.3">
      <c r="B11" s="63" t="s">
        <v>584</v>
      </c>
      <c r="C11" s="64" t="s">
        <v>261</v>
      </c>
      <c r="D11" s="65" t="s">
        <v>262</v>
      </c>
      <c r="E11" s="65" t="s">
        <v>182</v>
      </c>
      <c r="F11" s="66">
        <f>0.48*4.19*(17-11)</f>
        <v>12.0672</v>
      </c>
      <c r="G11" s="18" t="s">
        <v>742</v>
      </c>
      <c r="I11" s="143"/>
      <c r="J11" t="s">
        <v>218</v>
      </c>
      <c r="K11" t="s">
        <v>57</v>
      </c>
      <c r="L11" s="26">
        <f>L7/L8</f>
        <v>72.5</v>
      </c>
      <c r="M11" t="s">
        <v>219</v>
      </c>
      <c r="P11" s="72" t="s">
        <v>584</v>
      </c>
      <c r="Q11" s="64" t="s">
        <v>261</v>
      </c>
      <c r="R11" s="65" t="s">
        <v>262</v>
      </c>
      <c r="S11" s="65" t="s">
        <v>182</v>
      </c>
      <c r="T11" s="66">
        <f>0.48*4.19*(17-11)</f>
        <v>12.0672</v>
      </c>
      <c r="U11" s="65" t="s">
        <v>263</v>
      </c>
      <c r="W11" s="150"/>
      <c r="X11" t="s">
        <v>218</v>
      </c>
      <c r="Y11" t="s">
        <v>57</v>
      </c>
      <c r="Z11" s="26">
        <f>Z7/Z8</f>
        <v>72.5</v>
      </c>
      <c r="AA11" t="s">
        <v>219</v>
      </c>
      <c r="AD11" s="170"/>
      <c r="AE11" s="125"/>
      <c r="AF11" s="125"/>
      <c r="AG11" s="125"/>
      <c r="AH11" s="128"/>
      <c r="AI11" s="125"/>
      <c r="AK11" s="170"/>
      <c r="AL11" s="125"/>
      <c r="AM11" s="125"/>
      <c r="AN11" s="125"/>
      <c r="AT11" s="174"/>
      <c r="AU11" s="78" t="s">
        <v>598</v>
      </c>
      <c r="AV11" s="75" t="s">
        <v>58</v>
      </c>
      <c r="AW11" s="75">
        <v>25</v>
      </c>
      <c r="AX11" s="75">
        <v>8</v>
      </c>
      <c r="AY11" s="75">
        <v>25</v>
      </c>
      <c r="AZ11" s="75">
        <v>25</v>
      </c>
      <c r="BA11" s="75">
        <v>65</v>
      </c>
      <c r="BB11" s="75">
        <v>25</v>
      </c>
      <c r="BC11" s="75">
        <v>25</v>
      </c>
      <c r="BD11" s="75">
        <v>25</v>
      </c>
      <c r="BE11" s="75">
        <v>25</v>
      </c>
      <c r="BF11" s="75">
        <v>25</v>
      </c>
      <c r="BG11" s="75">
        <v>25</v>
      </c>
      <c r="BH11" s="75">
        <v>25</v>
      </c>
      <c r="BI11" s="79">
        <v>50</v>
      </c>
    </row>
    <row r="12" spans="2:72" ht="15.75" thickBot="1" x14ac:dyDescent="0.3">
      <c r="B12" s="62" t="s">
        <v>317</v>
      </c>
      <c r="C12" s="64" t="s">
        <v>323</v>
      </c>
      <c r="D12" s="65" t="s">
        <v>318</v>
      </c>
      <c r="E12" s="65" t="s">
        <v>182</v>
      </c>
      <c r="F12" s="66">
        <f>F30*(F35-F20)</f>
        <v>-8.8952867820971111</v>
      </c>
      <c r="G12" s="65" t="s">
        <v>747</v>
      </c>
      <c r="I12" s="143"/>
      <c r="J12" t="s">
        <v>64</v>
      </c>
      <c r="K12" t="s">
        <v>58</v>
      </c>
      <c r="L12" s="1">
        <v>1</v>
      </c>
      <c r="M12" t="s">
        <v>708</v>
      </c>
      <c r="P12" s="73" t="s">
        <v>317</v>
      </c>
      <c r="Q12" s="64" t="s">
        <v>323</v>
      </c>
      <c r="R12" s="65" t="s">
        <v>318</v>
      </c>
      <c r="S12" s="65" t="s">
        <v>182</v>
      </c>
      <c r="T12" s="66">
        <f>T30*(T35-T20)</f>
        <v>8.2324171163311893E-2</v>
      </c>
      <c r="U12" s="65" t="s">
        <v>747</v>
      </c>
      <c r="W12" s="150"/>
      <c r="X12" t="s">
        <v>64</v>
      </c>
      <c r="Y12" t="s">
        <v>58</v>
      </c>
      <c r="Z12" s="1">
        <v>1</v>
      </c>
      <c r="AA12" t="s">
        <v>708</v>
      </c>
      <c r="AD12" s="170"/>
      <c r="AE12" s="129"/>
      <c r="AF12" s="129"/>
      <c r="AG12" s="129"/>
      <c r="AH12" s="130"/>
      <c r="AI12" s="129"/>
      <c r="AK12" s="170"/>
      <c r="AL12" s="125"/>
      <c r="AM12" s="125"/>
      <c r="AN12" s="125"/>
      <c r="BA12" s="81"/>
    </row>
    <row r="13" spans="2:72" ht="15.75" thickBot="1" x14ac:dyDescent="0.3">
      <c r="B13" s="42" t="s">
        <v>328</v>
      </c>
      <c r="C13" s="64" t="s">
        <v>458</v>
      </c>
      <c r="D13" s="65" t="s">
        <v>459</v>
      </c>
      <c r="E13" s="65" t="s">
        <v>182</v>
      </c>
      <c r="F13" s="66">
        <f>F40*(F45-F35)</f>
        <v>17.253268921287944</v>
      </c>
      <c r="G13" s="65" t="s">
        <v>748</v>
      </c>
      <c r="I13" s="143"/>
      <c r="J13" t="s">
        <v>2</v>
      </c>
      <c r="K13" t="s">
        <v>44</v>
      </c>
      <c r="L13" s="1">
        <f>(L3*F4)/(2*L7/L8*L12+L3)</f>
        <v>7.1959459459459456</v>
      </c>
      <c r="M13" t="s">
        <v>33</v>
      </c>
      <c r="P13" s="45" t="s">
        <v>328</v>
      </c>
      <c r="Q13" s="64" t="s">
        <v>458</v>
      </c>
      <c r="R13" s="65" t="s">
        <v>459</v>
      </c>
      <c r="S13" s="65" t="s">
        <v>182</v>
      </c>
      <c r="T13" s="66">
        <f>T40*(T45-T35)</f>
        <v>5.8500193727241667</v>
      </c>
      <c r="U13" s="65" t="s">
        <v>748</v>
      </c>
      <c r="W13" s="150"/>
      <c r="X13" t="s">
        <v>2</v>
      </c>
      <c r="Y13" t="s">
        <v>44</v>
      </c>
      <c r="Z13" s="1">
        <f>(Z3*T4)/(2*Z7/Z8*Z12+Z3)</f>
        <v>7.1959459459459456</v>
      </c>
      <c r="AA13" t="s">
        <v>33</v>
      </c>
      <c r="AD13" s="170"/>
      <c r="AE13" s="125"/>
      <c r="AF13" s="125"/>
      <c r="AG13" s="125"/>
      <c r="AH13" s="128"/>
      <c r="AI13" s="125"/>
      <c r="AK13" s="170"/>
      <c r="AL13" s="125"/>
      <c r="AM13" s="125"/>
      <c r="AN13" s="125"/>
      <c r="BF13" t="s">
        <v>758</v>
      </c>
      <c r="BG13">
        <v>0.6</v>
      </c>
      <c r="BH13">
        <f>BH9*9.81*BG13/100000+1</f>
        <v>1.1156599</v>
      </c>
    </row>
    <row r="14" spans="2:72" ht="15.75" thickBot="1" x14ac:dyDescent="0.3">
      <c r="B14" s="44"/>
      <c r="C14" s="5"/>
      <c r="D14" s="5"/>
      <c r="E14" s="5"/>
      <c r="F14" s="54"/>
      <c r="G14" s="5"/>
      <c r="I14" s="143"/>
      <c r="J14" t="s">
        <v>50</v>
      </c>
      <c r="K14" t="s">
        <v>44</v>
      </c>
      <c r="L14" s="1">
        <f>F4-2*L13</f>
        <v>340.60810810810813</v>
      </c>
      <c r="M14" t="s">
        <v>6</v>
      </c>
      <c r="P14" s="44"/>
      <c r="Q14" s="5"/>
      <c r="R14" s="5"/>
      <c r="S14" s="5"/>
      <c r="T14" s="54"/>
      <c r="U14" s="5"/>
      <c r="W14" s="150"/>
      <c r="X14" t="s">
        <v>50</v>
      </c>
      <c r="Y14" t="s">
        <v>44</v>
      </c>
      <c r="Z14" s="1">
        <f>T4-2*Z13</f>
        <v>340.60810810810813</v>
      </c>
      <c r="AA14" t="s">
        <v>6</v>
      </c>
      <c r="AD14" s="170"/>
      <c r="AE14" s="125"/>
      <c r="AF14" s="125"/>
      <c r="AG14" s="125"/>
      <c r="AH14" s="128"/>
      <c r="AI14" s="125"/>
      <c r="AK14" s="170"/>
      <c r="AL14" s="125"/>
      <c r="AM14" s="125"/>
      <c r="AN14" s="125"/>
      <c r="BF14" t="s">
        <v>759</v>
      </c>
      <c r="BG14">
        <v>25</v>
      </c>
    </row>
    <row r="15" spans="2:72" ht="15.75" thickBot="1" x14ac:dyDescent="0.3">
      <c r="B15" s="142" t="s">
        <v>464</v>
      </c>
      <c r="C15" t="s">
        <v>246</v>
      </c>
      <c r="D15" t="s">
        <v>333</v>
      </c>
      <c r="E15" t="s">
        <v>45</v>
      </c>
      <c r="F15" s="29">
        <f>F40</f>
        <v>2.7777777777777776E-2</v>
      </c>
      <c r="G15">
        <f>Tabelle5[[#This Row],[Wert]]*60*60</f>
        <v>99.999999999999986</v>
      </c>
      <c r="I15" s="143"/>
      <c r="J15" t="s">
        <v>7</v>
      </c>
      <c r="K15" t="s">
        <v>58</v>
      </c>
      <c r="L15" s="26">
        <f>F4/L14</f>
        <v>1.0422535211267605</v>
      </c>
      <c r="M15" t="s">
        <v>17</v>
      </c>
      <c r="P15" s="149" t="s">
        <v>464</v>
      </c>
      <c r="Q15" t="s">
        <v>246</v>
      </c>
      <c r="R15" t="s">
        <v>333</v>
      </c>
      <c r="S15" t="s">
        <v>45</v>
      </c>
      <c r="T15" s="29">
        <f>T40</f>
        <v>4.6004508675437164E-2</v>
      </c>
      <c r="W15" s="150"/>
      <c r="X15" t="s">
        <v>7</v>
      </c>
      <c r="Y15" t="s">
        <v>58</v>
      </c>
      <c r="Z15" s="26">
        <f>T4/Z14</f>
        <v>1.0422535211267605</v>
      </c>
      <c r="AA15" t="s">
        <v>17</v>
      </c>
      <c r="AD15" s="170"/>
      <c r="AE15" s="129"/>
      <c r="AF15" s="129"/>
      <c r="AG15" s="129"/>
      <c r="AH15" s="131"/>
      <c r="AI15" s="129"/>
      <c r="AK15" s="170"/>
      <c r="AL15" s="125"/>
      <c r="AM15" s="125"/>
      <c r="AN15" s="125"/>
      <c r="BF15" t="s">
        <v>760</v>
      </c>
      <c r="BG15">
        <v>10</v>
      </c>
      <c r="BT15" s="39"/>
    </row>
    <row r="16" spans="2:72" x14ac:dyDescent="0.25">
      <c r="B16" s="143"/>
      <c r="C16" t="s">
        <v>266</v>
      </c>
      <c r="D16" s="49" t="s">
        <v>299</v>
      </c>
      <c r="E16" t="s">
        <v>129</v>
      </c>
      <c r="F16" s="68">
        <v>958.35</v>
      </c>
      <c r="G16" s="2" t="s">
        <v>750</v>
      </c>
      <c r="I16" s="143"/>
      <c r="J16" t="s">
        <v>65</v>
      </c>
      <c r="K16" t="s">
        <v>44</v>
      </c>
      <c r="L16" s="1">
        <v>0</v>
      </c>
      <c r="M16" t="s">
        <v>18</v>
      </c>
      <c r="P16" s="150"/>
      <c r="Q16" t="s">
        <v>266</v>
      </c>
      <c r="R16" s="49" t="s">
        <v>299</v>
      </c>
      <c r="S16" t="s">
        <v>129</v>
      </c>
      <c r="T16" s="68">
        <v>958.35</v>
      </c>
      <c r="U16" s="2" t="s">
        <v>750</v>
      </c>
      <c r="W16" s="150"/>
      <c r="X16" t="s">
        <v>65</v>
      </c>
      <c r="Y16" t="s">
        <v>44</v>
      </c>
      <c r="Z16" s="1">
        <v>0</v>
      </c>
      <c r="AA16" t="s">
        <v>18</v>
      </c>
      <c r="AD16" s="170"/>
      <c r="AE16" s="125"/>
      <c r="AF16" s="125"/>
      <c r="AG16" s="125"/>
      <c r="AH16" s="128"/>
      <c r="AI16" s="125"/>
      <c r="AK16" s="170"/>
      <c r="AL16" s="125"/>
      <c r="AM16" s="125"/>
      <c r="AN16" s="125"/>
      <c r="BF16" t="s">
        <v>761</v>
      </c>
      <c r="BH16">
        <f>BH9/2*((BG14/BG15)^4-1)*BH10^2/100000</f>
        <v>0.20422332388523354</v>
      </c>
    </row>
    <row r="17" spans="2:77" x14ac:dyDescent="0.25">
      <c r="B17" s="143"/>
      <c r="C17" s="49" t="s">
        <v>351</v>
      </c>
      <c r="D17" s="49" t="s">
        <v>334</v>
      </c>
      <c r="E17" s="49" t="s">
        <v>161</v>
      </c>
      <c r="F17" s="55">
        <f>F15/F16</f>
        <v>2.8985003159365342E-5</v>
      </c>
      <c r="I17" s="143"/>
      <c r="J17" t="s">
        <v>103</v>
      </c>
      <c r="K17" t="s">
        <v>44</v>
      </c>
      <c r="L17" s="1">
        <v>0</v>
      </c>
      <c r="M17" t="s">
        <v>12</v>
      </c>
      <c r="P17" s="150"/>
      <c r="Q17" s="49" t="s">
        <v>351</v>
      </c>
      <c r="R17" s="49" t="s">
        <v>334</v>
      </c>
      <c r="S17" s="49" t="s">
        <v>161</v>
      </c>
      <c r="T17" s="55">
        <f>T15/T16</f>
        <v>4.8003869854893479E-5</v>
      </c>
      <c r="W17" s="150"/>
      <c r="X17" t="s">
        <v>103</v>
      </c>
      <c r="Y17" t="s">
        <v>44</v>
      </c>
      <c r="Z17" s="1">
        <v>0</v>
      </c>
      <c r="AA17" t="s">
        <v>12</v>
      </c>
      <c r="AD17" s="170"/>
      <c r="AE17" s="125"/>
      <c r="AF17" s="125"/>
      <c r="AG17" s="125"/>
      <c r="AH17" s="128"/>
      <c r="AI17" s="125"/>
      <c r="AK17" s="170"/>
      <c r="AL17" s="125"/>
      <c r="AM17" s="125"/>
      <c r="AN17" s="125"/>
    </row>
    <row r="18" spans="2:77" x14ac:dyDescent="0.25">
      <c r="B18" s="143"/>
      <c r="C18" s="49" t="s">
        <v>247</v>
      </c>
      <c r="D18" t="s">
        <v>461</v>
      </c>
      <c r="E18" t="s">
        <v>49</v>
      </c>
      <c r="F18" s="68">
        <v>100</v>
      </c>
      <c r="I18" s="143"/>
      <c r="J18" t="s">
        <v>66</v>
      </c>
      <c r="K18" t="s">
        <v>44</v>
      </c>
      <c r="L18" s="13">
        <f>L13+L16+L17</f>
        <v>7.1959459459459456</v>
      </c>
      <c r="M18" t="s">
        <v>19</v>
      </c>
      <c r="P18" s="150"/>
      <c r="Q18" s="49" t="s">
        <v>247</v>
      </c>
      <c r="R18" t="s">
        <v>461</v>
      </c>
      <c r="S18" t="s">
        <v>49</v>
      </c>
      <c r="T18" s="68">
        <v>100</v>
      </c>
      <c r="W18" s="150"/>
      <c r="X18" t="s">
        <v>66</v>
      </c>
      <c r="Y18" t="s">
        <v>44</v>
      </c>
      <c r="Z18" s="13">
        <f>Z13+Z16+Z17</f>
        <v>7.1959459459459456</v>
      </c>
      <c r="AA18" t="s">
        <v>19</v>
      </c>
      <c r="AD18" s="170"/>
      <c r="AE18" s="129"/>
      <c r="AF18" s="129"/>
      <c r="AG18" s="129"/>
      <c r="AH18" s="131"/>
      <c r="AI18" s="129"/>
      <c r="AK18" s="170"/>
      <c r="AL18" s="125"/>
      <c r="AM18" s="125"/>
      <c r="AN18" s="125"/>
    </row>
    <row r="19" spans="2:77" x14ac:dyDescent="0.25">
      <c r="B19" s="143"/>
      <c r="C19" s="49" t="s">
        <v>249</v>
      </c>
      <c r="D19" t="s">
        <v>426</v>
      </c>
      <c r="E19" t="s">
        <v>48</v>
      </c>
      <c r="F19" s="68">
        <v>1</v>
      </c>
      <c r="I19" s="143"/>
      <c r="J19" t="s">
        <v>100</v>
      </c>
      <c r="K19" t="s">
        <v>44</v>
      </c>
      <c r="L19" s="1">
        <v>11</v>
      </c>
      <c r="M19" t="s">
        <v>20</v>
      </c>
      <c r="P19" s="150"/>
      <c r="Q19" s="49" t="s">
        <v>249</v>
      </c>
      <c r="R19" t="s">
        <v>426</v>
      </c>
      <c r="S19" t="s">
        <v>48</v>
      </c>
      <c r="T19" s="68">
        <v>1</v>
      </c>
      <c r="W19" s="150"/>
      <c r="X19" t="s">
        <v>100</v>
      </c>
      <c r="Y19" t="s">
        <v>44</v>
      </c>
      <c r="Z19" s="1">
        <v>10.7</v>
      </c>
      <c r="AA19" t="s">
        <v>20</v>
      </c>
      <c r="AD19" s="170"/>
      <c r="AE19" s="125"/>
      <c r="AF19" s="125"/>
      <c r="AG19" s="125"/>
      <c r="AH19" s="128"/>
      <c r="AI19" s="125"/>
      <c r="AL19" s="125"/>
      <c r="AM19" s="125"/>
      <c r="AN19" s="125"/>
    </row>
    <row r="20" spans="2:77" ht="15.75" thickBot="1" x14ac:dyDescent="0.3">
      <c r="B20" s="143"/>
      <c r="C20" t="s">
        <v>248</v>
      </c>
      <c r="D20" t="s">
        <v>421</v>
      </c>
      <c r="E20" t="s">
        <v>47</v>
      </c>
      <c r="F20" s="68">
        <v>417.43648581623</v>
      </c>
      <c r="G20" s="2" t="s">
        <v>750</v>
      </c>
      <c r="I20" s="144"/>
      <c r="J20" t="s">
        <v>50</v>
      </c>
      <c r="K20" t="s">
        <v>44</v>
      </c>
      <c r="L20" s="1">
        <f>F4-2*L19</f>
        <v>333</v>
      </c>
      <c r="M20" t="s">
        <v>5</v>
      </c>
      <c r="P20" s="150"/>
      <c r="Q20" t="s">
        <v>248</v>
      </c>
      <c r="R20" t="s">
        <v>421</v>
      </c>
      <c r="S20" t="s">
        <v>47</v>
      </c>
      <c r="T20" s="68">
        <v>417.43648581623</v>
      </c>
      <c r="U20" s="2" t="s">
        <v>750</v>
      </c>
      <c r="W20" s="151"/>
      <c r="X20" t="s">
        <v>50</v>
      </c>
      <c r="Y20" t="s">
        <v>44</v>
      </c>
      <c r="Z20" s="1">
        <f>T4-2*Z19</f>
        <v>333.6</v>
      </c>
      <c r="AA20" t="s">
        <v>5</v>
      </c>
      <c r="AD20" s="170"/>
      <c r="AE20" s="125"/>
      <c r="AF20" s="125"/>
      <c r="AG20" s="125"/>
      <c r="AH20" s="128"/>
      <c r="AI20" s="125"/>
      <c r="AK20" s="170"/>
      <c r="AL20" s="125"/>
      <c r="AM20" s="125"/>
      <c r="AN20" s="125"/>
    </row>
    <row r="21" spans="2:77" ht="15.75" thickBot="1" x14ac:dyDescent="0.3">
      <c r="B21" s="143"/>
      <c r="C21" t="s">
        <v>377</v>
      </c>
      <c r="D21" t="s">
        <v>591</v>
      </c>
      <c r="E21" t="s">
        <v>175</v>
      </c>
      <c r="F21" s="29">
        <f>F17/F29</f>
        <v>4.9907508249959612E-2</v>
      </c>
      <c r="I21" s="8"/>
      <c r="J21" s="4"/>
      <c r="K21" s="4"/>
      <c r="L21" s="11"/>
      <c r="M21" s="4"/>
      <c r="P21" s="150"/>
      <c r="Q21" t="s">
        <v>377</v>
      </c>
      <c r="R21" t="s">
        <v>591</v>
      </c>
      <c r="S21" t="s">
        <v>175</v>
      </c>
      <c r="T21" s="29">
        <f>T17/T29</f>
        <v>8.2654934265169885E-2</v>
      </c>
      <c r="W21" s="8"/>
      <c r="X21" s="4"/>
      <c r="Y21" s="4"/>
      <c r="Z21" s="11"/>
      <c r="AA21" s="4"/>
      <c r="AD21" s="170"/>
      <c r="AE21" s="129"/>
      <c r="AF21" s="129"/>
      <c r="AG21" s="129"/>
      <c r="AH21" s="131"/>
      <c r="AI21" s="129"/>
      <c r="AK21" s="170"/>
      <c r="AL21" s="125"/>
      <c r="AM21" s="125"/>
      <c r="AN21" s="125"/>
    </row>
    <row r="22" spans="2:77" x14ac:dyDescent="0.25">
      <c r="B22" s="143"/>
      <c r="C22" t="s">
        <v>267</v>
      </c>
      <c r="D22" s="49" t="s">
        <v>300</v>
      </c>
      <c r="E22" t="s">
        <v>277</v>
      </c>
      <c r="F22" s="29">
        <f>281.6*10^-6</f>
        <v>2.8160000000000001E-4</v>
      </c>
      <c r="G22" t="s">
        <v>469</v>
      </c>
      <c r="I22" s="142" t="s">
        <v>11</v>
      </c>
      <c r="J22" t="s">
        <v>67</v>
      </c>
      <c r="K22" t="s">
        <v>58</v>
      </c>
      <c r="L22" s="1">
        <v>1.43</v>
      </c>
      <c r="P22" s="150"/>
      <c r="Q22" t="s">
        <v>267</v>
      </c>
      <c r="R22" s="49" t="s">
        <v>300</v>
      </c>
      <c r="S22" t="s">
        <v>277</v>
      </c>
      <c r="T22" s="29">
        <f>281.6*10^-6</f>
        <v>2.8160000000000001E-4</v>
      </c>
      <c r="U22" t="s">
        <v>469</v>
      </c>
      <c r="W22" s="149" t="s">
        <v>11</v>
      </c>
      <c r="X22" t="s">
        <v>67</v>
      </c>
      <c r="Y22" t="s">
        <v>58</v>
      </c>
      <c r="Z22" s="1">
        <v>1.43</v>
      </c>
      <c r="AD22" s="170"/>
      <c r="AE22" s="125"/>
      <c r="AF22" s="125"/>
      <c r="AG22" s="125"/>
      <c r="AH22" s="128"/>
      <c r="AI22" s="125"/>
      <c r="AK22" s="170"/>
      <c r="AL22" s="125"/>
      <c r="AM22" s="125"/>
      <c r="AN22" s="125"/>
    </row>
    <row r="23" spans="2:77" x14ac:dyDescent="0.25">
      <c r="B23" s="143"/>
      <c r="C23" t="s">
        <v>268</v>
      </c>
      <c r="D23" s="49" t="s">
        <v>301</v>
      </c>
      <c r="E23" t="s">
        <v>278</v>
      </c>
      <c r="F23" s="29">
        <f>0.2938*10^-6</f>
        <v>2.938E-7</v>
      </c>
      <c r="G23" t="s">
        <v>469</v>
      </c>
      <c r="I23" s="143"/>
      <c r="J23" t="s">
        <v>68</v>
      </c>
      <c r="K23" t="s">
        <v>58</v>
      </c>
      <c r="L23" s="1">
        <f>1.25*L4/L7</f>
        <v>1.6379310344827587</v>
      </c>
      <c r="M23" t="s">
        <v>215</v>
      </c>
      <c r="P23" s="150"/>
      <c r="Q23" t="s">
        <v>268</v>
      </c>
      <c r="R23" s="49" t="s">
        <v>301</v>
      </c>
      <c r="S23" t="s">
        <v>278</v>
      </c>
      <c r="T23" s="29">
        <f>0.2938*10^-6</f>
        <v>2.938E-7</v>
      </c>
      <c r="U23" t="s">
        <v>469</v>
      </c>
      <c r="W23" s="150"/>
      <c r="X23" t="s">
        <v>68</v>
      </c>
      <c r="Y23" t="s">
        <v>58</v>
      </c>
      <c r="Z23" s="1">
        <f>1.25*Z4/Z7</f>
        <v>1.6379310344827587</v>
      </c>
      <c r="AA23" t="s">
        <v>215</v>
      </c>
      <c r="AD23" s="170"/>
      <c r="AE23" s="125"/>
      <c r="AF23" s="125"/>
      <c r="AG23" s="125"/>
      <c r="AH23" s="128"/>
      <c r="AI23" s="125"/>
      <c r="AK23" s="170"/>
      <c r="AL23" s="125"/>
      <c r="AM23" s="125"/>
      <c r="AN23" s="125"/>
      <c r="BK23" s="43" t="s">
        <v>399</v>
      </c>
      <c r="BL23" s="31" t="s">
        <v>652</v>
      </c>
      <c r="BM23" s="31" t="s">
        <v>653</v>
      </c>
      <c r="BN23" s="31" t="s">
        <v>654</v>
      </c>
      <c r="BO23" s="31" t="s">
        <v>655</v>
      </c>
      <c r="BP23" s="31" t="s">
        <v>656</v>
      </c>
      <c r="BQ23" s="31" t="s">
        <v>657</v>
      </c>
      <c r="BR23" s="31" t="s">
        <v>658</v>
      </c>
      <c r="BS23" s="31" t="s">
        <v>659</v>
      </c>
      <c r="BT23" s="31" t="s">
        <v>660</v>
      </c>
      <c r="BU23" s="31" t="s">
        <v>661</v>
      </c>
      <c r="BV23" s="31" t="s">
        <v>662</v>
      </c>
      <c r="BW23" s="31" t="s">
        <v>663</v>
      </c>
      <c r="BX23" s="31" t="s">
        <v>664</v>
      </c>
      <c r="BY23" s="31" t="s">
        <v>665</v>
      </c>
    </row>
    <row r="24" spans="2:77" ht="15.75" customHeight="1" thickBot="1" x14ac:dyDescent="0.3">
      <c r="B24" s="143"/>
      <c r="C24" s="49" t="s">
        <v>264</v>
      </c>
      <c r="D24" t="s">
        <v>302</v>
      </c>
      <c r="E24" t="s">
        <v>279</v>
      </c>
      <c r="F24" s="68">
        <v>4216.1494308387</v>
      </c>
      <c r="G24" t="s">
        <v>469</v>
      </c>
      <c r="I24" s="143"/>
      <c r="J24" t="s">
        <v>213</v>
      </c>
      <c r="K24" t="s">
        <v>58</v>
      </c>
      <c r="L24" s="1">
        <f>MAX(L22,L23)</f>
        <v>1.6379310344827587</v>
      </c>
      <c r="M24" t="s">
        <v>214</v>
      </c>
      <c r="P24" s="150"/>
      <c r="Q24" s="49" t="s">
        <v>264</v>
      </c>
      <c r="R24" t="s">
        <v>302</v>
      </c>
      <c r="S24" t="s">
        <v>279</v>
      </c>
      <c r="T24" s="68">
        <v>4216.1494308387</v>
      </c>
      <c r="U24" t="s">
        <v>469</v>
      </c>
      <c r="W24" s="150"/>
      <c r="X24" t="s">
        <v>213</v>
      </c>
      <c r="Y24" t="s">
        <v>58</v>
      </c>
      <c r="Z24" s="1">
        <f>MAX(Z22,Z23)</f>
        <v>1.6379310344827587</v>
      </c>
      <c r="AA24" t="s">
        <v>214</v>
      </c>
      <c r="AD24" s="170"/>
      <c r="AE24" s="129"/>
      <c r="AF24" s="129"/>
      <c r="AG24" s="129"/>
      <c r="AH24" s="131"/>
      <c r="AI24" s="132"/>
      <c r="AL24" s="125"/>
      <c r="AM24" s="125"/>
      <c r="AN24" s="125"/>
      <c r="BK24" s="148" t="s">
        <v>385</v>
      </c>
      <c r="BL24" s="152" t="s">
        <v>389</v>
      </c>
      <c r="BM24" s="152" t="s">
        <v>390</v>
      </c>
      <c r="BN24" s="152" t="s">
        <v>388</v>
      </c>
      <c r="BO24" s="152" t="s">
        <v>395</v>
      </c>
      <c r="BP24" s="152" t="s">
        <v>394</v>
      </c>
      <c r="BQ24" s="152" t="s">
        <v>393</v>
      </c>
      <c r="BR24" s="187" t="s">
        <v>601</v>
      </c>
      <c r="BS24" s="152" t="s">
        <v>124</v>
      </c>
      <c r="BT24" s="152" t="s">
        <v>396</v>
      </c>
      <c r="BU24" s="152" t="s">
        <v>391</v>
      </c>
      <c r="BV24" s="152" t="s">
        <v>392</v>
      </c>
      <c r="BW24" s="152" t="s">
        <v>415</v>
      </c>
      <c r="BX24" s="152" t="s">
        <v>415</v>
      </c>
      <c r="BY24" s="152" t="s">
        <v>397</v>
      </c>
    </row>
    <row r="25" spans="2:77" ht="15" customHeight="1" x14ac:dyDescent="0.25">
      <c r="B25" s="143"/>
      <c r="C25" t="s">
        <v>269</v>
      </c>
      <c r="D25" t="s">
        <v>303</v>
      </c>
      <c r="E25" t="s">
        <v>278</v>
      </c>
      <c r="F25" s="29">
        <f>F26/(F16*F24)</f>
        <v>1.6760107785891085E-7</v>
      </c>
      <c r="G25" t="s">
        <v>469</v>
      </c>
      <c r="I25" s="143"/>
      <c r="J25" t="s">
        <v>120</v>
      </c>
      <c r="K25" t="s">
        <v>57</v>
      </c>
      <c r="L25" s="1">
        <f>(L13*2*L4/L9*L12)/((F4-L13)*L23)</f>
        <v>4.5714285714285703</v>
      </c>
      <c r="P25" s="150"/>
      <c r="Q25" t="s">
        <v>269</v>
      </c>
      <c r="R25" t="s">
        <v>303</v>
      </c>
      <c r="S25" t="s">
        <v>278</v>
      </c>
      <c r="T25" s="29">
        <f>T26/(T16*T24)</f>
        <v>1.6760107785891085E-7</v>
      </c>
      <c r="U25" t="s">
        <v>469</v>
      </c>
      <c r="W25" s="150"/>
      <c r="X25" t="s">
        <v>120</v>
      </c>
      <c r="Y25" t="s">
        <v>57</v>
      </c>
      <c r="Z25" s="1">
        <f>(Z13*2*Z4/Z9*Z12)/((T4-Z13)*Z23)</f>
        <v>4.5714285714285703</v>
      </c>
      <c r="AD25" s="170"/>
      <c r="AE25" s="125"/>
      <c r="AF25" s="125"/>
      <c r="AG25" s="125"/>
      <c r="AH25" s="128"/>
      <c r="AI25" s="132"/>
      <c r="AK25" s="170"/>
      <c r="AL25" s="125"/>
      <c r="AM25" s="125"/>
      <c r="AN25" s="125"/>
      <c r="AT25" s="175" t="s">
        <v>369</v>
      </c>
      <c r="AU25" s="80" t="s">
        <v>335</v>
      </c>
      <c r="AV25" s="41"/>
      <c r="AW25" s="34">
        <v>1</v>
      </c>
      <c r="AX25" s="34">
        <v>2</v>
      </c>
      <c r="AY25" s="34">
        <v>3</v>
      </c>
      <c r="AZ25" s="34">
        <v>4</v>
      </c>
      <c r="BA25" s="34">
        <v>5</v>
      </c>
      <c r="BB25" s="34">
        <v>6</v>
      </c>
      <c r="BC25" s="34">
        <v>7</v>
      </c>
      <c r="BD25" s="34">
        <v>8</v>
      </c>
      <c r="BE25" s="34">
        <v>9</v>
      </c>
      <c r="BF25" s="34">
        <v>10</v>
      </c>
      <c r="BG25" s="34">
        <v>11</v>
      </c>
      <c r="BH25" s="34">
        <v>12</v>
      </c>
      <c r="BI25" s="35">
        <v>13</v>
      </c>
      <c r="BK25" s="148"/>
      <c r="BL25" s="152"/>
      <c r="BM25" s="152"/>
      <c r="BN25" s="152"/>
      <c r="BO25" s="152"/>
      <c r="BP25" s="152"/>
      <c r="BQ25" s="152"/>
      <c r="BR25" s="189"/>
      <c r="BS25" s="152"/>
      <c r="BT25" s="152"/>
      <c r="BU25" s="152"/>
      <c r="BV25" s="152"/>
      <c r="BW25" s="152"/>
      <c r="BX25" s="152"/>
      <c r="BY25" s="152"/>
    </row>
    <row r="26" spans="2:77" ht="15.75" thickBot="1" x14ac:dyDescent="0.3">
      <c r="B26" s="143"/>
      <c r="C26" t="s">
        <v>270</v>
      </c>
      <c r="D26" t="s">
        <v>304</v>
      </c>
      <c r="E26" t="s">
        <v>282</v>
      </c>
      <c r="F26" s="29">
        <f>677.2*10^-3</f>
        <v>0.67720000000000002</v>
      </c>
      <c r="G26" t="s">
        <v>469</v>
      </c>
      <c r="I26" s="144"/>
      <c r="J26" t="s">
        <v>69</v>
      </c>
      <c r="K26" t="s">
        <v>57</v>
      </c>
      <c r="L26" s="1">
        <f>(L13*2*L7/L8*L12)/(F4-L13)</f>
        <v>2.9999999999999996</v>
      </c>
      <c r="M26" t="s">
        <v>188</v>
      </c>
      <c r="P26" s="150"/>
      <c r="Q26" t="s">
        <v>270</v>
      </c>
      <c r="R26" t="s">
        <v>304</v>
      </c>
      <c r="S26" t="s">
        <v>282</v>
      </c>
      <c r="T26" s="29">
        <f>677.2*10^-3</f>
        <v>0.67720000000000002</v>
      </c>
      <c r="U26" t="s">
        <v>469</v>
      </c>
      <c r="W26" s="151"/>
      <c r="X26" t="s">
        <v>69</v>
      </c>
      <c r="Y26" t="s">
        <v>57</v>
      </c>
      <c r="Z26" s="1">
        <f>(Z13*2*Z7/Z8*Z12)/(T4-Z13)</f>
        <v>2.9999999999999996</v>
      </c>
      <c r="AA26" t="s">
        <v>188</v>
      </c>
      <c r="AD26" s="170"/>
      <c r="AE26" s="125"/>
      <c r="AF26" s="125"/>
      <c r="AG26" s="125"/>
      <c r="AH26" s="126"/>
      <c r="AI26" s="133"/>
      <c r="AK26" s="170"/>
      <c r="AL26" s="125"/>
      <c r="AM26" s="125"/>
      <c r="AN26" s="125"/>
      <c r="AT26" s="176"/>
      <c r="AU26" s="183" t="s">
        <v>336</v>
      </c>
      <c r="AV26" s="162"/>
      <c r="AW26" s="163" t="s">
        <v>0</v>
      </c>
      <c r="AX26" s="163" t="s">
        <v>337</v>
      </c>
      <c r="AY26" s="163" t="s">
        <v>338</v>
      </c>
      <c r="AZ26" s="163" t="s">
        <v>339</v>
      </c>
      <c r="BA26" s="163" t="s">
        <v>340</v>
      </c>
      <c r="BB26" s="163" t="s">
        <v>407</v>
      </c>
      <c r="BC26" s="163" t="s">
        <v>408</v>
      </c>
      <c r="BD26" s="163" t="s">
        <v>409</v>
      </c>
      <c r="BE26" s="163" t="s">
        <v>410</v>
      </c>
      <c r="BF26" s="163" t="s">
        <v>341</v>
      </c>
      <c r="BG26" s="163" t="s">
        <v>342</v>
      </c>
      <c r="BH26" s="163" t="s">
        <v>343</v>
      </c>
      <c r="BI26" s="190" t="s">
        <v>344</v>
      </c>
      <c r="BK26" s="148"/>
      <c r="BL26" s="152"/>
      <c r="BM26" s="152"/>
      <c r="BN26" s="152"/>
      <c r="BO26" s="152"/>
      <c r="BP26" s="152"/>
      <c r="BQ26" s="152"/>
      <c r="BR26" s="188"/>
      <c r="BS26" s="152"/>
      <c r="BT26" s="152"/>
      <c r="BU26" s="152"/>
      <c r="BV26" s="152"/>
      <c r="BW26" s="152"/>
      <c r="BX26" s="152"/>
      <c r="BY26" s="152"/>
    </row>
    <row r="27" spans="2:77" ht="15.75" thickBot="1" x14ac:dyDescent="0.3">
      <c r="B27" s="143"/>
      <c r="C27" t="s">
        <v>371</v>
      </c>
      <c r="D27" t="s">
        <v>470</v>
      </c>
      <c r="E27" t="s">
        <v>177</v>
      </c>
      <c r="F27" s="29">
        <f>33.7/1000</f>
        <v>3.3700000000000001E-2</v>
      </c>
      <c r="G27" t="s">
        <v>612</v>
      </c>
      <c r="I27" s="44"/>
      <c r="J27" s="4"/>
      <c r="K27" s="4"/>
      <c r="L27" s="11"/>
      <c r="M27" s="4"/>
      <c r="P27" s="150"/>
      <c r="Q27" t="s">
        <v>371</v>
      </c>
      <c r="R27" t="s">
        <v>470</v>
      </c>
      <c r="S27" t="s">
        <v>177</v>
      </c>
      <c r="T27" s="29">
        <f>Tabelle5[[#This Row],[Wert]]</f>
        <v>3.3700000000000001E-2</v>
      </c>
      <c r="U27" t="str">
        <f>Tabelle5[[#This Row],[Kommentar]]</f>
        <v>R! Rohr Wasser 1"</v>
      </c>
      <c r="W27" s="44"/>
      <c r="X27" s="4"/>
      <c r="Y27" s="4"/>
      <c r="Z27" s="11"/>
      <c r="AA27" s="4"/>
      <c r="AD27" s="170"/>
      <c r="AE27" s="125"/>
      <c r="AF27" s="125"/>
      <c r="AG27" s="125"/>
      <c r="AH27" s="128"/>
      <c r="AI27" s="125"/>
      <c r="AK27" s="170"/>
      <c r="AL27" s="125"/>
      <c r="AM27" s="125"/>
      <c r="AN27" s="125"/>
      <c r="AT27" s="176"/>
      <c r="AU27" s="183"/>
      <c r="AV27" s="162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3"/>
      <c r="BI27" s="190"/>
      <c r="BK27" s="155" t="s">
        <v>386</v>
      </c>
      <c r="BL27" s="38" t="s">
        <v>722</v>
      </c>
      <c r="BM27" s="38" t="s">
        <v>723</v>
      </c>
      <c r="BN27" s="38" t="s">
        <v>405</v>
      </c>
      <c r="BO27" s="38" t="s">
        <v>724</v>
      </c>
      <c r="BP27" s="38" t="s">
        <v>725</v>
      </c>
      <c r="BQ27" s="38"/>
      <c r="BR27" s="38" t="s">
        <v>726</v>
      </c>
      <c r="BS27" s="38" t="s">
        <v>727</v>
      </c>
      <c r="BT27" s="38" t="s">
        <v>721</v>
      </c>
      <c r="BU27" s="38" t="s">
        <v>720</v>
      </c>
      <c r="BV27" s="38"/>
      <c r="BW27" s="38" t="s">
        <v>418</v>
      </c>
      <c r="BX27" s="38" t="s">
        <v>735</v>
      </c>
      <c r="BY27" s="31" t="s">
        <v>737</v>
      </c>
    </row>
    <row r="28" spans="2:77" x14ac:dyDescent="0.25">
      <c r="B28" s="143"/>
      <c r="C28" t="s">
        <v>372</v>
      </c>
      <c r="D28" t="s">
        <v>471</v>
      </c>
      <c r="E28" t="s">
        <v>177</v>
      </c>
      <c r="F28" s="29">
        <f>27.2/1000</f>
        <v>2.7199999999999998E-2</v>
      </c>
      <c r="G28" t="s">
        <v>612</v>
      </c>
      <c r="I28" s="142" t="s">
        <v>10</v>
      </c>
      <c r="J28" t="s">
        <v>70</v>
      </c>
      <c r="K28" t="s">
        <v>59</v>
      </c>
      <c r="L28" s="1">
        <v>365</v>
      </c>
      <c r="M28" t="s">
        <v>21</v>
      </c>
      <c r="P28" s="150"/>
      <c r="Q28" t="s">
        <v>372</v>
      </c>
      <c r="R28" t="s">
        <v>471</v>
      </c>
      <c r="S28" t="s">
        <v>177</v>
      </c>
      <c r="T28" s="29">
        <f>Tabelle5[[#This Row],[Wert]]</f>
        <v>2.7199999999999998E-2</v>
      </c>
      <c r="U28" t="str">
        <f>Tabelle5[[#This Row],[Kommentar]]</f>
        <v>R! Rohr Wasser 1"</v>
      </c>
      <c r="W28" s="149" t="s">
        <v>10</v>
      </c>
      <c r="X28" t="s">
        <v>70</v>
      </c>
      <c r="Y28" t="s">
        <v>59</v>
      </c>
      <c r="Z28" s="1">
        <v>365</v>
      </c>
      <c r="AA28" t="s">
        <v>21</v>
      </c>
      <c r="AD28" s="170"/>
      <c r="AE28" s="129"/>
      <c r="AF28" s="129"/>
      <c r="AG28" s="129"/>
      <c r="AH28" s="131"/>
      <c r="AI28" s="129"/>
      <c r="AK28" s="170"/>
      <c r="AL28" s="125"/>
      <c r="AM28" s="125"/>
      <c r="AN28" s="125"/>
      <c r="AT28" s="176"/>
      <c r="AU28" s="182" t="s">
        <v>345</v>
      </c>
      <c r="AV28" s="31" t="s">
        <v>346</v>
      </c>
      <c r="AW28" s="33">
        <f>F15*3600</f>
        <v>100</v>
      </c>
      <c r="AX28" s="33">
        <f>AW28</f>
        <v>100</v>
      </c>
      <c r="AY28" s="33">
        <f>AX28</f>
        <v>100</v>
      </c>
      <c r="AZ28" s="33">
        <f>AY28</f>
        <v>100</v>
      </c>
      <c r="BA28" s="33">
        <f>AZ28</f>
        <v>100</v>
      </c>
      <c r="BB28" s="33">
        <f>F71*3600</f>
        <v>4660.6685512136855</v>
      </c>
      <c r="BC28" s="33">
        <f>BB28</f>
        <v>4660.6685512136855</v>
      </c>
      <c r="BD28" s="33">
        <f>F92*3600</f>
        <v>344.90353956465822</v>
      </c>
      <c r="BE28" s="33">
        <f>BD28</f>
        <v>344.90353956465822</v>
      </c>
      <c r="BF28" s="33">
        <f>F113*3600</f>
        <v>1726.8204385599959</v>
      </c>
      <c r="BG28" s="33">
        <f>BF28</f>
        <v>1726.8204385599959</v>
      </c>
      <c r="BH28" s="33">
        <f>F134*3600</f>
        <v>1620.0211929089828</v>
      </c>
      <c r="BI28" s="37">
        <f>F138*3600</f>
        <v>1620.0211929089828</v>
      </c>
      <c r="BK28" s="155"/>
      <c r="BL28" s="38"/>
      <c r="BM28" s="116">
        <v>14</v>
      </c>
      <c r="BN28" s="38"/>
      <c r="BO28" s="38"/>
      <c r="BP28" s="38" t="s">
        <v>602</v>
      </c>
      <c r="BQ28" s="116"/>
      <c r="BR28" s="116"/>
      <c r="BS28" s="116" t="s">
        <v>739</v>
      </c>
      <c r="BT28" s="116" t="s">
        <v>738</v>
      </c>
      <c r="BU28" s="116" t="s">
        <v>740</v>
      </c>
      <c r="BV28" s="117" t="s">
        <v>728</v>
      </c>
      <c r="BW28" s="38" t="s">
        <v>731</v>
      </c>
      <c r="BX28" s="38" t="s">
        <v>730</v>
      </c>
      <c r="BY28" s="31" t="s">
        <v>600</v>
      </c>
    </row>
    <row r="29" spans="2:77" ht="15.75" thickBot="1" x14ac:dyDescent="0.3">
      <c r="B29" s="144"/>
      <c r="C29" s="19" t="s">
        <v>375</v>
      </c>
      <c r="D29" s="19" t="s">
        <v>474</v>
      </c>
      <c r="E29" s="19" t="s">
        <v>176</v>
      </c>
      <c r="F29" s="56">
        <f>3.14*F28^2/4</f>
        <v>5.8077439999999997E-4</v>
      </c>
      <c r="G29" t="s">
        <v>612</v>
      </c>
      <c r="I29" s="143"/>
      <c r="J29" t="s">
        <v>71</v>
      </c>
      <c r="K29" t="s">
        <v>59</v>
      </c>
      <c r="L29" s="1">
        <v>1000</v>
      </c>
      <c r="M29" t="s">
        <v>23</v>
      </c>
      <c r="P29" s="151"/>
      <c r="Q29" s="19" t="s">
        <v>375</v>
      </c>
      <c r="R29" s="19" t="s">
        <v>474</v>
      </c>
      <c r="S29" s="19" t="s">
        <v>176</v>
      </c>
      <c r="T29" s="56">
        <f>Tabelle5[[#This Row],[Wert]]</f>
        <v>5.8077439999999997E-4</v>
      </c>
      <c r="U29" t="str">
        <f>Tabelle5[[#This Row],[Kommentar]]</f>
        <v>R! Rohr Wasser 1"</v>
      </c>
      <c r="W29" s="150"/>
      <c r="X29" t="s">
        <v>71</v>
      </c>
      <c r="Y29" t="s">
        <v>59</v>
      </c>
      <c r="Z29" s="1">
        <v>1095</v>
      </c>
      <c r="AA29" t="s">
        <v>23</v>
      </c>
      <c r="AD29" s="170"/>
      <c r="AE29" s="125"/>
      <c r="AF29" s="125"/>
      <c r="AG29" s="125"/>
      <c r="AH29" s="128"/>
      <c r="AI29" s="125"/>
      <c r="AK29" s="170"/>
      <c r="AL29" s="125"/>
      <c r="AM29" s="125"/>
      <c r="AN29" s="125"/>
      <c r="AT29" s="176"/>
      <c r="AU29" s="182"/>
      <c r="AV29" s="31" t="s">
        <v>347</v>
      </c>
      <c r="AW29" s="33">
        <f>F17*3600</f>
        <v>0.10434601137371523</v>
      </c>
      <c r="AX29" s="33">
        <f>F32*3600</f>
        <v>0.10433694360393873</v>
      </c>
      <c r="AY29" s="33">
        <f>F42*3600</f>
        <v>0.11142624283287084</v>
      </c>
      <c r="AZ29" s="33">
        <f>F52*3600</f>
        <v>24.261579551606985</v>
      </c>
      <c r="BA29" s="33">
        <f>F62*3600</f>
        <v>191.29546874372241</v>
      </c>
      <c r="BB29" s="33">
        <f>F73*3600</f>
        <v>4.7952402828455645</v>
      </c>
      <c r="BC29" s="33">
        <f>F84*3600</f>
        <v>4.8342146067595522</v>
      </c>
      <c r="BD29" s="33">
        <f>F94*3600</f>
        <v>0.35486225386823028</v>
      </c>
      <c r="BE29" s="33">
        <f>F105*3600</f>
        <v>0.34903000255858352</v>
      </c>
      <c r="BF29" s="33">
        <f>F115*3600</f>
        <v>1.727254446909227</v>
      </c>
      <c r="BG29" s="33">
        <f>F126*3600</f>
        <v>1.7286966753785342</v>
      </c>
      <c r="BH29" s="33">
        <f>BH28/BH32</f>
        <v>0.82443826611144166</v>
      </c>
      <c r="BI29" s="33">
        <f>BI28/BI32</f>
        <v>0.78833148073429815</v>
      </c>
      <c r="BK29" s="155"/>
      <c r="BL29" s="118" t="s">
        <v>609</v>
      </c>
      <c r="BM29" s="118" t="s">
        <v>401</v>
      </c>
      <c r="BN29" s="118" t="s">
        <v>417</v>
      </c>
      <c r="BO29" s="118" t="s">
        <v>610</v>
      </c>
      <c r="BP29" s="118" t="s">
        <v>611</v>
      </c>
      <c r="BQ29" s="118" t="s">
        <v>402</v>
      </c>
      <c r="BR29" s="118" t="s">
        <v>599</v>
      </c>
      <c r="BS29" s="118" t="s">
        <v>400</v>
      </c>
      <c r="BT29" s="118" t="s">
        <v>402</v>
      </c>
      <c r="BU29" s="118" t="s">
        <v>411</v>
      </c>
      <c r="BV29" s="118" t="s">
        <v>729</v>
      </c>
      <c r="BW29" s="118" t="s">
        <v>417</v>
      </c>
      <c r="BX29" s="118" t="s">
        <v>400</v>
      </c>
      <c r="BY29" s="119" t="s">
        <v>741</v>
      </c>
    </row>
    <row r="30" spans="2:77" x14ac:dyDescent="0.25">
      <c r="B30" s="142" t="s">
        <v>465</v>
      </c>
      <c r="C30" s="15" t="s">
        <v>319</v>
      </c>
      <c r="D30" s="15" t="s">
        <v>324</v>
      </c>
      <c r="E30" s="15" t="s">
        <v>45</v>
      </c>
      <c r="F30" s="57">
        <f>F40</f>
        <v>2.7777777777777776E-2</v>
      </c>
      <c r="G30" s="15"/>
      <c r="I30" s="143"/>
      <c r="J30" t="s">
        <v>72</v>
      </c>
      <c r="K30" t="s">
        <v>59</v>
      </c>
      <c r="L30" s="1">
        <f>2*10^6</f>
        <v>2000000</v>
      </c>
      <c r="M30" t="s">
        <v>35</v>
      </c>
      <c r="P30" s="149" t="s">
        <v>465</v>
      </c>
      <c r="Q30" s="15" t="s">
        <v>319</v>
      </c>
      <c r="R30" s="15" t="s">
        <v>324</v>
      </c>
      <c r="S30" s="15" t="s">
        <v>45</v>
      </c>
      <c r="T30" s="57">
        <f>T40</f>
        <v>4.6004508675437164E-2</v>
      </c>
      <c r="U30" s="15"/>
      <c r="W30" s="150"/>
      <c r="X30" t="s">
        <v>72</v>
      </c>
      <c r="Y30" t="s">
        <v>59</v>
      </c>
      <c r="Z30" s="1">
        <f>2*10^6</f>
        <v>2000000</v>
      </c>
      <c r="AA30" t="s">
        <v>35</v>
      </c>
      <c r="AD30" s="170"/>
      <c r="AE30" s="125"/>
      <c r="AF30" s="125"/>
      <c r="AG30" s="125"/>
      <c r="AH30" s="128"/>
      <c r="AI30" s="125"/>
      <c r="AK30" s="170"/>
      <c r="AL30" s="125"/>
      <c r="AM30" s="125"/>
      <c r="AN30" s="125"/>
      <c r="AT30" s="176"/>
      <c r="AU30" s="30" t="s">
        <v>348</v>
      </c>
      <c r="AV30" s="31" t="s">
        <v>48</v>
      </c>
      <c r="AW30" s="33">
        <f>F19</f>
        <v>1</v>
      </c>
      <c r="AX30" s="33">
        <f>F34</f>
        <v>7.9205318368768998</v>
      </c>
      <c r="AY30" s="33">
        <f>F44</f>
        <v>7.9205318368768998</v>
      </c>
      <c r="AZ30" s="33">
        <f>F154</f>
        <v>7.9205318368768998</v>
      </c>
      <c r="BA30" s="33">
        <f>F64</f>
        <v>1</v>
      </c>
      <c r="BB30" s="33">
        <f>F75</f>
        <v>4</v>
      </c>
      <c r="BC30" s="33">
        <f>F86</f>
        <v>4</v>
      </c>
      <c r="BD30" s="33">
        <f>F96</f>
        <v>4</v>
      </c>
      <c r="BE30" s="33">
        <f>F107</f>
        <v>4</v>
      </c>
      <c r="BF30" s="33">
        <f>F117</f>
        <v>4</v>
      </c>
      <c r="BG30" s="33">
        <f>F128</f>
        <v>4</v>
      </c>
      <c r="BH30" s="33">
        <f>F136</f>
        <v>1</v>
      </c>
      <c r="BI30" s="37">
        <f>F139</f>
        <v>1</v>
      </c>
      <c r="BK30" s="141" t="s">
        <v>593</v>
      </c>
      <c r="BL30" s="152" t="s">
        <v>58</v>
      </c>
      <c r="BM30" s="152">
        <v>9</v>
      </c>
      <c r="BN30" s="152" t="s">
        <v>58</v>
      </c>
      <c r="BO30" s="152" t="s">
        <v>58</v>
      </c>
      <c r="BP30" s="152" t="s">
        <v>58</v>
      </c>
      <c r="BQ30" s="152">
        <v>25</v>
      </c>
      <c r="BR30" s="187">
        <v>1</v>
      </c>
      <c r="BS30" s="152">
        <v>51</v>
      </c>
      <c r="BT30" s="152">
        <v>30</v>
      </c>
      <c r="BU30" s="152">
        <v>42</v>
      </c>
      <c r="BV30" s="152">
        <v>20</v>
      </c>
      <c r="BW30" s="152">
        <v>6</v>
      </c>
      <c r="BX30" s="152">
        <v>10</v>
      </c>
      <c r="BY30" s="153">
        <v>1</v>
      </c>
    </row>
    <row r="31" spans="2:77" x14ac:dyDescent="0.25">
      <c r="B31" s="143"/>
      <c r="C31" t="s">
        <v>352</v>
      </c>
      <c r="D31" s="49" t="s">
        <v>299</v>
      </c>
      <c r="E31" t="s">
        <v>129</v>
      </c>
      <c r="F31" s="58">
        <v>958.43328878405998</v>
      </c>
      <c r="G31" s="2" t="s">
        <v>750</v>
      </c>
      <c r="I31" s="143"/>
      <c r="J31" t="s">
        <v>73</v>
      </c>
      <c r="K31" t="s">
        <v>58</v>
      </c>
      <c r="L31" s="1">
        <v>3</v>
      </c>
      <c r="M31" t="s">
        <v>24</v>
      </c>
      <c r="P31" s="150"/>
      <c r="Q31" t="s">
        <v>352</v>
      </c>
      <c r="R31" s="49" t="s">
        <v>299</v>
      </c>
      <c r="S31" t="s">
        <v>129</v>
      </c>
      <c r="T31" s="58">
        <v>958.43341061269996</v>
      </c>
      <c r="U31" s="2" t="s">
        <v>750</v>
      </c>
      <c r="W31" s="150"/>
      <c r="X31" t="s">
        <v>73</v>
      </c>
      <c r="Y31" t="s">
        <v>58</v>
      </c>
      <c r="Z31" s="1">
        <v>3</v>
      </c>
      <c r="AA31" t="s">
        <v>24</v>
      </c>
      <c r="AD31" s="170"/>
      <c r="AE31" s="129"/>
      <c r="AF31" s="129"/>
      <c r="AG31" s="129"/>
      <c r="AH31" s="131"/>
      <c r="AI31" s="129"/>
      <c r="AK31" s="170"/>
      <c r="AL31" s="125"/>
      <c r="AM31" s="125"/>
      <c r="AN31" s="125"/>
      <c r="AT31" s="176"/>
      <c r="AU31" s="30" t="s">
        <v>349</v>
      </c>
      <c r="AV31" s="31" t="s">
        <v>49</v>
      </c>
      <c r="AW31" s="33">
        <f>F18</f>
        <v>100</v>
      </c>
      <c r="AX31" s="33">
        <f>F33</f>
        <v>23</v>
      </c>
      <c r="AY31" s="33">
        <f>F43</f>
        <v>170</v>
      </c>
      <c r="AZ31" s="33">
        <f>F53</f>
        <v>170</v>
      </c>
      <c r="BA31" s="33">
        <f>F63</f>
        <v>145</v>
      </c>
      <c r="BB31" s="33">
        <f>F74</f>
        <v>80</v>
      </c>
      <c r="BC31" s="33">
        <f>F85</f>
        <v>92</v>
      </c>
      <c r="BD31" s="33">
        <f>F95</f>
        <v>80</v>
      </c>
      <c r="BE31" s="33">
        <f>F106</f>
        <v>50</v>
      </c>
      <c r="BF31" s="33">
        <f>F116</f>
        <v>11</v>
      </c>
      <c r="BG31" s="33">
        <f>F127</f>
        <v>17</v>
      </c>
      <c r="BH31" s="33">
        <f>F135</f>
        <v>250</v>
      </c>
      <c r="BI31" s="37">
        <f>F141</f>
        <v>215</v>
      </c>
      <c r="BK31" s="141"/>
      <c r="BL31" s="152"/>
      <c r="BM31" s="152"/>
      <c r="BN31" s="152"/>
      <c r="BO31" s="152"/>
      <c r="BP31" s="152"/>
      <c r="BQ31" s="152"/>
      <c r="BR31" s="188"/>
      <c r="BS31" s="152"/>
      <c r="BT31" s="152"/>
      <c r="BU31" s="152"/>
      <c r="BV31" s="152"/>
      <c r="BW31" s="152"/>
      <c r="BX31" s="152"/>
      <c r="BY31" s="154"/>
    </row>
    <row r="32" spans="2:77" x14ac:dyDescent="0.25">
      <c r="B32" s="143"/>
      <c r="C32" s="49" t="s">
        <v>353</v>
      </c>
      <c r="D32" s="49" t="s">
        <v>334</v>
      </c>
      <c r="E32" s="49" t="s">
        <v>161</v>
      </c>
      <c r="F32" s="55">
        <f>F30/F31</f>
        <v>2.8982484334427427E-5</v>
      </c>
      <c r="I32" s="143"/>
      <c r="J32" t="s">
        <v>74</v>
      </c>
      <c r="K32" t="s">
        <v>57</v>
      </c>
      <c r="L32" s="25">
        <v>5040</v>
      </c>
      <c r="M32" s="3" t="s">
        <v>709</v>
      </c>
      <c r="P32" s="150"/>
      <c r="Q32" s="49" t="s">
        <v>353</v>
      </c>
      <c r="R32" s="49" t="s">
        <v>334</v>
      </c>
      <c r="S32" s="49" t="s">
        <v>161</v>
      </c>
      <c r="T32" s="55">
        <f>T30/T31</f>
        <v>4.79996921706097E-5</v>
      </c>
      <c r="W32" s="150"/>
      <c r="X32" t="s">
        <v>74</v>
      </c>
      <c r="Y32" t="s">
        <v>57</v>
      </c>
      <c r="Z32" s="25">
        <v>7940</v>
      </c>
      <c r="AA32" s="3" t="s">
        <v>189</v>
      </c>
      <c r="AD32" s="170"/>
      <c r="AE32" s="125"/>
      <c r="AF32" s="125"/>
      <c r="AG32" s="125"/>
      <c r="AH32" s="128"/>
      <c r="AI32" s="125"/>
      <c r="AK32" s="170"/>
      <c r="AL32" s="125"/>
      <c r="AM32" s="125"/>
      <c r="AN32" s="127"/>
      <c r="AT32" s="176"/>
      <c r="AU32" s="30" t="s">
        <v>350</v>
      </c>
      <c r="AV32" s="31" t="s">
        <v>129</v>
      </c>
      <c r="AW32" s="33">
        <f>F16</f>
        <v>958.35</v>
      </c>
      <c r="AX32" s="33">
        <f>F31</f>
        <v>958.43328878405998</v>
      </c>
      <c r="AY32" s="33">
        <f>F41</f>
        <v>897.45465213244995</v>
      </c>
      <c r="AZ32" s="33">
        <f>F51</f>
        <v>4.1217431778210996</v>
      </c>
      <c r="BA32" s="33">
        <f>F61</f>
        <v>0.52275153539559005</v>
      </c>
      <c r="BB32" s="33">
        <f>F72</f>
        <v>971.93639448824001</v>
      </c>
      <c r="BC32" s="33">
        <f>F83</f>
        <v>964.10046519176001</v>
      </c>
      <c r="BD32" s="33">
        <f>F93</f>
        <v>971.93639448824001</v>
      </c>
      <c r="BE32" s="33">
        <f>F104</f>
        <v>988.17734016079999</v>
      </c>
      <c r="BF32" s="33">
        <f>F114</f>
        <v>999.74872934905</v>
      </c>
      <c r="BG32" s="33">
        <f>F125</f>
        <v>998.91465238218996</v>
      </c>
      <c r="BH32" s="33">
        <v>1965</v>
      </c>
      <c r="BI32" s="37">
        <v>2055</v>
      </c>
      <c r="BK32" s="141" t="s">
        <v>594</v>
      </c>
      <c r="BL32" s="152">
        <v>600</v>
      </c>
      <c r="BM32" s="152" t="s">
        <v>406</v>
      </c>
      <c r="BN32" s="152">
        <v>600</v>
      </c>
      <c r="BO32" s="152">
        <v>500</v>
      </c>
      <c r="BP32" s="152">
        <v>600</v>
      </c>
      <c r="BQ32" s="152" t="s">
        <v>404</v>
      </c>
      <c r="BR32" s="187">
        <v>250</v>
      </c>
      <c r="BS32" s="152" t="s">
        <v>58</v>
      </c>
      <c r="BT32" s="152" t="s">
        <v>412</v>
      </c>
      <c r="BU32" s="152" t="s">
        <v>412</v>
      </c>
      <c r="BV32" s="152">
        <v>120</v>
      </c>
      <c r="BW32" s="152" t="s">
        <v>416</v>
      </c>
      <c r="BX32" s="152" t="s">
        <v>416</v>
      </c>
      <c r="BY32" s="152">
        <v>250</v>
      </c>
    </row>
    <row r="33" spans="2:77" ht="15.75" thickBot="1" x14ac:dyDescent="0.3">
      <c r="B33" s="143"/>
      <c r="C33" s="49" t="s">
        <v>320</v>
      </c>
      <c r="D33" t="s">
        <v>325</v>
      </c>
      <c r="E33" t="s">
        <v>49</v>
      </c>
      <c r="F33" s="68">
        <v>23</v>
      </c>
      <c r="I33" s="143"/>
      <c r="J33" t="s">
        <v>75</v>
      </c>
      <c r="K33" t="s">
        <v>58</v>
      </c>
      <c r="L33" s="1">
        <v>5</v>
      </c>
      <c r="M33" t="s">
        <v>25</v>
      </c>
      <c r="P33" s="150"/>
      <c r="Q33" s="49" t="s">
        <v>320</v>
      </c>
      <c r="R33" t="s">
        <v>325</v>
      </c>
      <c r="S33" t="s">
        <v>49</v>
      </c>
      <c r="T33" s="68">
        <v>100</v>
      </c>
      <c r="W33" s="150"/>
      <c r="X33" t="s">
        <v>75</v>
      </c>
      <c r="Y33" t="s">
        <v>58</v>
      </c>
      <c r="Z33" s="1">
        <v>3</v>
      </c>
      <c r="AA33" t="s">
        <v>25</v>
      </c>
      <c r="AD33" s="170"/>
      <c r="AE33" s="125"/>
      <c r="AF33" s="125"/>
      <c r="AG33" s="125"/>
      <c r="AH33" s="128"/>
      <c r="AI33" s="125"/>
      <c r="AK33" s="170"/>
      <c r="AL33" s="125"/>
      <c r="AM33" s="125"/>
      <c r="AN33" s="125"/>
      <c r="AT33" s="176"/>
      <c r="AU33" s="30" t="s">
        <v>592</v>
      </c>
      <c r="AV33" s="31" t="s">
        <v>175</v>
      </c>
      <c r="AW33" s="33">
        <f>F21</f>
        <v>4.9907508249959612E-2</v>
      </c>
      <c r="AX33" s="33">
        <f>F36</f>
        <v>0.47676087563870978</v>
      </c>
      <c r="AY33" s="33">
        <f>F46</f>
        <v>5.329390227985583E-2</v>
      </c>
      <c r="AZ33" s="33">
        <f>F56</f>
        <v>11.604037046440345</v>
      </c>
      <c r="BA33" s="33">
        <f>F66</f>
        <v>14.300645760971875</v>
      </c>
      <c r="BB33" s="33">
        <f>F78</f>
        <v>2.2935087870252606</v>
      </c>
      <c r="BC33" s="33">
        <f>F88</f>
        <v>2.3121497620531182</v>
      </c>
      <c r="BD33" s="33">
        <f>F99</f>
        <v>0.16972657248103676</v>
      </c>
      <c r="BE33" s="33">
        <f>F109</f>
        <v>0.16693707313630804</v>
      </c>
      <c r="BF33" s="33">
        <f>F119</f>
        <v>0.82612612043373423</v>
      </c>
      <c r="BG33" s="33">
        <f>BF33</f>
        <v>0.82612612043373423</v>
      </c>
      <c r="BH33" s="33">
        <f>(BH29/3600)/(PI()/4*(BH34/1000)^2)</f>
        <v>0.46653662338043506</v>
      </c>
      <c r="BI33" s="33">
        <f>(BI29/3600)/(PI()/4*(BI34/1000)^2)</f>
        <v>0.11152609062561493</v>
      </c>
      <c r="BK33" s="141"/>
      <c r="BL33" s="152"/>
      <c r="BM33" s="152"/>
      <c r="BN33" s="152"/>
      <c r="BO33" s="152"/>
      <c r="BP33" s="152"/>
      <c r="BQ33" s="152"/>
      <c r="BR33" s="188"/>
      <c r="BS33" s="152"/>
      <c r="BT33" s="152"/>
      <c r="BU33" s="152"/>
      <c r="BV33" s="152"/>
      <c r="BW33" s="152"/>
      <c r="BX33" s="152"/>
      <c r="BY33" s="152"/>
    </row>
    <row r="34" spans="2:77" ht="15.75" thickBot="1" x14ac:dyDescent="0.3">
      <c r="B34" s="143"/>
      <c r="C34" s="49" t="s">
        <v>322</v>
      </c>
      <c r="D34" t="s">
        <v>327</v>
      </c>
      <c r="E34" t="s">
        <v>48</v>
      </c>
      <c r="F34" s="58">
        <v>7.9205318368768998</v>
      </c>
      <c r="G34" s="50" t="s">
        <v>89</v>
      </c>
      <c r="I34" s="143"/>
      <c r="J34" t="s">
        <v>76</v>
      </c>
      <c r="K34" t="s">
        <v>58</v>
      </c>
      <c r="L34" s="26">
        <v>1</v>
      </c>
      <c r="M34" t="s">
        <v>216</v>
      </c>
      <c r="P34" s="150"/>
      <c r="Q34" s="49" t="s">
        <v>322</v>
      </c>
      <c r="R34" t="s">
        <v>327</v>
      </c>
      <c r="S34" t="s">
        <v>48</v>
      </c>
      <c r="T34" s="58">
        <v>2.7025960655999999</v>
      </c>
      <c r="U34" s="50" t="s">
        <v>89</v>
      </c>
      <c r="W34" s="150"/>
      <c r="X34" t="s">
        <v>76</v>
      </c>
      <c r="Y34" t="s">
        <v>58</v>
      </c>
      <c r="Z34" s="26">
        <v>1</v>
      </c>
      <c r="AA34" t="s">
        <v>216</v>
      </c>
      <c r="AE34" s="125"/>
      <c r="AF34" s="125"/>
      <c r="AG34" s="125"/>
      <c r="AH34" s="126"/>
      <c r="AI34" s="125"/>
      <c r="AK34" s="170"/>
      <c r="AL34" s="125"/>
      <c r="AM34" s="125"/>
      <c r="AN34" s="125"/>
      <c r="AT34" s="177"/>
      <c r="AU34" s="36" t="str">
        <f t="shared" ref="AU34:BI34" si="0">AU11</f>
        <v>Nenndurchmesser</v>
      </c>
      <c r="AV34" s="75" t="str">
        <f t="shared" si="0"/>
        <v>-</v>
      </c>
      <c r="AW34" s="75">
        <f t="shared" si="0"/>
        <v>25</v>
      </c>
      <c r="AX34" s="75">
        <f t="shared" si="0"/>
        <v>8</v>
      </c>
      <c r="AY34" s="75">
        <f t="shared" si="0"/>
        <v>25</v>
      </c>
      <c r="AZ34" s="75">
        <f t="shared" si="0"/>
        <v>25</v>
      </c>
      <c r="BA34" s="75">
        <f t="shared" si="0"/>
        <v>65</v>
      </c>
      <c r="BB34" s="75">
        <f t="shared" si="0"/>
        <v>25</v>
      </c>
      <c r="BC34" s="75">
        <f t="shared" si="0"/>
        <v>25</v>
      </c>
      <c r="BD34" s="75">
        <f t="shared" si="0"/>
        <v>25</v>
      </c>
      <c r="BE34" s="75">
        <f t="shared" si="0"/>
        <v>25</v>
      </c>
      <c r="BF34" s="75">
        <f t="shared" si="0"/>
        <v>25</v>
      </c>
      <c r="BG34" s="75">
        <f t="shared" si="0"/>
        <v>25</v>
      </c>
      <c r="BH34" s="75">
        <f t="shared" si="0"/>
        <v>25</v>
      </c>
      <c r="BI34" s="79">
        <f t="shared" si="0"/>
        <v>50</v>
      </c>
      <c r="BK34" s="43" t="s">
        <v>387</v>
      </c>
      <c r="BL34" s="38">
        <v>1.4300999999999999</v>
      </c>
      <c r="BM34" s="38">
        <v>1.4540999999999999</v>
      </c>
      <c r="BN34" s="38">
        <v>1.4300999999999999</v>
      </c>
      <c r="BO34" s="82" t="s">
        <v>607</v>
      </c>
      <c r="BP34" s="82" t="s">
        <v>608</v>
      </c>
      <c r="BQ34" s="31" t="s">
        <v>403</v>
      </c>
      <c r="BR34" s="82" t="s">
        <v>604</v>
      </c>
      <c r="BS34" s="40">
        <v>1.4571000000000001</v>
      </c>
      <c r="BT34" s="38">
        <v>1.4403999999999999</v>
      </c>
      <c r="BU34" s="38">
        <v>1.4403999999999999</v>
      </c>
      <c r="BV34" s="38">
        <v>1.4400999999999999</v>
      </c>
      <c r="BW34" s="38">
        <v>1.4005000000000001</v>
      </c>
      <c r="BX34" s="38">
        <v>1.4005000000000001</v>
      </c>
      <c r="BY34" s="31">
        <v>1.4300999999999999</v>
      </c>
    </row>
    <row r="35" spans="2:77" ht="15.75" customHeight="1" x14ac:dyDescent="0.25">
      <c r="B35" s="143"/>
      <c r="C35" t="s">
        <v>321</v>
      </c>
      <c r="D35" t="s">
        <v>326</v>
      </c>
      <c r="E35" t="s">
        <v>47</v>
      </c>
      <c r="F35" s="39">
        <v>97.206161660733997</v>
      </c>
      <c r="G35" s="2" t="s">
        <v>750</v>
      </c>
      <c r="I35" s="143"/>
      <c r="J35" t="s">
        <v>77</v>
      </c>
      <c r="K35" t="s">
        <v>49</v>
      </c>
      <c r="L35" s="1">
        <f>F135</f>
        <v>250</v>
      </c>
      <c r="M35" t="s">
        <v>28</v>
      </c>
      <c r="P35" s="150"/>
      <c r="Q35" t="s">
        <v>321</v>
      </c>
      <c r="R35" t="s">
        <v>326</v>
      </c>
      <c r="S35" t="s">
        <v>47</v>
      </c>
      <c r="T35" s="58">
        <v>419.22596631571997</v>
      </c>
      <c r="U35" s="2" t="s">
        <v>750</v>
      </c>
      <c r="W35" s="150"/>
      <c r="X35" t="s">
        <v>77</v>
      </c>
      <c r="Y35" t="s">
        <v>49</v>
      </c>
      <c r="Z35" s="1">
        <f>T135</f>
        <v>250</v>
      </c>
      <c r="AA35" t="s">
        <v>28</v>
      </c>
      <c r="AD35" s="185"/>
      <c r="AE35" s="125"/>
      <c r="AF35" s="125"/>
      <c r="AG35" s="125"/>
      <c r="AH35" s="134"/>
      <c r="AI35" s="125"/>
      <c r="AK35" s="170"/>
      <c r="AL35" s="125"/>
      <c r="AM35" s="125"/>
      <c r="AN35" s="125"/>
      <c r="BK35" s="141" t="s">
        <v>329</v>
      </c>
      <c r="BL35" s="152" t="s">
        <v>398</v>
      </c>
      <c r="BM35" s="152" t="s">
        <v>606</v>
      </c>
      <c r="BN35" s="152" t="s">
        <v>58</v>
      </c>
      <c r="BO35" s="152"/>
      <c r="BP35" s="152" t="s">
        <v>398</v>
      </c>
      <c r="BQ35" s="187"/>
      <c r="BR35" s="187"/>
      <c r="BS35" s="152" t="s">
        <v>398</v>
      </c>
      <c r="BT35" s="152"/>
      <c r="BU35" s="152"/>
      <c r="BV35" s="187" t="s">
        <v>732</v>
      </c>
      <c r="BW35" s="152" t="s">
        <v>733</v>
      </c>
      <c r="BX35" s="152" t="s">
        <v>734</v>
      </c>
      <c r="BY35" s="152" t="s">
        <v>736</v>
      </c>
    </row>
    <row r="36" spans="2:77" x14ac:dyDescent="0.25">
      <c r="B36" s="143"/>
      <c r="C36" t="s">
        <v>378</v>
      </c>
      <c r="D36" t="s">
        <v>475</v>
      </c>
      <c r="E36" t="s">
        <v>175</v>
      </c>
      <c r="F36" s="29">
        <f>F32/F39</f>
        <v>0.47676087563870978</v>
      </c>
      <c r="I36" s="143"/>
      <c r="J36" t="s">
        <v>78</v>
      </c>
      <c r="K36" t="s">
        <v>49</v>
      </c>
      <c r="L36" s="1">
        <f>F157</f>
        <v>20</v>
      </c>
      <c r="P36" s="150"/>
      <c r="Q36" t="s">
        <v>378</v>
      </c>
      <c r="R36" t="s">
        <v>475</v>
      </c>
      <c r="S36" t="s">
        <v>175</v>
      </c>
      <c r="T36" s="29">
        <f>T32/T39</f>
        <v>0.78959329385247823</v>
      </c>
      <c r="W36" s="150"/>
      <c r="X36" t="s">
        <v>78</v>
      </c>
      <c r="Y36" t="s">
        <v>49</v>
      </c>
      <c r="Z36" s="1">
        <f>T157</f>
        <v>20</v>
      </c>
      <c r="AD36" s="185"/>
      <c r="AE36" s="125"/>
      <c r="AF36" s="125"/>
      <c r="AG36" s="125"/>
      <c r="AH36" s="134"/>
      <c r="AI36" s="125"/>
      <c r="AK36" s="170"/>
      <c r="AL36" s="125"/>
      <c r="AM36" s="125"/>
      <c r="AN36" s="125"/>
      <c r="BK36" s="141"/>
      <c r="BL36" s="152"/>
      <c r="BM36" s="152"/>
      <c r="BN36" s="152"/>
      <c r="BO36" s="152"/>
      <c r="BP36" s="152"/>
      <c r="BQ36" s="188"/>
      <c r="BR36" s="188"/>
      <c r="BS36" s="152"/>
      <c r="BT36" s="152"/>
      <c r="BU36" s="152"/>
      <c r="BV36" s="188"/>
      <c r="BW36" s="152"/>
      <c r="BX36" s="152"/>
      <c r="BY36" s="152"/>
    </row>
    <row r="37" spans="2:77" ht="15" customHeight="1" x14ac:dyDescent="0.25">
      <c r="B37" s="143"/>
      <c r="C37" t="s">
        <v>466</v>
      </c>
      <c r="D37" t="s">
        <v>472</v>
      </c>
      <c r="E37" t="s">
        <v>177</v>
      </c>
      <c r="F37" s="29">
        <f>13.5/1000</f>
        <v>1.35E-2</v>
      </c>
      <c r="G37" t="s">
        <v>616</v>
      </c>
      <c r="I37" s="143"/>
      <c r="J37" t="s">
        <v>79</v>
      </c>
      <c r="K37" t="s">
        <v>49</v>
      </c>
      <c r="L37" s="1">
        <f>0.25*L36+0.75*L35</f>
        <v>192.5</v>
      </c>
      <c r="M37" t="s">
        <v>30</v>
      </c>
      <c r="P37" s="150"/>
      <c r="Q37" t="s">
        <v>466</v>
      </c>
      <c r="R37" t="s">
        <v>472</v>
      </c>
      <c r="S37" t="s">
        <v>177</v>
      </c>
      <c r="T37" s="29">
        <f>Tabelle5[[#This Row],[Wert]]</f>
        <v>1.35E-2</v>
      </c>
      <c r="U37" t="str">
        <f>Tabelle5[[#This Row],[Kommentar]]</f>
        <v>R! Rohr Pumpenwasser 1/4"</v>
      </c>
      <c r="W37" s="150"/>
      <c r="X37" t="s">
        <v>79</v>
      </c>
      <c r="Y37" t="s">
        <v>49</v>
      </c>
      <c r="Z37" s="1">
        <f>0.25*Z36+0.75*Z35</f>
        <v>192.5</v>
      </c>
      <c r="AA37" t="s">
        <v>30</v>
      </c>
      <c r="AD37" s="185"/>
      <c r="AE37" s="125"/>
      <c r="AF37" s="125"/>
      <c r="AG37" s="125"/>
      <c r="AH37" s="134"/>
      <c r="AI37" s="125"/>
      <c r="AK37" s="170"/>
      <c r="AL37" s="125"/>
      <c r="AM37" s="125"/>
      <c r="AN37" s="125"/>
    </row>
    <row r="38" spans="2:77" x14ac:dyDescent="0.25">
      <c r="B38" s="143"/>
      <c r="C38" t="s">
        <v>467</v>
      </c>
      <c r="D38" t="s">
        <v>473</v>
      </c>
      <c r="E38" t="s">
        <v>177</v>
      </c>
      <c r="F38" s="29">
        <f>8.8/1000</f>
        <v>8.8000000000000005E-3</v>
      </c>
      <c r="G38" t="str">
        <f>G37</f>
        <v>R! Rohr Pumpenwasser 1/4"</v>
      </c>
      <c r="I38" s="143"/>
      <c r="J38" t="s">
        <v>80</v>
      </c>
      <c r="K38" t="s">
        <v>58</v>
      </c>
      <c r="L38" s="1">
        <f>1.043-4.3*10^-4*L37</f>
        <v>0.96022499999999988</v>
      </c>
      <c r="M38" t="s">
        <v>31</v>
      </c>
      <c r="P38" s="150"/>
      <c r="Q38" t="s">
        <v>467</v>
      </c>
      <c r="R38" t="s">
        <v>473</v>
      </c>
      <c r="S38" t="s">
        <v>177</v>
      </c>
      <c r="T38" s="29">
        <f>Tabelle5[[#This Row],[Wert]]</f>
        <v>8.8000000000000005E-3</v>
      </c>
      <c r="U38" t="str">
        <f>Tabelle5[[#This Row],[Kommentar]]</f>
        <v>R! Rohr Pumpenwasser 1/4"</v>
      </c>
      <c r="W38" s="150"/>
      <c r="X38" t="s">
        <v>80</v>
      </c>
      <c r="Y38" t="s">
        <v>58</v>
      </c>
      <c r="Z38" s="1">
        <f>1.043-4.3*10^-4*Z37</f>
        <v>0.96022499999999988</v>
      </c>
      <c r="AA38" t="s">
        <v>31</v>
      </c>
      <c r="AD38" s="185"/>
      <c r="AE38" s="125"/>
      <c r="AF38" s="125"/>
      <c r="AG38" s="125"/>
      <c r="AH38" s="134"/>
      <c r="AI38" s="125"/>
      <c r="AK38" s="170"/>
      <c r="AL38" s="125"/>
      <c r="AM38" s="125"/>
      <c r="AN38" s="125"/>
    </row>
    <row r="39" spans="2:77" ht="15.75" thickBot="1" x14ac:dyDescent="0.3">
      <c r="B39" s="144"/>
      <c r="C39" s="19" t="s">
        <v>468</v>
      </c>
      <c r="D39" s="19" t="s">
        <v>476</v>
      </c>
      <c r="E39" s="19" t="s">
        <v>176</v>
      </c>
      <c r="F39" s="56">
        <f>3.14*F38^2/4</f>
        <v>6.0790400000000007E-5</v>
      </c>
      <c r="G39" t="str">
        <f>G37</f>
        <v>R! Rohr Pumpenwasser 1/4"</v>
      </c>
      <c r="I39" s="143"/>
      <c r="J39" t="s">
        <v>26</v>
      </c>
      <c r="K39" t="s">
        <v>57</v>
      </c>
      <c r="L39" s="1">
        <f>L3</f>
        <v>3</v>
      </c>
      <c r="M39" t="s">
        <v>27</v>
      </c>
      <c r="P39" s="151"/>
      <c r="Q39" s="19" t="s">
        <v>468</v>
      </c>
      <c r="R39" s="19" t="s">
        <v>476</v>
      </c>
      <c r="S39" s="19" t="s">
        <v>176</v>
      </c>
      <c r="T39" s="56">
        <f>Tabelle5[[#This Row],[Wert]]</f>
        <v>6.0790400000000007E-5</v>
      </c>
      <c r="U39" t="str">
        <f>Tabelle5[[#This Row],[Kommentar]]</f>
        <v>R! Rohr Pumpenwasser 1/4"</v>
      </c>
      <c r="W39" s="150"/>
      <c r="X39" t="s">
        <v>26</v>
      </c>
      <c r="Y39" t="s">
        <v>57</v>
      </c>
      <c r="Z39" s="1">
        <f>Z3</f>
        <v>3</v>
      </c>
      <c r="AA39" t="s">
        <v>27</v>
      </c>
      <c r="AE39" s="125"/>
      <c r="AF39" s="125"/>
      <c r="AG39" s="125"/>
      <c r="AH39" s="126"/>
      <c r="AI39" s="125"/>
      <c r="AK39" s="170"/>
      <c r="AL39" s="125"/>
      <c r="AM39" s="125"/>
      <c r="AN39" s="125"/>
    </row>
    <row r="40" spans="2:77" x14ac:dyDescent="0.25">
      <c r="B40" s="145" t="s">
        <v>573</v>
      </c>
      <c r="C40" s="15" t="s">
        <v>142</v>
      </c>
      <c r="D40" s="15" t="s">
        <v>123</v>
      </c>
      <c r="E40" s="15" t="s">
        <v>45</v>
      </c>
      <c r="F40" s="57">
        <f>100/3600</f>
        <v>2.7777777777777776E-2</v>
      </c>
      <c r="G40" s="52" t="s">
        <v>743</v>
      </c>
      <c r="I40" s="143"/>
      <c r="J40" t="s">
        <v>81</v>
      </c>
      <c r="K40" t="s">
        <v>57</v>
      </c>
      <c r="L40" s="1">
        <v>0</v>
      </c>
      <c r="M40" t="s">
        <v>29</v>
      </c>
      <c r="P40" s="178" t="s">
        <v>573</v>
      </c>
      <c r="Q40" s="15" t="s">
        <v>142</v>
      </c>
      <c r="R40" s="15" t="s">
        <v>123</v>
      </c>
      <c r="S40" s="15" t="s">
        <v>45</v>
      </c>
      <c r="T40" s="57">
        <f>T8/T150</f>
        <v>4.6004508675437164E-2</v>
      </c>
      <c r="U40" s="52" t="s">
        <v>183</v>
      </c>
      <c r="W40" s="150"/>
      <c r="X40" t="s">
        <v>81</v>
      </c>
      <c r="Y40" t="s">
        <v>57</v>
      </c>
      <c r="Z40" s="1">
        <v>0</v>
      </c>
      <c r="AA40" t="s">
        <v>29</v>
      </c>
      <c r="AD40" s="170"/>
      <c r="AE40" s="125"/>
      <c r="AF40" s="125"/>
      <c r="AG40" s="125"/>
      <c r="AH40" s="126"/>
      <c r="AI40" s="125"/>
      <c r="AK40" s="170"/>
      <c r="AL40" s="125"/>
      <c r="AM40" s="125"/>
      <c r="AN40" s="125"/>
    </row>
    <row r="41" spans="2:77" x14ac:dyDescent="0.25">
      <c r="B41" s="146"/>
      <c r="C41" t="s">
        <v>143</v>
      </c>
      <c r="D41" t="s">
        <v>144</v>
      </c>
      <c r="E41" t="s">
        <v>129</v>
      </c>
      <c r="F41" s="58">
        <v>897.45465213244995</v>
      </c>
      <c r="G41" s="2" t="s">
        <v>750</v>
      </c>
      <c r="I41" s="143"/>
      <c r="J41" t="s">
        <v>82</v>
      </c>
      <c r="K41" t="s">
        <v>57</v>
      </c>
      <c r="L41" s="1">
        <f>(L13*2*L4/L8*L12)/(F4-L13)</f>
        <v>3.9310344827586201</v>
      </c>
      <c r="M41" t="s">
        <v>32</v>
      </c>
      <c r="P41" s="179"/>
      <c r="Q41" t="s">
        <v>143</v>
      </c>
      <c r="R41" t="s">
        <v>144</v>
      </c>
      <c r="S41" t="s">
        <v>129</v>
      </c>
      <c r="T41" s="58">
        <v>934.83166150951001</v>
      </c>
      <c r="U41" s="2" t="s">
        <v>750</v>
      </c>
      <c r="W41" s="150"/>
      <c r="X41" t="s">
        <v>82</v>
      </c>
      <c r="Y41" t="s">
        <v>57</v>
      </c>
      <c r="Z41" s="1">
        <f>(Z13*2*Z4/Z8*Z12)/(T4-Z13)</f>
        <v>3.9310344827586201</v>
      </c>
      <c r="AA41" t="s">
        <v>32</v>
      </c>
      <c r="AD41" s="170"/>
      <c r="AE41" s="125"/>
      <c r="AF41" s="125"/>
      <c r="AG41" s="125"/>
      <c r="AH41" s="126"/>
      <c r="AI41" s="125"/>
      <c r="AK41" s="170"/>
      <c r="AL41" s="125"/>
      <c r="AM41" s="125"/>
      <c r="AN41" s="125"/>
    </row>
    <row r="42" spans="2:77" ht="15.75" customHeight="1" thickBot="1" x14ac:dyDescent="0.3">
      <c r="B42" s="146"/>
      <c r="C42" s="49" t="s">
        <v>145</v>
      </c>
      <c r="D42" s="49" t="s">
        <v>146</v>
      </c>
      <c r="E42" s="49" t="s">
        <v>161</v>
      </c>
      <c r="F42" s="55">
        <f>F40/F41</f>
        <v>3.09517341202419E-5</v>
      </c>
      <c r="G42" s="49"/>
      <c r="I42" s="143"/>
      <c r="J42" s="3" t="s">
        <v>83</v>
      </c>
      <c r="K42" s="3" t="s">
        <v>57</v>
      </c>
      <c r="L42" s="1">
        <f>(L33/(L34*L38)*(L39-L40)/(L41)*(L4/L8))</f>
        <v>377.51568642766028</v>
      </c>
      <c r="P42" s="179"/>
      <c r="Q42" s="49" t="s">
        <v>145</v>
      </c>
      <c r="R42" s="49" t="s">
        <v>146</v>
      </c>
      <c r="S42" s="49" t="s">
        <v>161</v>
      </c>
      <c r="T42" s="55">
        <f>T40/T41</f>
        <v>4.92115431789632E-5</v>
      </c>
      <c r="U42" s="49"/>
      <c r="W42" s="150"/>
      <c r="X42" s="3" t="s">
        <v>83</v>
      </c>
      <c r="Y42" s="3" t="s">
        <v>57</v>
      </c>
      <c r="Z42" s="1">
        <f>(Z33/(Z34*Z38)*(Z39-Z40)/(Z41)*(Z4/Z8))</f>
        <v>226.50941185659622</v>
      </c>
      <c r="AD42" s="170"/>
      <c r="AE42" s="125"/>
      <c r="AF42" s="125"/>
      <c r="AG42" s="125"/>
      <c r="AH42" s="126"/>
      <c r="AI42" s="125"/>
      <c r="AL42" s="127"/>
      <c r="AM42" s="127"/>
      <c r="AN42" s="125"/>
    </row>
    <row r="43" spans="2:77" ht="15.75" thickBot="1" x14ac:dyDescent="0.3">
      <c r="B43" s="146"/>
      <c r="C43" t="s">
        <v>155</v>
      </c>
      <c r="D43" t="s">
        <v>54</v>
      </c>
      <c r="E43" t="s">
        <v>49</v>
      </c>
      <c r="F43" s="58">
        <v>170</v>
      </c>
      <c r="G43" t="s">
        <v>42</v>
      </c>
      <c r="I43" s="143"/>
      <c r="J43" t="s">
        <v>84</v>
      </c>
      <c r="K43" t="s">
        <v>58</v>
      </c>
      <c r="L43" s="26">
        <f>(L32/L42)^L31</f>
        <v>2379.5048989328125</v>
      </c>
      <c r="M43" t="s">
        <v>34</v>
      </c>
      <c r="P43" s="179"/>
      <c r="Q43" t="s">
        <v>155</v>
      </c>
      <c r="R43" t="s">
        <v>54</v>
      </c>
      <c r="S43" t="s">
        <v>49</v>
      </c>
      <c r="T43" s="58">
        <v>130</v>
      </c>
      <c r="U43" t="s">
        <v>42</v>
      </c>
      <c r="W43" s="150"/>
      <c r="X43" t="s">
        <v>84</v>
      </c>
      <c r="Y43" t="s">
        <v>58</v>
      </c>
      <c r="Z43" s="26">
        <f>(Z32/Z42)^Z31</f>
        <v>43072.764844373873</v>
      </c>
      <c r="AA43" t="s">
        <v>34</v>
      </c>
      <c r="AD43" s="170"/>
      <c r="AE43" s="125"/>
      <c r="AF43" s="125"/>
      <c r="AG43" s="125"/>
      <c r="AH43" s="126"/>
      <c r="AI43" s="125"/>
      <c r="AK43" s="170"/>
      <c r="AL43" s="125"/>
      <c r="AM43" s="125"/>
      <c r="AN43" s="125"/>
    </row>
    <row r="44" spans="2:77" ht="15" customHeight="1" thickBot="1" x14ac:dyDescent="0.3">
      <c r="B44" s="146"/>
      <c r="C44" s="49" t="s">
        <v>153</v>
      </c>
      <c r="D44" s="49" t="s">
        <v>38</v>
      </c>
      <c r="E44" s="49" t="s">
        <v>48</v>
      </c>
      <c r="F44" s="59">
        <f>F34</f>
        <v>7.9205318368768998</v>
      </c>
      <c r="G44" s="50" t="s">
        <v>89</v>
      </c>
      <c r="I44" s="144"/>
      <c r="J44" t="s">
        <v>85</v>
      </c>
      <c r="K44" t="s">
        <v>57</v>
      </c>
      <c r="L44" s="26">
        <v>63</v>
      </c>
      <c r="M44" t="s">
        <v>36</v>
      </c>
      <c r="P44" s="179"/>
      <c r="Q44" s="49" t="s">
        <v>153</v>
      </c>
      <c r="R44" s="49" t="s">
        <v>38</v>
      </c>
      <c r="S44" s="49" t="s">
        <v>48</v>
      </c>
      <c r="T44" s="59">
        <f>T34</f>
        <v>2.7025960655999999</v>
      </c>
      <c r="U44" s="50" t="s">
        <v>89</v>
      </c>
      <c r="W44" s="151"/>
      <c r="X44" t="s">
        <v>85</v>
      </c>
      <c r="Y44" t="s">
        <v>57</v>
      </c>
      <c r="Z44" s="26">
        <v>63</v>
      </c>
      <c r="AA44" t="s">
        <v>36</v>
      </c>
      <c r="AD44" s="170"/>
      <c r="AE44" s="125"/>
      <c r="AF44" s="125"/>
      <c r="AG44" s="125"/>
      <c r="AH44" s="126"/>
      <c r="AI44" s="125"/>
      <c r="AK44" s="170"/>
      <c r="AL44" s="125"/>
      <c r="AM44" s="125"/>
      <c r="AN44" s="125"/>
    </row>
    <row r="45" spans="2:77" ht="15.75" thickBot="1" x14ac:dyDescent="0.3">
      <c r="B45" s="146"/>
      <c r="C45" t="s">
        <v>151</v>
      </c>
      <c r="D45" t="s">
        <v>37</v>
      </c>
      <c r="E45" t="s">
        <v>47</v>
      </c>
      <c r="F45" s="59">
        <v>718.32384282709995</v>
      </c>
      <c r="G45" s="2" t="s">
        <v>750</v>
      </c>
      <c r="I45" s="8"/>
      <c r="J45" s="5"/>
      <c r="K45" s="7"/>
      <c r="L45" s="7"/>
      <c r="M45" s="5"/>
      <c r="P45" s="179"/>
      <c r="Q45" t="s">
        <v>151</v>
      </c>
      <c r="R45" t="s">
        <v>37</v>
      </c>
      <c r="S45" t="s">
        <v>47</v>
      </c>
      <c r="T45" s="59">
        <v>546.38783677490005</v>
      </c>
      <c r="U45" s="2" t="s">
        <v>750</v>
      </c>
      <c r="W45" s="8"/>
      <c r="X45" s="5"/>
      <c r="Y45" s="7"/>
      <c r="Z45" s="7"/>
      <c r="AA45" s="5"/>
      <c r="AE45" s="125"/>
      <c r="AF45" s="125"/>
      <c r="AG45" s="125"/>
      <c r="AH45" s="126"/>
      <c r="AI45" s="125"/>
      <c r="AK45" s="170"/>
      <c r="AL45" s="125"/>
      <c r="AM45" s="126"/>
      <c r="AN45" s="125"/>
    </row>
    <row r="46" spans="2:77" ht="15.75" customHeight="1" thickBot="1" x14ac:dyDescent="0.3">
      <c r="B46" s="146"/>
      <c r="C46" t="s">
        <v>171</v>
      </c>
      <c r="D46" t="s">
        <v>173</v>
      </c>
      <c r="E46" t="s">
        <v>175</v>
      </c>
      <c r="F46" s="29">
        <f>F42/F49</f>
        <v>5.329390227985583E-2</v>
      </c>
      <c r="I46" s="142" t="s">
        <v>587</v>
      </c>
      <c r="J46" s="8"/>
      <c r="K46" s="8"/>
      <c r="L46" s="12"/>
      <c r="M46" s="23" t="s">
        <v>90</v>
      </c>
      <c r="P46" s="179"/>
      <c r="Q46" t="s">
        <v>171</v>
      </c>
      <c r="R46" t="s">
        <v>173</v>
      </c>
      <c r="S46" t="s">
        <v>175</v>
      </c>
      <c r="T46" s="29">
        <f>T42/T49</f>
        <v>8.4734353268606885E-2</v>
      </c>
      <c r="W46" s="149" t="s">
        <v>587</v>
      </c>
      <c r="X46" s="8"/>
      <c r="Y46" s="8"/>
      <c r="Z46" s="12"/>
      <c r="AA46" s="23" t="s">
        <v>90</v>
      </c>
      <c r="AK46" s="170"/>
      <c r="AL46" s="135"/>
      <c r="AM46" s="135"/>
      <c r="AN46" s="136"/>
    </row>
    <row r="47" spans="2:77" ht="15.75" thickBot="1" x14ac:dyDescent="0.3">
      <c r="B47" s="146"/>
      <c r="C47" t="s">
        <v>541</v>
      </c>
      <c r="D47" t="s">
        <v>477</v>
      </c>
      <c r="E47" t="s">
        <v>177</v>
      </c>
      <c r="F47" s="29">
        <f>33.7/1000</f>
        <v>3.3700000000000001E-2</v>
      </c>
      <c r="G47" t="s">
        <v>615</v>
      </c>
      <c r="I47" s="143"/>
      <c r="J47" t="s">
        <v>91</v>
      </c>
      <c r="K47" t="s">
        <v>44</v>
      </c>
      <c r="L47" s="26">
        <v>45</v>
      </c>
      <c r="M47" t="s">
        <v>96</v>
      </c>
      <c r="P47" s="179"/>
      <c r="Q47" t="s">
        <v>541</v>
      </c>
      <c r="R47" t="s">
        <v>477</v>
      </c>
      <c r="S47" t="s">
        <v>177</v>
      </c>
      <c r="T47" s="29">
        <f>Tabelle5[[#This Row],[Wert]]</f>
        <v>3.3700000000000001E-2</v>
      </c>
      <c r="U47" t="str">
        <f>Tabelle5[[#This Row],[Kommentar]]</f>
        <v>R! Rohr Speisewasser 1"</v>
      </c>
      <c r="W47" s="150"/>
      <c r="X47" t="s">
        <v>91</v>
      </c>
      <c r="Y47" t="s">
        <v>44</v>
      </c>
      <c r="Z47" s="26">
        <v>45</v>
      </c>
      <c r="AA47" t="s">
        <v>96</v>
      </c>
      <c r="AK47" s="170"/>
      <c r="AL47" s="125"/>
      <c r="AM47" s="125"/>
      <c r="AN47" s="125"/>
    </row>
    <row r="48" spans="2:77" ht="15" customHeight="1" x14ac:dyDescent="0.25">
      <c r="B48" s="146"/>
      <c r="C48" t="s">
        <v>542</v>
      </c>
      <c r="D48" t="s">
        <v>478</v>
      </c>
      <c r="E48" t="s">
        <v>177</v>
      </c>
      <c r="F48" s="29">
        <f>27.2/1000</f>
        <v>2.7199999999999998E-2</v>
      </c>
      <c r="G48" t="str">
        <f>G47</f>
        <v>R! Rohr Speisewasser 1"</v>
      </c>
      <c r="I48" s="143"/>
      <c r="J48" t="s">
        <v>92</v>
      </c>
      <c r="K48" t="s">
        <v>44</v>
      </c>
      <c r="L48" s="1">
        <f>0.1*F4</f>
        <v>35.5</v>
      </c>
      <c r="M48" t="s">
        <v>95</v>
      </c>
      <c r="P48" s="179"/>
      <c r="Q48" t="s">
        <v>542</v>
      </c>
      <c r="R48" t="s">
        <v>478</v>
      </c>
      <c r="S48" t="s">
        <v>177</v>
      </c>
      <c r="T48" s="29">
        <f>Tabelle5[[#This Row],[Wert]]</f>
        <v>2.7199999999999998E-2</v>
      </c>
      <c r="U48" t="str">
        <f>Tabelle5[[#This Row],[Kommentar]]</f>
        <v>R! Rohr Speisewasser 1"</v>
      </c>
      <c r="W48" s="150"/>
      <c r="X48" t="s">
        <v>92</v>
      </c>
      <c r="Y48" t="s">
        <v>44</v>
      </c>
      <c r="Z48" s="1">
        <f>0.1*T4</f>
        <v>35.5</v>
      </c>
      <c r="AA48" t="s">
        <v>95</v>
      </c>
      <c r="AK48" s="170"/>
      <c r="AL48" s="125"/>
      <c r="AM48" s="125"/>
      <c r="AN48" s="125"/>
    </row>
    <row r="49" spans="2:68" ht="15.75" thickBot="1" x14ac:dyDescent="0.3">
      <c r="B49" s="147"/>
      <c r="C49" s="19" t="s">
        <v>543</v>
      </c>
      <c r="D49" s="19" t="s">
        <v>479</v>
      </c>
      <c r="E49" s="19" t="s">
        <v>176</v>
      </c>
      <c r="F49" s="56">
        <f>3.14*F48^2/4</f>
        <v>5.8077439999999997E-4</v>
      </c>
      <c r="G49" t="str">
        <f>G48</f>
        <v>R! Rohr Speisewasser 1"</v>
      </c>
      <c r="I49" s="143"/>
      <c r="J49" t="s">
        <v>93</v>
      </c>
      <c r="K49" t="s">
        <v>44</v>
      </c>
      <c r="L49" s="1">
        <f>F4</f>
        <v>355</v>
      </c>
      <c r="M49" t="s">
        <v>94</v>
      </c>
      <c r="P49" s="180"/>
      <c r="Q49" s="19" t="s">
        <v>543</v>
      </c>
      <c r="R49" s="19" t="s">
        <v>479</v>
      </c>
      <c r="S49" s="19" t="s">
        <v>176</v>
      </c>
      <c r="T49" s="56">
        <f>Tabelle5[[#This Row],[Wert]]</f>
        <v>5.8077439999999997E-4</v>
      </c>
      <c r="U49" t="str">
        <f>Tabelle5[[#This Row],[Kommentar]]</f>
        <v>R! Rohr Speisewasser 1"</v>
      </c>
      <c r="W49" s="150"/>
      <c r="X49" t="s">
        <v>93</v>
      </c>
      <c r="Y49" t="s">
        <v>44</v>
      </c>
      <c r="Z49" s="1">
        <f>T4</f>
        <v>355</v>
      </c>
      <c r="AA49" t="s">
        <v>94</v>
      </c>
      <c r="AK49" s="170"/>
      <c r="AL49" s="125"/>
      <c r="AM49" s="125"/>
      <c r="BJ49" s="32"/>
      <c r="BP49"/>
    </row>
    <row r="50" spans="2:68" x14ac:dyDescent="0.25">
      <c r="B50" s="145" t="s">
        <v>574</v>
      </c>
      <c r="C50" s="15" t="s">
        <v>163</v>
      </c>
      <c r="D50" s="15" t="s">
        <v>165</v>
      </c>
      <c r="E50" s="15" t="s">
        <v>45</v>
      </c>
      <c r="F50" s="57">
        <f>F40</f>
        <v>2.7777777777777776E-2</v>
      </c>
      <c r="G50" s="52" t="s">
        <v>743</v>
      </c>
      <c r="I50" s="143"/>
      <c r="J50" s="9" t="s">
        <v>105</v>
      </c>
      <c r="K50" t="s">
        <v>44</v>
      </c>
      <c r="L50" s="1">
        <v>12</v>
      </c>
      <c r="M50" t="s">
        <v>190</v>
      </c>
      <c r="P50" s="178" t="s">
        <v>574</v>
      </c>
      <c r="Q50" s="15" t="s">
        <v>163</v>
      </c>
      <c r="R50" s="15" t="s">
        <v>165</v>
      </c>
      <c r="S50" s="15" t="s">
        <v>45</v>
      </c>
      <c r="T50" s="57">
        <f>T40</f>
        <v>4.6004508675437164E-2</v>
      </c>
      <c r="U50" s="52" t="s">
        <v>605</v>
      </c>
      <c r="W50" s="150"/>
      <c r="X50" s="9" t="s">
        <v>105</v>
      </c>
      <c r="Y50" t="s">
        <v>44</v>
      </c>
      <c r="Z50" s="1">
        <v>12</v>
      </c>
      <c r="AA50" t="s">
        <v>190</v>
      </c>
      <c r="AK50" s="170"/>
      <c r="AL50" s="137"/>
      <c r="AM50" s="125"/>
      <c r="BJ50" s="32"/>
      <c r="BP50"/>
    </row>
    <row r="51" spans="2:68" ht="15" customHeight="1" x14ac:dyDescent="0.25">
      <c r="B51" s="146"/>
      <c r="C51" t="s">
        <v>162</v>
      </c>
      <c r="D51" t="s">
        <v>166</v>
      </c>
      <c r="E51" t="s">
        <v>129</v>
      </c>
      <c r="F51" s="58">
        <v>4.1217431778210996</v>
      </c>
      <c r="G51" s="2" t="s">
        <v>750</v>
      </c>
      <c r="I51" s="143"/>
      <c r="J51" s="9" t="s">
        <v>106</v>
      </c>
      <c r="K51" t="s">
        <v>44</v>
      </c>
      <c r="L51" s="1">
        <f>L50-L16-L17</f>
        <v>12</v>
      </c>
      <c r="M51" s="9" t="s">
        <v>191</v>
      </c>
      <c r="P51" s="179"/>
      <c r="Q51" t="s">
        <v>162</v>
      </c>
      <c r="R51" t="s">
        <v>166</v>
      </c>
      <c r="S51" t="s">
        <v>129</v>
      </c>
      <c r="T51" s="58">
        <v>1.4968167541893</v>
      </c>
      <c r="U51" s="2" t="s">
        <v>750</v>
      </c>
      <c r="W51" s="150"/>
      <c r="X51" s="9" t="s">
        <v>106</v>
      </c>
      <c r="Y51" t="s">
        <v>44</v>
      </c>
      <c r="Z51" s="1">
        <f>Z50-Z16-Z17</f>
        <v>12</v>
      </c>
      <c r="AA51" s="9" t="s">
        <v>191</v>
      </c>
      <c r="AK51" s="170"/>
      <c r="AL51" s="137"/>
      <c r="AM51" s="125"/>
      <c r="BJ51" s="32"/>
      <c r="BP51"/>
    </row>
    <row r="52" spans="2:68" x14ac:dyDescent="0.25">
      <c r="B52" s="146"/>
      <c r="C52" s="49" t="s">
        <v>164</v>
      </c>
      <c r="D52" s="49" t="s">
        <v>167</v>
      </c>
      <c r="E52" s="49" t="s">
        <v>161</v>
      </c>
      <c r="F52" s="55">
        <f>F50/F51</f>
        <v>6.7393276532241629E-3</v>
      </c>
      <c r="G52" s="49"/>
      <c r="I52" s="143"/>
      <c r="J52" t="s">
        <v>192</v>
      </c>
      <c r="K52" t="s">
        <v>58</v>
      </c>
      <c r="L52" s="6">
        <f>L51/F4</f>
        <v>3.3802816901408447E-2</v>
      </c>
      <c r="M52" t="s">
        <v>194</v>
      </c>
      <c r="P52" s="179"/>
      <c r="Q52" s="49" t="s">
        <v>164</v>
      </c>
      <c r="R52" s="49" t="s">
        <v>167</v>
      </c>
      <c r="S52" s="49" t="s">
        <v>161</v>
      </c>
      <c r="T52" s="55">
        <f>T50/T51</f>
        <v>3.0734896938238738E-2</v>
      </c>
      <c r="U52" s="49"/>
      <c r="W52" s="150"/>
      <c r="X52" t="s">
        <v>192</v>
      </c>
      <c r="Y52" t="s">
        <v>58</v>
      </c>
      <c r="Z52" s="6">
        <f>Z51/T4</f>
        <v>3.3802816901408447E-2</v>
      </c>
      <c r="AA52" t="s">
        <v>194</v>
      </c>
      <c r="AK52" s="170"/>
      <c r="AL52" s="125"/>
      <c r="AM52" s="125"/>
      <c r="BJ52" s="32"/>
      <c r="BP52"/>
    </row>
    <row r="53" spans="2:68" ht="15.75" thickBot="1" x14ac:dyDescent="0.3">
      <c r="B53" s="146"/>
      <c r="C53" s="49" t="s">
        <v>170</v>
      </c>
      <c r="D53" s="49" t="s">
        <v>457</v>
      </c>
      <c r="E53" s="49" t="s">
        <v>49</v>
      </c>
      <c r="F53" s="59">
        <f>F43</f>
        <v>170</v>
      </c>
      <c r="G53" s="49" t="s">
        <v>42</v>
      </c>
      <c r="I53" s="143"/>
      <c r="J53" t="s">
        <v>193</v>
      </c>
      <c r="K53" t="s">
        <v>58</v>
      </c>
      <c r="L53" s="1">
        <f>L59/F4</f>
        <v>9.014084507042254E-2</v>
      </c>
      <c r="M53" t="s">
        <v>194</v>
      </c>
      <c r="P53" s="179"/>
      <c r="Q53" s="49" t="s">
        <v>170</v>
      </c>
      <c r="R53" s="49" t="s">
        <v>457</v>
      </c>
      <c r="S53" s="49" t="s">
        <v>49</v>
      </c>
      <c r="T53" s="59">
        <f>T43</f>
        <v>130</v>
      </c>
      <c r="U53" s="49" t="s">
        <v>42</v>
      </c>
      <c r="W53" s="150"/>
      <c r="X53" t="s">
        <v>193</v>
      </c>
      <c r="Y53" t="s">
        <v>58</v>
      </c>
      <c r="Z53" s="1">
        <f>Z59/T4</f>
        <v>9.014084507042254E-2</v>
      </c>
      <c r="AA53" t="s">
        <v>194</v>
      </c>
      <c r="AK53" s="170"/>
      <c r="AL53" s="125"/>
      <c r="AM53" s="125"/>
      <c r="BJ53" s="32"/>
      <c r="BP53"/>
    </row>
    <row r="54" spans="2:68" ht="15.75" thickBot="1" x14ac:dyDescent="0.3">
      <c r="B54" s="146"/>
      <c r="C54" t="s">
        <v>480</v>
      </c>
      <c r="D54" t="s">
        <v>481</v>
      </c>
      <c r="E54" t="s">
        <v>48</v>
      </c>
      <c r="F54" s="58">
        <f>F44</f>
        <v>7.9205318368768998</v>
      </c>
      <c r="G54" s="50" t="s">
        <v>89</v>
      </c>
      <c r="I54" s="143"/>
      <c r="J54" t="s">
        <v>102</v>
      </c>
      <c r="K54" t="s">
        <v>58</v>
      </c>
      <c r="L54" s="26">
        <v>2.5</v>
      </c>
      <c r="M54" t="s">
        <v>221</v>
      </c>
      <c r="P54" s="179"/>
      <c r="Q54" t="s">
        <v>480</v>
      </c>
      <c r="R54" t="s">
        <v>481</v>
      </c>
      <c r="S54" t="s">
        <v>48</v>
      </c>
      <c r="T54" s="58">
        <f>T44</f>
        <v>2.7025960655999999</v>
      </c>
      <c r="U54" s="50" t="s">
        <v>89</v>
      </c>
      <c r="W54" s="150"/>
      <c r="X54" t="s">
        <v>102</v>
      </c>
      <c r="Y54" t="s">
        <v>58</v>
      </c>
      <c r="Z54" s="26">
        <v>2.5</v>
      </c>
      <c r="AA54" t="s">
        <v>221</v>
      </c>
      <c r="AK54" s="170"/>
      <c r="AL54" s="125"/>
      <c r="AM54" s="125"/>
      <c r="BJ54" s="32"/>
      <c r="BP54"/>
    </row>
    <row r="55" spans="2:68" x14ac:dyDescent="0.25">
      <c r="B55" s="146"/>
      <c r="C55" s="49" t="s">
        <v>168</v>
      </c>
      <c r="D55" s="49" t="s">
        <v>169</v>
      </c>
      <c r="E55" s="49" t="s">
        <v>47</v>
      </c>
      <c r="F55" s="59">
        <v>2767.8936550358999</v>
      </c>
      <c r="G55" s="2" t="s">
        <v>750</v>
      </c>
      <c r="I55" s="143"/>
      <c r="J55" s="9" t="s">
        <v>99</v>
      </c>
      <c r="K55" t="s">
        <v>44</v>
      </c>
      <c r="L55" s="1">
        <f>(L3*F4)/(4*L7/L8*L12)*L54</f>
        <v>9.181034482758621</v>
      </c>
      <c r="M55" t="s">
        <v>104</v>
      </c>
      <c r="P55" s="179"/>
      <c r="Q55" s="49" t="s">
        <v>168</v>
      </c>
      <c r="R55" s="49" t="s">
        <v>169</v>
      </c>
      <c r="S55" s="49" t="s">
        <v>47</v>
      </c>
      <c r="T55" s="59">
        <v>2720.0878257369</v>
      </c>
      <c r="U55" s="2" t="s">
        <v>750</v>
      </c>
      <c r="W55" s="150"/>
      <c r="X55" s="9" t="s">
        <v>99</v>
      </c>
      <c r="Y55" t="s">
        <v>44</v>
      </c>
      <c r="Z55" s="1">
        <f>(Z3*T4)/(4*Z7/Z8*Z12)*Z54</f>
        <v>9.181034482758621</v>
      </c>
      <c r="AA55" t="s">
        <v>104</v>
      </c>
      <c r="AK55" s="170"/>
      <c r="AL55" s="137"/>
      <c r="AM55" s="125"/>
      <c r="BJ55" s="32"/>
      <c r="BP55"/>
    </row>
    <row r="56" spans="2:68" x14ac:dyDescent="0.25">
      <c r="B56" s="146"/>
      <c r="C56" t="s">
        <v>172</v>
      </c>
      <c r="D56" t="s">
        <v>174</v>
      </c>
      <c r="E56" t="s">
        <v>175</v>
      </c>
      <c r="F56" s="29">
        <f>F52/F59</f>
        <v>11.604037046440345</v>
      </c>
      <c r="I56" s="143"/>
      <c r="J56" s="9" t="s">
        <v>101</v>
      </c>
      <c r="K56" t="s">
        <v>44</v>
      </c>
      <c r="L56" s="25">
        <f>L55+L16+L17</f>
        <v>9.181034482758621</v>
      </c>
      <c r="M56" s="10" t="s">
        <v>220</v>
      </c>
      <c r="P56" s="179"/>
      <c r="Q56" t="s">
        <v>172</v>
      </c>
      <c r="R56" t="s">
        <v>174</v>
      </c>
      <c r="S56" t="s">
        <v>175</v>
      </c>
      <c r="T56" s="29">
        <f>T52/T59</f>
        <v>52.920543567758394</v>
      </c>
      <c r="W56" s="150"/>
      <c r="X56" s="9" t="s">
        <v>101</v>
      </c>
      <c r="Y56" t="s">
        <v>44</v>
      </c>
      <c r="Z56" s="25">
        <f>Z55+Z16+Z17</f>
        <v>9.181034482758621</v>
      </c>
      <c r="AA56" s="10" t="s">
        <v>220</v>
      </c>
      <c r="AK56" s="170"/>
      <c r="AL56" s="137"/>
      <c r="AM56" s="125"/>
      <c r="BJ56" s="32"/>
      <c r="BP56"/>
    </row>
    <row r="57" spans="2:68" x14ac:dyDescent="0.25">
      <c r="B57" s="146"/>
      <c r="C57" t="s">
        <v>373</v>
      </c>
      <c r="D57" t="s">
        <v>482</v>
      </c>
      <c r="E57" t="s">
        <v>177</v>
      </c>
      <c r="F57" s="29">
        <f>33.7/1000</f>
        <v>3.3700000000000001E-2</v>
      </c>
      <c r="G57" t="s">
        <v>595</v>
      </c>
      <c r="I57" s="143"/>
      <c r="J57" t="s">
        <v>98</v>
      </c>
      <c r="K57" t="s">
        <v>44</v>
      </c>
      <c r="L57" s="1">
        <f>2*(L49+12)</f>
        <v>734</v>
      </c>
      <c r="M57" t="s">
        <v>97</v>
      </c>
      <c r="P57" s="179"/>
      <c r="Q57" t="s">
        <v>373</v>
      </c>
      <c r="R57" t="s">
        <v>482</v>
      </c>
      <c r="S57" t="s">
        <v>177</v>
      </c>
      <c r="T57" s="29">
        <f>Tabelle5[[#This Row],[Wert]]</f>
        <v>3.3700000000000001E-2</v>
      </c>
      <c r="U57" t="str">
        <f>Tabelle5[[#This Row],[Kommentar]]</f>
        <v>R! Rohr Sattdampf 1"</v>
      </c>
      <c r="W57" s="150"/>
      <c r="X57" t="s">
        <v>98</v>
      </c>
      <c r="Y57" t="s">
        <v>44</v>
      </c>
      <c r="Z57" s="1">
        <f>2*(Z49+12)</f>
        <v>734</v>
      </c>
      <c r="AA57" t="s">
        <v>97</v>
      </c>
      <c r="AK57" s="170"/>
      <c r="AL57" s="125"/>
      <c r="AM57" s="125"/>
      <c r="AN57" s="125"/>
    </row>
    <row r="58" spans="2:68" x14ac:dyDescent="0.25">
      <c r="B58" s="146"/>
      <c r="C58" t="s">
        <v>374</v>
      </c>
      <c r="D58" t="s">
        <v>483</v>
      </c>
      <c r="E58" t="s">
        <v>177</v>
      </c>
      <c r="F58" s="29">
        <f>27.2/1000</f>
        <v>2.7199999999999998E-2</v>
      </c>
      <c r="G58" t="s">
        <v>595</v>
      </c>
      <c r="I58" s="143"/>
      <c r="J58" t="s">
        <v>113</v>
      </c>
      <c r="K58" t="s">
        <v>44</v>
      </c>
      <c r="L58" s="1">
        <v>60</v>
      </c>
      <c r="P58" s="179"/>
      <c r="Q58" t="s">
        <v>374</v>
      </c>
      <c r="R58" t="s">
        <v>483</v>
      </c>
      <c r="S58" t="s">
        <v>177</v>
      </c>
      <c r="T58" s="29">
        <f>Tabelle5[[#This Row],[Wert]]</f>
        <v>2.7199999999999998E-2</v>
      </c>
      <c r="U58" t="str">
        <f>Tabelle5[[#This Row],[Kommentar]]</f>
        <v>R! Rohr Sattdampf 1"</v>
      </c>
      <c r="W58" s="150"/>
      <c r="X58" t="s">
        <v>113</v>
      </c>
      <c r="Y58" t="s">
        <v>44</v>
      </c>
      <c r="Z58" s="1">
        <v>60</v>
      </c>
      <c r="AK58" s="170"/>
      <c r="AL58" s="125"/>
      <c r="AM58" s="125"/>
      <c r="AN58" s="125"/>
    </row>
    <row r="59" spans="2:68" ht="15.75" thickBot="1" x14ac:dyDescent="0.3">
      <c r="B59" s="147"/>
      <c r="C59" s="19" t="s">
        <v>376</v>
      </c>
      <c r="D59" s="19" t="s">
        <v>484</v>
      </c>
      <c r="E59" s="19" t="s">
        <v>176</v>
      </c>
      <c r="F59" s="56">
        <f>3.14*F58^2/4</f>
        <v>5.8077439999999997E-4</v>
      </c>
      <c r="G59" t="s">
        <v>595</v>
      </c>
      <c r="I59" s="143"/>
      <c r="J59" t="s">
        <v>114</v>
      </c>
      <c r="K59" t="s">
        <v>44</v>
      </c>
      <c r="L59" s="1">
        <v>32</v>
      </c>
      <c r="P59" s="180"/>
      <c r="Q59" s="19" t="s">
        <v>376</v>
      </c>
      <c r="R59" s="19" t="s">
        <v>484</v>
      </c>
      <c r="S59" s="19" t="s">
        <v>176</v>
      </c>
      <c r="T59" s="56">
        <f>Tabelle5[[#This Row],[Wert]]</f>
        <v>5.8077439999999997E-4</v>
      </c>
      <c r="U59" t="str">
        <f>Tabelle5[[#This Row],[Kommentar]]</f>
        <v>R! Rohr Sattdampf 1"</v>
      </c>
      <c r="W59" s="150"/>
      <c r="X59" t="s">
        <v>114</v>
      </c>
      <c r="Y59" t="s">
        <v>44</v>
      </c>
      <c r="Z59" s="1">
        <v>32</v>
      </c>
      <c r="AK59" s="170"/>
      <c r="AL59" s="125"/>
      <c r="AM59" s="125"/>
      <c r="AN59" s="125"/>
    </row>
    <row r="60" spans="2:68" x14ac:dyDescent="0.25">
      <c r="B60" s="142" t="s">
        <v>575</v>
      </c>
      <c r="C60" s="15" t="s">
        <v>239</v>
      </c>
      <c r="D60" s="15" t="s">
        <v>242</v>
      </c>
      <c r="E60" s="15" t="s">
        <v>45</v>
      </c>
      <c r="F60" s="57">
        <f>F40</f>
        <v>2.7777777777777776E-2</v>
      </c>
      <c r="G60" s="15"/>
      <c r="I60" s="143"/>
      <c r="J60" t="s">
        <v>115</v>
      </c>
      <c r="K60" t="s">
        <v>44</v>
      </c>
      <c r="L60" s="1">
        <f>(L58-L59)/2</f>
        <v>14</v>
      </c>
      <c r="P60" s="149" t="s">
        <v>575</v>
      </c>
      <c r="Q60" s="15" t="s">
        <v>239</v>
      </c>
      <c r="R60" s="15" t="s">
        <v>242</v>
      </c>
      <c r="S60" s="15" t="s">
        <v>45</v>
      </c>
      <c r="T60" s="57">
        <f>T40</f>
        <v>4.6004508675437164E-2</v>
      </c>
      <c r="U60" s="15"/>
      <c r="W60" s="150"/>
      <c r="X60" t="s">
        <v>115</v>
      </c>
      <c r="Y60" t="s">
        <v>44</v>
      </c>
      <c r="Z60" s="1">
        <f>(Z58-Z59)/2</f>
        <v>14</v>
      </c>
      <c r="AK60" s="170"/>
      <c r="AL60" s="125"/>
      <c r="AM60" s="125"/>
      <c r="AN60" s="125"/>
    </row>
    <row r="61" spans="2:68" x14ac:dyDescent="0.25">
      <c r="B61" s="143"/>
      <c r="C61" t="s">
        <v>330</v>
      </c>
      <c r="D61" s="49" t="s">
        <v>331</v>
      </c>
      <c r="E61" t="s">
        <v>129</v>
      </c>
      <c r="F61" s="58">
        <v>0.52275153539559005</v>
      </c>
      <c r="G61" s="2" t="s">
        <v>750</v>
      </c>
      <c r="I61" s="143"/>
      <c r="J61" t="s">
        <v>110</v>
      </c>
      <c r="K61" t="s">
        <v>58</v>
      </c>
      <c r="L61" s="1">
        <f>L59/F5</f>
        <v>9.8795924668107452E-2</v>
      </c>
      <c r="M61" t="s">
        <v>112</v>
      </c>
      <c r="P61" s="150"/>
      <c r="Q61" t="s">
        <v>330</v>
      </c>
      <c r="R61" s="49" t="s">
        <v>331</v>
      </c>
      <c r="S61" t="s">
        <v>129</v>
      </c>
      <c r="T61" s="58">
        <v>0.52275153539559005</v>
      </c>
      <c r="U61" s="2" t="s">
        <v>750</v>
      </c>
      <c r="W61" s="150"/>
      <c r="X61" t="s">
        <v>110</v>
      </c>
      <c r="Y61" t="s">
        <v>58</v>
      </c>
      <c r="Z61" s="1">
        <f>Z59/T5</f>
        <v>9.8795924668107452E-2</v>
      </c>
      <c r="AA61" t="s">
        <v>112</v>
      </c>
      <c r="AK61" s="170"/>
      <c r="AL61" s="125"/>
      <c r="AM61" s="125"/>
      <c r="AN61" s="125"/>
    </row>
    <row r="62" spans="2:68" x14ac:dyDescent="0.25">
      <c r="B62" s="143"/>
      <c r="C62" s="49" t="s">
        <v>354</v>
      </c>
      <c r="D62" s="49" t="s">
        <v>332</v>
      </c>
      <c r="E62" s="49" t="s">
        <v>161</v>
      </c>
      <c r="F62" s="55">
        <f>F60/F61</f>
        <v>5.3137630206589556E-2</v>
      </c>
      <c r="I62" s="143"/>
      <c r="J62" t="s">
        <v>111</v>
      </c>
      <c r="K62" t="s">
        <v>58</v>
      </c>
      <c r="L62" s="1">
        <f>L60/L13</f>
        <v>1.9455399061032865</v>
      </c>
      <c r="M62" t="s">
        <v>118</v>
      </c>
      <c r="P62" s="150"/>
      <c r="Q62" s="49" t="s">
        <v>354</v>
      </c>
      <c r="R62" s="49" t="s">
        <v>332</v>
      </c>
      <c r="S62" s="49" t="s">
        <v>161</v>
      </c>
      <c r="T62" s="55">
        <f>T60/T61</f>
        <v>8.8004540513923965E-2</v>
      </c>
      <c r="W62" s="150"/>
      <c r="X62" t="s">
        <v>111</v>
      </c>
      <c r="Y62" t="s">
        <v>58</v>
      </c>
      <c r="Z62" s="1">
        <f>Z60/Z13</f>
        <v>1.9455399061032865</v>
      </c>
      <c r="AA62" t="s">
        <v>118</v>
      </c>
      <c r="AK62" s="170"/>
      <c r="AL62" s="125"/>
      <c r="AM62" s="125"/>
      <c r="AN62" s="125"/>
    </row>
    <row r="63" spans="2:68" ht="15" customHeight="1" x14ac:dyDescent="0.25">
      <c r="B63" s="143"/>
      <c r="C63" s="49" t="s">
        <v>240</v>
      </c>
      <c r="D63" t="s">
        <v>243</v>
      </c>
      <c r="E63" t="s">
        <v>49</v>
      </c>
      <c r="F63" s="58">
        <v>145</v>
      </c>
      <c r="I63" s="143"/>
      <c r="J63" t="s">
        <v>195</v>
      </c>
      <c r="K63" t="s">
        <v>58</v>
      </c>
      <c r="L63" s="1">
        <f>L18/F5</f>
        <v>2.2216566674732777E-2</v>
      </c>
      <c r="M63" t="s">
        <v>196</v>
      </c>
      <c r="P63" s="150"/>
      <c r="Q63" s="49" t="s">
        <v>240</v>
      </c>
      <c r="R63" t="s">
        <v>243</v>
      </c>
      <c r="S63" t="s">
        <v>49</v>
      </c>
      <c r="T63" s="58">
        <v>122</v>
      </c>
      <c r="W63" s="150"/>
      <c r="X63" t="s">
        <v>195</v>
      </c>
      <c r="Y63" t="s">
        <v>58</v>
      </c>
      <c r="Z63" s="1">
        <f>Z18/T5</f>
        <v>2.2216566674732777E-2</v>
      </c>
      <c r="AA63" t="s">
        <v>196</v>
      </c>
      <c r="AK63" s="170"/>
      <c r="AL63" s="125"/>
      <c r="AM63" s="125"/>
      <c r="AN63" s="125"/>
    </row>
    <row r="64" spans="2:68" x14ac:dyDescent="0.25">
      <c r="B64" s="143"/>
      <c r="C64" s="49" t="s">
        <v>250</v>
      </c>
      <c r="D64" t="s">
        <v>245</v>
      </c>
      <c r="E64" t="s">
        <v>48</v>
      </c>
      <c r="F64" s="68">
        <f>F19</f>
        <v>1</v>
      </c>
      <c r="I64" s="143"/>
      <c r="J64" t="s">
        <v>109</v>
      </c>
      <c r="K64" t="s">
        <v>58</v>
      </c>
      <c r="L64" s="1">
        <v>1</v>
      </c>
      <c r="M64" t="s">
        <v>119</v>
      </c>
      <c r="P64" s="150"/>
      <c r="Q64" s="49" t="s">
        <v>250</v>
      </c>
      <c r="R64" t="s">
        <v>245</v>
      </c>
      <c r="S64" t="s">
        <v>48</v>
      </c>
      <c r="T64" s="68">
        <f>T19</f>
        <v>1</v>
      </c>
      <c r="W64" s="150"/>
      <c r="X64" t="s">
        <v>109</v>
      </c>
      <c r="Y64" t="s">
        <v>58</v>
      </c>
      <c r="Z64" s="1">
        <v>1</v>
      </c>
      <c r="AA64" t="s">
        <v>119</v>
      </c>
      <c r="AK64" s="170"/>
      <c r="AL64" s="125"/>
      <c r="AM64" s="125"/>
      <c r="AN64" s="125"/>
    </row>
    <row r="65" spans="2:40" x14ac:dyDescent="0.25">
      <c r="B65" s="143"/>
      <c r="C65" t="s">
        <v>241</v>
      </c>
      <c r="D65" t="s">
        <v>244</v>
      </c>
      <c r="E65" t="s">
        <v>47</v>
      </c>
      <c r="F65" s="58">
        <v>2766.6551348374001</v>
      </c>
      <c r="G65" s="2" t="s">
        <v>750</v>
      </c>
      <c r="I65" s="143"/>
      <c r="J65" s="9" t="s">
        <v>107</v>
      </c>
      <c r="K65" t="s">
        <v>44</v>
      </c>
      <c r="L65" s="1">
        <f>(L3*L57)/((4*L7/L8*L64)+L3)</f>
        <v>7.5153583617747444</v>
      </c>
      <c r="M65" t="s">
        <v>104</v>
      </c>
      <c r="P65" s="150"/>
      <c r="Q65" t="s">
        <v>241</v>
      </c>
      <c r="R65" t="s">
        <v>244</v>
      </c>
      <c r="S65" t="s">
        <v>47</v>
      </c>
      <c r="T65" s="58">
        <v>2720.6415630230999</v>
      </c>
      <c r="U65" s="2" t="s">
        <v>750</v>
      </c>
      <c r="W65" s="150"/>
      <c r="X65" s="9" t="s">
        <v>107</v>
      </c>
      <c r="Y65" t="s">
        <v>44</v>
      </c>
      <c r="Z65" s="1">
        <f>(Z3*Z57)/((4*Z7/Z8*Z64)+Z3)</f>
        <v>7.5153583617747444</v>
      </c>
      <c r="AA65" t="s">
        <v>104</v>
      </c>
      <c r="AL65" s="137"/>
      <c r="AM65" s="125"/>
      <c r="AN65" s="125"/>
    </row>
    <row r="66" spans="2:40" x14ac:dyDescent="0.25">
      <c r="B66" s="143"/>
      <c r="C66" t="s">
        <v>488</v>
      </c>
      <c r="D66" t="s">
        <v>489</v>
      </c>
      <c r="E66" t="s">
        <v>175</v>
      </c>
      <c r="F66" s="29">
        <f>F62/F70</f>
        <v>14.300645760971875</v>
      </c>
      <c r="I66" s="143"/>
      <c r="J66" s="9" t="s">
        <v>108</v>
      </c>
      <c r="K66" t="s">
        <v>44</v>
      </c>
      <c r="L66" s="1">
        <f>L65+L16+L17</f>
        <v>7.5153583617747444</v>
      </c>
      <c r="M66" t="s">
        <v>222</v>
      </c>
      <c r="P66" s="150"/>
      <c r="Q66" t="s">
        <v>488</v>
      </c>
      <c r="R66" t="s">
        <v>489</v>
      </c>
      <c r="S66" t="s">
        <v>175</v>
      </c>
      <c r="T66" s="29">
        <f>T62/T70</f>
        <v>23.684190551099437</v>
      </c>
      <c r="W66" s="150"/>
      <c r="X66" s="9" t="s">
        <v>108</v>
      </c>
      <c r="Y66" t="s">
        <v>44</v>
      </c>
      <c r="Z66" s="1">
        <f>Z65+Z16+Z17</f>
        <v>7.5153583617747444</v>
      </c>
      <c r="AA66" t="s">
        <v>222</v>
      </c>
      <c r="AL66" s="137"/>
      <c r="AM66" s="125"/>
      <c r="AN66" s="125"/>
    </row>
    <row r="67" spans="2:40" ht="15.75" thickBot="1" x14ac:dyDescent="0.3">
      <c r="B67" s="143"/>
      <c r="C67" s="49" t="s">
        <v>437</v>
      </c>
      <c r="D67" t="s">
        <v>460</v>
      </c>
      <c r="E67" t="s">
        <v>265</v>
      </c>
      <c r="F67" s="58">
        <v>1.9891188145830001</v>
      </c>
      <c r="G67" s="2" t="s">
        <v>750</v>
      </c>
      <c r="I67" s="144"/>
      <c r="J67" s="6" t="s">
        <v>116</v>
      </c>
      <c r="K67" t="s">
        <v>44</v>
      </c>
      <c r="L67" s="13">
        <f>MAX(L66,L56)</f>
        <v>9.181034482758621</v>
      </c>
      <c r="M67" t="s">
        <v>117</v>
      </c>
      <c r="P67" s="150"/>
      <c r="Q67" s="49" t="s">
        <v>437</v>
      </c>
      <c r="R67" t="s">
        <v>460</v>
      </c>
      <c r="S67" t="s">
        <v>265</v>
      </c>
      <c r="T67" s="58">
        <v>2.0153458488124998</v>
      </c>
      <c r="U67" s="2" t="s">
        <v>750</v>
      </c>
      <c r="W67" s="151"/>
      <c r="X67" s="6" t="s">
        <v>116</v>
      </c>
      <c r="Y67" t="s">
        <v>44</v>
      </c>
      <c r="Z67" s="13">
        <f>MAX(Z66,Z56)</f>
        <v>9.181034482758621</v>
      </c>
      <c r="AA67" t="s">
        <v>117</v>
      </c>
      <c r="AL67" s="128"/>
      <c r="AM67" s="125"/>
      <c r="AN67" s="125"/>
    </row>
    <row r="68" spans="2:40" x14ac:dyDescent="0.25">
      <c r="B68" s="143"/>
      <c r="C68" t="s">
        <v>485</v>
      </c>
      <c r="D68" t="s">
        <v>482</v>
      </c>
      <c r="E68" t="s">
        <v>177</v>
      </c>
      <c r="F68" s="29">
        <f>76.1/1000</f>
        <v>7.6100000000000001E-2</v>
      </c>
      <c r="G68" t="s">
        <v>603</v>
      </c>
      <c r="J68" s="5"/>
      <c r="K68" s="5"/>
      <c r="L68" s="7"/>
      <c r="M68" s="5"/>
      <c r="P68" s="150"/>
      <c r="Q68" t="s">
        <v>485</v>
      </c>
      <c r="R68" t="s">
        <v>482</v>
      </c>
      <c r="S68" t="s">
        <v>177</v>
      </c>
      <c r="T68" s="29">
        <f>Tabelle5[[#This Row],[Wert]]</f>
        <v>7.6100000000000001E-2</v>
      </c>
      <c r="U68" t="str">
        <f>Tabelle5[[#This Row],[Kommentar]]</f>
        <v>R! Rohr ü. Sattdampf 2 1/2"</v>
      </c>
      <c r="X68" s="5"/>
      <c r="Y68" s="5"/>
      <c r="Z68" s="7"/>
      <c r="AA68" s="5"/>
      <c r="AL68" s="125"/>
      <c r="AM68" s="125"/>
      <c r="AN68" s="125"/>
    </row>
    <row r="69" spans="2:40" ht="15" customHeight="1" x14ac:dyDescent="0.25">
      <c r="B69" s="143"/>
      <c r="C69" t="s">
        <v>486</v>
      </c>
      <c r="D69" t="s">
        <v>483</v>
      </c>
      <c r="E69" t="s">
        <v>177</v>
      </c>
      <c r="F69" s="29">
        <f>68.8/1000</f>
        <v>6.88E-2</v>
      </c>
      <c r="G69" t="s">
        <v>603</v>
      </c>
      <c r="J69" s="6"/>
      <c r="L69" s="1"/>
      <c r="P69" s="150"/>
      <c r="Q69" t="s">
        <v>486</v>
      </c>
      <c r="R69" t="s">
        <v>483</v>
      </c>
      <c r="S69" t="s">
        <v>177</v>
      </c>
      <c r="T69" s="29">
        <f>Tabelle5[[#This Row],[Wert]]</f>
        <v>6.88E-2</v>
      </c>
      <c r="U69" t="str">
        <f>Tabelle5[[#This Row],[Kommentar]]</f>
        <v>R! Rohr ü. Sattdampf 2 1/2"</v>
      </c>
    </row>
    <row r="70" spans="2:40" ht="15.75" thickBot="1" x14ac:dyDescent="0.3">
      <c r="B70" s="144"/>
      <c r="C70" s="19" t="s">
        <v>487</v>
      </c>
      <c r="D70" s="19" t="s">
        <v>484</v>
      </c>
      <c r="E70" s="19" t="s">
        <v>176</v>
      </c>
      <c r="F70" s="56">
        <f>3.14*F69^2/4</f>
        <v>3.7157504000000004E-3</v>
      </c>
      <c r="G70" t="s">
        <v>603</v>
      </c>
      <c r="L70" s="1"/>
      <c r="P70" s="151"/>
      <c r="Q70" s="19" t="s">
        <v>487</v>
      </c>
      <c r="R70" s="19" t="s">
        <v>484</v>
      </c>
      <c r="S70" s="19" t="s">
        <v>176</v>
      </c>
      <c r="T70" s="56">
        <f>Tabelle5[[#This Row],[Wert]]</f>
        <v>3.7157504000000004E-3</v>
      </c>
      <c r="U70" t="str">
        <f>Tabelle5[[#This Row],[Kommentar]]</f>
        <v>R! Rohr ü. Sattdampf 2 1/2"</v>
      </c>
    </row>
    <row r="71" spans="2:40" x14ac:dyDescent="0.25">
      <c r="B71" s="142" t="s">
        <v>576</v>
      </c>
      <c r="C71" s="15" t="s">
        <v>429</v>
      </c>
      <c r="D71" s="15" t="s">
        <v>503</v>
      </c>
      <c r="E71" s="15" t="s">
        <v>45</v>
      </c>
      <c r="F71" s="57">
        <f>F40*(F65-F20)/(F87-F76)</f>
        <v>1.2946301531149127</v>
      </c>
      <c r="G71" s="15"/>
      <c r="L71" s="1"/>
      <c r="P71" s="149" t="s">
        <v>576</v>
      </c>
      <c r="Q71" s="15" t="s">
        <v>429</v>
      </c>
      <c r="R71" s="15" t="s">
        <v>503</v>
      </c>
      <c r="S71" s="15" t="s">
        <v>45</v>
      </c>
      <c r="T71" s="57">
        <f>T40*(T65-T20)/(T87-T76)</f>
        <v>2.1021213589760928</v>
      </c>
      <c r="U71" s="15"/>
    </row>
    <row r="72" spans="2:40" x14ac:dyDescent="0.25">
      <c r="B72" s="143"/>
      <c r="C72" t="s">
        <v>490</v>
      </c>
      <c r="D72" t="s">
        <v>507</v>
      </c>
      <c r="E72" t="s">
        <v>129</v>
      </c>
      <c r="F72" s="68">
        <v>971.93639448824001</v>
      </c>
      <c r="G72" s="2" t="s">
        <v>750</v>
      </c>
      <c r="L72" s="1"/>
      <c r="P72" s="150"/>
      <c r="Q72" t="s">
        <v>490</v>
      </c>
      <c r="R72" t="s">
        <v>507</v>
      </c>
      <c r="S72" t="s">
        <v>129</v>
      </c>
      <c r="T72" s="68">
        <v>971.93639448824001</v>
      </c>
      <c r="U72" s="2" t="s">
        <v>750</v>
      </c>
    </row>
    <row r="73" spans="2:40" x14ac:dyDescent="0.25">
      <c r="B73" s="143"/>
      <c r="C73" t="s">
        <v>491</v>
      </c>
      <c r="D73" s="49" t="s">
        <v>504</v>
      </c>
      <c r="E73" s="49" t="s">
        <v>161</v>
      </c>
      <c r="F73" s="29">
        <f>F71/F72</f>
        <v>1.3320111896793234E-3</v>
      </c>
      <c r="L73" s="1"/>
      <c r="P73" s="150"/>
      <c r="Q73" t="s">
        <v>491</v>
      </c>
      <c r="R73" s="49" t="s">
        <v>504</v>
      </c>
      <c r="S73" s="49" t="s">
        <v>161</v>
      </c>
      <c r="T73" s="29">
        <f>T71/T72</f>
        <v>2.1628178252167791E-3</v>
      </c>
    </row>
    <row r="74" spans="2:40" x14ac:dyDescent="0.25">
      <c r="B74" s="143"/>
      <c r="C74" s="49" t="s">
        <v>446</v>
      </c>
      <c r="D74" s="49" t="s">
        <v>500</v>
      </c>
      <c r="E74" t="s">
        <v>49</v>
      </c>
      <c r="F74" s="68">
        <v>80</v>
      </c>
      <c r="G74" t="s">
        <v>4</v>
      </c>
      <c r="L74" s="1"/>
      <c r="P74" s="150"/>
      <c r="Q74" s="49" t="s">
        <v>446</v>
      </c>
      <c r="R74" s="49" t="s">
        <v>500</v>
      </c>
      <c r="S74" t="s">
        <v>49</v>
      </c>
      <c r="T74" s="68">
        <v>80</v>
      </c>
      <c r="U74" t="s">
        <v>443</v>
      </c>
    </row>
    <row r="75" spans="2:40" x14ac:dyDescent="0.25">
      <c r="B75" s="143"/>
      <c r="C75" t="s">
        <v>438</v>
      </c>
      <c r="D75" t="s">
        <v>499</v>
      </c>
      <c r="E75" t="s">
        <v>48</v>
      </c>
      <c r="F75" s="68">
        <v>4</v>
      </c>
      <c r="G75" t="s">
        <v>4</v>
      </c>
      <c r="L75" s="1"/>
      <c r="P75" s="150"/>
      <c r="Q75" t="s">
        <v>438</v>
      </c>
      <c r="R75" t="s">
        <v>499</v>
      </c>
      <c r="S75" t="s">
        <v>48</v>
      </c>
      <c r="T75" s="68">
        <v>4</v>
      </c>
      <c r="U75" t="s">
        <v>4</v>
      </c>
    </row>
    <row r="76" spans="2:40" x14ac:dyDescent="0.25">
      <c r="B76" s="143"/>
      <c r="C76" t="s">
        <v>419</v>
      </c>
      <c r="D76" t="s">
        <v>498</v>
      </c>
      <c r="E76" t="s">
        <v>47</v>
      </c>
      <c r="F76" s="68">
        <v>335.22929831431998</v>
      </c>
      <c r="G76" s="2" t="s">
        <v>750</v>
      </c>
      <c r="L76" s="1"/>
      <c r="P76" s="150"/>
      <c r="Q76" t="s">
        <v>419</v>
      </c>
      <c r="R76" t="s">
        <v>498</v>
      </c>
      <c r="S76" t="s">
        <v>47</v>
      </c>
      <c r="T76" s="68">
        <v>335.22929831431998</v>
      </c>
      <c r="U76" s="2" t="s">
        <v>750</v>
      </c>
    </row>
    <row r="77" spans="2:40" x14ac:dyDescent="0.25">
      <c r="B77" s="143"/>
      <c r="C77" s="49" t="s">
        <v>442</v>
      </c>
      <c r="D77" s="49" t="s">
        <v>501</v>
      </c>
      <c r="E77" t="s">
        <v>265</v>
      </c>
      <c r="F77" s="68">
        <v>4.1948604267098002</v>
      </c>
      <c r="G77" s="2" t="s">
        <v>750</v>
      </c>
      <c r="L77" s="1"/>
      <c r="P77" s="150"/>
      <c r="Q77" s="49" t="s">
        <v>442</v>
      </c>
      <c r="R77" s="49" t="s">
        <v>501</v>
      </c>
      <c r="S77" t="s">
        <v>265</v>
      </c>
      <c r="T77" s="68">
        <v>4.1948604267098002</v>
      </c>
      <c r="U77" s="2" t="s">
        <v>750</v>
      </c>
    </row>
    <row r="78" spans="2:40" ht="15" customHeight="1" x14ac:dyDescent="0.25">
      <c r="B78" s="143"/>
      <c r="C78" t="s">
        <v>462</v>
      </c>
      <c r="D78" t="s">
        <v>502</v>
      </c>
      <c r="E78" t="s">
        <v>175</v>
      </c>
      <c r="F78" s="29">
        <f>F73/F81</f>
        <v>2.2935087870252606</v>
      </c>
      <c r="L78" s="1"/>
      <c r="P78" s="150"/>
      <c r="Q78" t="s">
        <v>462</v>
      </c>
      <c r="R78" t="s">
        <v>502</v>
      </c>
      <c r="S78" t="s">
        <v>175</v>
      </c>
      <c r="T78" s="29">
        <f>T73/T81</f>
        <v>3.7240240362123043</v>
      </c>
    </row>
    <row r="79" spans="2:40" x14ac:dyDescent="0.25">
      <c r="B79" s="143"/>
      <c r="C79" t="s">
        <v>492</v>
      </c>
      <c r="D79" t="s">
        <v>495</v>
      </c>
      <c r="E79" t="s">
        <v>177</v>
      </c>
      <c r="F79" s="29">
        <f>33.7/1000</f>
        <v>3.3700000000000001E-2</v>
      </c>
      <c r="G79" t="s">
        <v>588</v>
      </c>
      <c r="L79" s="1"/>
      <c r="P79" s="150"/>
      <c r="Q79" t="s">
        <v>492</v>
      </c>
      <c r="R79" t="s">
        <v>495</v>
      </c>
      <c r="S79" t="s">
        <v>177</v>
      </c>
      <c r="T79" s="29">
        <f>Tabelle5[[#This Row],[Wert]]</f>
        <v>3.3700000000000001E-2</v>
      </c>
      <c r="U79" t="s">
        <v>588</v>
      </c>
    </row>
    <row r="80" spans="2:40" x14ac:dyDescent="0.25">
      <c r="B80" s="143"/>
      <c r="C80" t="s">
        <v>493</v>
      </c>
      <c r="D80" t="s">
        <v>496</v>
      </c>
      <c r="E80" t="s">
        <v>177</v>
      </c>
      <c r="F80" s="29">
        <f>27.2/1000</f>
        <v>2.7199999999999998E-2</v>
      </c>
      <c r="G80" t="s">
        <v>588</v>
      </c>
      <c r="L80" s="1"/>
      <c r="P80" s="150"/>
      <c r="Q80" t="s">
        <v>493</v>
      </c>
      <c r="R80" t="s">
        <v>496</v>
      </c>
      <c r="S80" t="s">
        <v>177</v>
      </c>
      <c r="T80" s="29">
        <f>Tabelle5[[#This Row],[Wert]]</f>
        <v>2.7199999999999998E-2</v>
      </c>
      <c r="U80" t="s">
        <v>588</v>
      </c>
    </row>
    <row r="81" spans="2:24" ht="15.75" thickBot="1" x14ac:dyDescent="0.3">
      <c r="B81" s="144"/>
      <c r="C81" s="19" t="s">
        <v>494</v>
      </c>
      <c r="D81" s="19" t="s">
        <v>497</v>
      </c>
      <c r="E81" s="19" t="s">
        <v>176</v>
      </c>
      <c r="F81" s="56">
        <f>3.14*F80^2/4</f>
        <v>5.8077439999999997E-4</v>
      </c>
      <c r="G81" t="s">
        <v>588</v>
      </c>
      <c r="L81" s="1"/>
      <c r="P81" s="151"/>
      <c r="Q81" s="19" t="s">
        <v>494</v>
      </c>
      <c r="R81" s="19" t="s">
        <v>497</v>
      </c>
      <c r="S81" s="19" t="s">
        <v>176</v>
      </c>
      <c r="T81" s="56">
        <f>Tabelle5[[#This Row],[Wert]]</f>
        <v>5.8077439999999997E-4</v>
      </c>
      <c r="U81" t="s">
        <v>588</v>
      </c>
    </row>
    <row r="82" spans="2:24" x14ac:dyDescent="0.25">
      <c r="B82" s="142" t="s">
        <v>577</v>
      </c>
      <c r="C82" s="15" t="s">
        <v>430</v>
      </c>
      <c r="D82" s="15" t="s">
        <v>509</v>
      </c>
      <c r="E82" s="15" t="s">
        <v>45</v>
      </c>
      <c r="F82" s="57">
        <f>F71</f>
        <v>1.2946301531149127</v>
      </c>
      <c r="G82" s="53"/>
      <c r="L82" s="1"/>
      <c r="P82" s="149" t="s">
        <v>577</v>
      </c>
      <c r="Q82" s="15" t="s">
        <v>430</v>
      </c>
      <c r="R82" s="15" t="s">
        <v>509</v>
      </c>
      <c r="S82" s="15" t="s">
        <v>45</v>
      </c>
      <c r="T82" s="57">
        <f>T71</f>
        <v>2.1021213589760928</v>
      </c>
      <c r="U82" s="53"/>
    </row>
    <row r="83" spans="2:24" x14ac:dyDescent="0.25">
      <c r="B83" s="143"/>
      <c r="C83" t="s">
        <v>506</v>
      </c>
      <c r="D83" t="s">
        <v>508</v>
      </c>
      <c r="E83" t="s">
        <v>129</v>
      </c>
      <c r="F83" s="68">
        <v>964.10046519176001</v>
      </c>
      <c r="G83" s="2" t="s">
        <v>750</v>
      </c>
      <c r="P83" s="150"/>
      <c r="Q83" t="s">
        <v>506</v>
      </c>
      <c r="R83" t="s">
        <v>508</v>
      </c>
      <c r="S83" t="s">
        <v>129</v>
      </c>
      <c r="T83" s="68">
        <v>964.10046519176001</v>
      </c>
      <c r="U83" s="2" t="s">
        <v>750</v>
      </c>
    </row>
    <row r="84" spans="2:24" x14ac:dyDescent="0.25">
      <c r="B84" s="143"/>
      <c r="C84" t="s">
        <v>505</v>
      </c>
      <c r="D84" s="49" t="s">
        <v>510</v>
      </c>
      <c r="E84" s="49" t="s">
        <v>161</v>
      </c>
      <c r="F84" s="29">
        <f>F82/F83</f>
        <v>1.3428373907665423E-3</v>
      </c>
      <c r="P84" s="150"/>
      <c r="Q84" t="s">
        <v>505</v>
      </c>
      <c r="R84" s="49" t="s">
        <v>510</v>
      </c>
      <c r="S84" s="49" t="s">
        <v>161</v>
      </c>
      <c r="T84" s="29">
        <f>T82/T83</f>
        <v>2.1803965819661543E-3</v>
      </c>
    </row>
    <row r="85" spans="2:24" x14ac:dyDescent="0.25">
      <c r="B85" s="143"/>
      <c r="C85" s="49" t="s">
        <v>463</v>
      </c>
      <c r="D85" s="49" t="s">
        <v>511</v>
      </c>
      <c r="E85" t="s">
        <v>49</v>
      </c>
      <c r="F85" s="68">
        <v>92</v>
      </c>
      <c r="G85" t="s">
        <v>443</v>
      </c>
      <c r="P85" s="150"/>
      <c r="Q85" s="49" t="s">
        <v>463</v>
      </c>
      <c r="R85" s="49" t="s">
        <v>511</v>
      </c>
      <c r="S85" t="s">
        <v>49</v>
      </c>
      <c r="T85" s="68">
        <v>92</v>
      </c>
      <c r="U85" t="s">
        <v>443</v>
      </c>
    </row>
    <row r="86" spans="2:24" x14ac:dyDescent="0.25">
      <c r="B86" s="143"/>
      <c r="C86" t="s">
        <v>439</v>
      </c>
      <c r="D86" t="s">
        <v>512</v>
      </c>
      <c r="E86" t="s">
        <v>48</v>
      </c>
      <c r="F86" s="68">
        <f>F75</f>
        <v>4</v>
      </c>
      <c r="G86" t="s">
        <v>4</v>
      </c>
      <c r="P86" s="150"/>
      <c r="Q86" t="s">
        <v>439</v>
      </c>
      <c r="R86" t="s">
        <v>512</v>
      </c>
      <c r="S86" t="s">
        <v>48</v>
      </c>
      <c r="T86" s="68">
        <f>T75</f>
        <v>4</v>
      </c>
      <c r="U86" t="s">
        <v>443</v>
      </c>
    </row>
    <row r="87" spans="2:24" x14ac:dyDescent="0.25">
      <c r="B87" s="143"/>
      <c r="C87" t="s">
        <v>420</v>
      </c>
      <c r="D87" t="s">
        <v>513</v>
      </c>
      <c r="E87" t="s">
        <v>47</v>
      </c>
      <c r="F87" s="68">
        <v>385.63448424862997</v>
      </c>
      <c r="G87" s="2" t="s">
        <v>750</v>
      </c>
      <c r="P87" s="150"/>
      <c r="Q87" t="s">
        <v>420</v>
      </c>
      <c r="R87" t="s">
        <v>513</v>
      </c>
      <c r="S87" t="s">
        <v>47</v>
      </c>
      <c r="T87" s="68">
        <v>385.63448424862997</v>
      </c>
      <c r="U87" s="2" t="s">
        <v>750</v>
      </c>
    </row>
    <row r="88" spans="2:24" x14ac:dyDescent="0.25">
      <c r="B88" s="143"/>
      <c r="C88" t="s">
        <v>424</v>
      </c>
      <c r="D88" t="s">
        <v>514</v>
      </c>
      <c r="E88" t="s">
        <v>175</v>
      </c>
      <c r="F88" s="29">
        <f>F84/F91</f>
        <v>2.3121497620531182</v>
      </c>
      <c r="P88" s="150"/>
      <c r="Q88" t="s">
        <v>424</v>
      </c>
      <c r="R88" t="s">
        <v>514</v>
      </c>
      <c r="S88" t="s">
        <v>175</v>
      </c>
      <c r="T88" s="29">
        <f>T84/T91</f>
        <v>3.7542918247879977</v>
      </c>
    </row>
    <row r="89" spans="2:24" ht="15" customHeight="1" x14ac:dyDescent="0.25">
      <c r="B89" s="143"/>
      <c r="C89" t="s">
        <v>515</v>
      </c>
      <c r="D89" t="s">
        <v>518</v>
      </c>
      <c r="E89" t="s">
        <v>177</v>
      </c>
      <c r="F89" s="29">
        <f>33.7/1000</f>
        <v>3.3700000000000001E-2</v>
      </c>
      <c r="G89" t="s">
        <v>589</v>
      </c>
      <c r="I89" s="44"/>
      <c r="P89" s="150"/>
      <c r="Q89" t="s">
        <v>515</v>
      </c>
      <c r="R89" t="s">
        <v>518</v>
      </c>
      <c r="S89" t="s">
        <v>177</v>
      </c>
      <c r="T89" s="29">
        <f>Tabelle5[[#This Row],[Wert]]</f>
        <v>3.3700000000000001E-2</v>
      </c>
      <c r="U89" t="str">
        <f>Tabelle5[[#This Row],[Kommentar]]</f>
        <v>R! Rohr Vorratswasser aus1 1"</v>
      </c>
      <c r="X89" s="170"/>
    </row>
    <row r="90" spans="2:24" x14ac:dyDescent="0.25">
      <c r="B90" s="143"/>
      <c r="C90" t="s">
        <v>516</v>
      </c>
      <c r="D90" t="s">
        <v>519</v>
      </c>
      <c r="E90" t="s">
        <v>177</v>
      </c>
      <c r="F90" s="29">
        <f>27.2/1000</f>
        <v>2.7199999999999998E-2</v>
      </c>
      <c r="G90" t="s">
        <v>589</v>
      </c>
      <c r="I90" s="44"/>
      <c r="P90" s="150"/>
      <c r="Q90" t="s">
        <v>516</v>
      </c>
      <c r="R90" t="s">
        <v>519</v>
      </c>
      <c r="S90" t="s">
        <v>177</v>
      </c>
      <c r="T90" s="29">
        <f>Tabelle5[[#This Row],[Wert]]</f>
        <v>2.7199999999999998E-2</v>
      </c>
      <c r="U90" t="str">
        <f>Tabelle5[[#This Row],[Kommentar]]</f>
        <v>R! Rohr Vorratswasser aus1 1"</v>
      </c>
      <c r="X90" s="170"/>
    </row>
    <row r="91" spans="2:24" ht="15.75" thickBot="1" x14ac:dyDescent="0.3">
      <c r="B91" s="144"/>
      <c r="C91" s="19" t="s">
        <v>517</v>
      </c>
      <c r="D91" s="19" t="s">
        <v>520</v>
      </c>
      <c r="E91" s="19" t="s">
        <v>176</v>
      </c>
      <c r="F91" s="56">
        <f>3.14*F90^2/4</f>
        <v>5.8077439999999997E-4</v>
      </c>
      <c r="G91" t="s">
        <v>589</v>
      </c>
      <c r="I91" s="44"/>
      <c r="P91" s="151"/>
      <c r="Q91" s="19" t="s">
        <v>517</v>
      </c>
      <c r="R91" s="19" t="s">
        <v>520</v>
      </c>
      <c r="S91" s="19" t="s">
        <v>176</v>
      </c>
      <c r="T91" s="56">
        <f>Tabelle5[[#This Row],[Wert]]</f>
        <v>5.8077439999999997E-4</v>
      </c>
      <c r="U91" t="str">
        <f>Tabelle5[[#This Row],[Kommentar]]</f>
        <v>R! Rohr Vorratswasser aus1 1"</v>
      </c>
      <c r="X91" s="170"/>
    </row>
    <row r="92" spans="2:24" x14ac:dyDescent="0.25">
      <c r="B92" s="142" t="s">
        <v>578</v>
      </c>
      <c r="C92" s="15" t="s">
        <v>521</v>
      </c>
      <c r="D92" s="15" t="s">
        <v>544</v>
      </c>
      <c r="E92" s="15" t="s">
        <v>45</v>
      </c>
      <c r="F92" s="57">
        <f>(F113*(F129-F118))/(F98*(F95-F106))</f>
        <v>9.5806538767960622E-2</v>
      </c>
      <c r="G92" s="15"/>
      <c r="I92" s="44"/>
      <c r="P92" s="149" t="s">
        <v>578</v>
      </c>
      <c r="Q92" s="15" t="s">
        <v>521</v>
      </c>
      <c r="R92" s="15" t="s">
        <v>544</v>
      </c>
      <c r="S92" s="15" t="s">
        <v>45</v>
      </c>
      <c r="T92" s="57">
        <f>(T113*(T129-T118))/(T98*(T95-T106))</f>
        <v>9.5806538767960622E-2</v>
      </c>
      <c r="U92" s="15"/>
      <c r="X92" s="170"/>
    </row>
    <row r="93" spans="2:24" x14ac:dyDescent="0.25">
      <c r="B93" s="143"/>
      <c r="C93" t="s">
        <v>522</v>
      </c>
      <c r="D93" t="s">
        <v>545</v>
      </c>
      <c r="E93" t="s">
        <v>129</v>
      </c>
      <c r="F93" s="68">
        <f>F72</f>
        <v>971.93639448824001</v>
      </c>
      <c r="G93" s="2" t="s">
        <v>750</v>
      </c>
      <c r="I93" s="44"/>
      <c r="P93" s="150"/>
      <c r="Q93" t="s">
        <v>522</v>
      </c>
      <c r="R93" t="s">
        <v>545</v>
      </c>
      <c r="S93" t="s">
        <v>129</v>
      </c>
      <c r="T93" s="68">
        <f>T72</f>
        <v>971.93639448824001</v>
      </c>
      <c r="U93" s="2" t="s">
        <v>750</v>
      </c>
      <c r="X93" s="170"/>
    </row>
    <row r="94" spans="2:24" x14ac:dyDescent="0.25">
      <c r="B94" s="143"/>
      <c r="C94" t="s">
        <v>523</v>
      </c>
      <c r="D94" s="49" t="s">
        <v>546</v>
      </c>
      <c r="E94" s="49" t="s">
        <v>161</v>
      </c>
      <c r="F94" s="29">
        <f>F92/F93</f>
        <v>9.8572848296730634E-5</v>
      </c>
      <c r="I94" s="44"/>
      <c r="P94" s="150"/>
      <c r="Q94" t="s">
        <v>523</v>
      </c>
      <c r="R94" s="49" t="s">
        <v>546</v>
      </c>
      <c r="S94" s="49" t="s">
        <v>161</v>
      </c>
      <c r="T94" s="29">
        <f>T92/T93</f>
        <v>9.8572848296730634E-5</v>
      </c>
      <c r="X94" s="170"/>
    </row>
    <row r="95" spans="2:24" x14ac:dyDescent="0.25">
      <c r="B95" s="143"/>
      <c r="C95" s="49" t="s">
        <v>525</v>
      </c>
      <c r="D95" s="49" t="s">
        <v>547</v>
      </c>
      <c r="E95" t="s">
        <v>49</v>
      </c>
      <c r="F95" s="68">
        <v>80</v>
      </c>
      <c r="G95" t="s">
        <v>443</v>
      </c>
      <c r="I95" s="44"/>
      <c r="P95" s="150"/>
      <c r="Q95" s="49" t="s">
        <v>525</v>
      </c>
      <c r="R95" s="49" t="s">
        <v>547</v>
      </c>
      <c r="S95" t="s">
        <v>49</v>
      </c>
      <c r="T95" s="68">
        <v>80</v>
      </c>
      <c r="U95" t="s">
        <v>443</v>
      </c>
      <c r="X95" s="170"/>
    </row>
    <row r="96" spans="2:24" ht="15" customHeight="1" x14ac:dyDescent="0.25">
      <c r="B96" s="143"/>
      <c r="C96" t="s">
        <v>526</v>
      </c>
      <c r="D96" t="s">
        <v>548</v>
      </c>
      <c r="E96" t="s">
        <v>48</v>
      </c>
      <c r="F96" s="68">
        <v>4</v>
      </c>
      <c r="G96" t="s">
        <v>4</v>
      </c>
      <c r="I96" s="44"/>
      <c r="P96" s="150"/>
      <c r="Q96" t="s">
        <v>526</v>
      </c>
      <c r="R96" t="s">
        <v>548</v>
      </c>
      <c r="S96" t="s">
        <v>48</v>
      </c>
      <c r="T96" s="68">
        <v>4</v>
      </c>
      <c r="U96" t="s">
        <v>443</v>
      </c>
      <c r="X96" s="170"/>
    </row>
    <row r="97" spans="2:24" x14ac:dyDescent="0.25">
      <c r="B97" s="143"/>
      <c r="C97" t="s">
        <v>524</v>
      </c>
      <c r="D97" t="s">
        <v>549</v>
      </c>
      <c r="E97" t="s">
        <v>47</v>
      </c>
      <c r="F97" s="68">
        <f>F76</f>
        <v>335.22929831431998</v>
      </c>
      <c r="G97" s="2" t="s">
        <v>750</v>
      </c>
      <c r="I97" s="44"/>
      <c r="P97" s="150"/>
      <c r="Q97" t="s">
        <v>524</v>
      </c>
      <c r="R97" t="s">
        <v>549</v>
      </c>
      <c r="S97" t="s">
        <v>47</v>
      </c>
      <c r="T97" s="68">
        <f>T76</f>
        <v>335.22929831431998</v>
      </c>
      <c r="U97" s="2" t="s">
        <v>750</v>
      </c>
      <c r="X97" s="170"/>
    </row>
    <row r="98" spans="2:24" x14ac:dyDescent="0.25">
      <c r="B98" s="143"/>
      <c r="C98" s="49" t="s">
        <v>527</v>
      </c>
      <c r="D98" s="49" t="s">
        <v>550</v>
      </c>
      <c r="E98" t="s">
        <v>265</v>
      </c>
      <c r="F98" s="68">
        <f>F77</f>
        <v>4.1948604267098002</v>
      </c>
      <c r="G98" s="2" t="s">
        <v>750</v>
      </c>
      <c r="I98" s="44"/>
      <c r="P98" s="150"/>
      <c r="Q98" s="49" t="s">
        <v>527</v>
      </c>
      <c r="R98" s="49" t="s">
        <v>550</v>
      </c>
      <c r="S98" t="s">
        <v>265</v>
      </c>
      <c r="T98" s="68">
        <f>T77</f>
        <v>4.1948604267098002</v>
      </c>
      <c r="X98" s="170"/>
    </row>
    <row r="99" spans="2:24" ht="15.75" customHeight="1" x14ac:dyDescent="0.25">
      <c r="B99" s="143"/>
      <c r="C99" t="s">
        <v>528</v>
      </c>
      <c r="D99" t="s">
        <v>551</v>
      </c>
      <c r="E99" t="s">
        <v>175</v>
      </c>
      <c r="F99" s="29">
        <f>F94/F102</f>
        <v>0.16972657248103676</v>
      </c>
      <c r="I99" s="44"/>
      <c r="P99" s="150"/>
      <c r="Q99" t="s">
        <v>528</v>
      </c>
      <c r="R99" t="s">
        <v>551</v>
      </c>
      <c r="S99" t="s">
        <v>175</v>
      </c>
      <c r="T99" s="29">
        <f>T94/T102</f>
        <v>0.16972657248103676</v>
      </c>
      <c r="X99" s="170"/>
    </row>
    <row r="100" spans="2:24" x14ac:dyDescent="0.25">
      <c r="B100" s="143"/>
      <c r="C100" t="s">
        <v>529</v>
      </c>
      <c r="D100" t="s">
        <v>552</v>
      </c>
      <c r="E100" t="s">
        <v>177</v>
      </c>
      <c r="F100" s="29">
        <f>33.7/1000</f>
        <v>3.3700000000000001E-2</v>
      </c>
      <c r="G100" t="s">
        <v>596</v>
      </c>
      <c r="I100" s="44"/>
      <c r="P100" s="150"/>
      <c r="Q100" t="s">
        <v>529</v>
      </c>
      <c r="R100" t="s">
        <v>552</v>
      </c>
      <c r="S100" t="s">
        <v>177</v>
      </c>
      <c r="T100" s="29">
        <f>Tabelle5[[#This Row],[Wert]]</f>
        <v>3.3700000000000001E-2</v>
      </c>
      <c r="U100" t="str">
        <f>Tabelle5[[#This Row],[Kommentar]]</f>
        <v>R! Rohr Vorratswasser ein2 1"</v>
      </c>
      <c r="X100" s="170"/>
    </row>
    <row r="101" spans="2:24" x14ac:dyDescent="0.25">
      <c r="B101" s="143"/>
      <c r="C101" t="s">
        <v>530</v>
      </c>
      <c r="D101" t="s">
        <v>553</v>
      </c>
      <c r="E101" t="s">
        <v>177</v>
      </c>
      <c r="F101" s="29">
        <f>27.2/1000</f>
        <v>2.7199999999999998E-2</v>
      </c>
      <c r="G101" t="s">
        <v>596</v>
      </c>
      <c r="I101" s="44"/>
      <c r="P101" s="150"/>
      <c r="Q101" t="s">
        <v>530</v>
      </c>
      <c r="R101" t="s">
        <v>553</v>
      </c>
      <c r="S101" t="s">
        <v>177</v>
      </c>
      <c r="T101" s="29">
        <f>Tabelle5[[#This Row],[Wert]]</f>
        <v>2.7199999999999998E-2</v>
      </c>
      <c r="U101" t="str">
        <f>Tabelle5[[#This Row],[Kommentar]]</f>
        <v>R! Rohr Vorratswasser ein2 1"</v>
      </c>
      <c r="X101" s="170"/>
    </row>
    <row r="102" spans="2:24" ht="15.75" thickBot="1" x14ac:dyDescent="0.3">
      <c r="B102" s="144"/>
      <c r="C102" s="19" t="s">
        <v>531</v>
      </c>
      <c r="D102" s="19" t="s">
        <v>554</v>
      </c>
      <c r="E102" s="19" t="s">
        <v>176</v>
      </c>
      <c r="F102" s="56">
        <f>3.14*F101^2/4</f>
        <v>5.8077439999999997E-4</v>
      </c>
      <c r="G102" t="s">
        <v>596</v>
      </c>
      <c r="I102" s="44"/>
      <c r="P102" s="151"/>
      <c r="Q102" s="19" t="s">
        <v>531</v>
      </c>
      <c r="R102" s="19" t="s">
        <v>554</v>
      </c>
      <c r="S102" s="19" t="s">
        <v>176</v>
      </c>
      <c r="T102" s="56">
        <f>Tabelle5[[#This Row],[Wert]]</f>
        <v>5.8077439999999997E-4</v>
      </c>
      <c r="U102" t="str">
        <f>Tabelle5[[#This Row],[Kommentar]]</f>
        <v>R! Rohr Vorratswasser ein2 1"</v>
      </c>
      <c r="X102" s="170"/>
    </row>
    <row r="103" spans="2:24" x14ac:dyDescent="0.25">
      <c r="B103" s="142" t="s">
        <v>579</v>
      </c>
      <c r="C103" s="15" t="s">
        <v>532</v>
      </c>
      <c r="D103" s="15" t="s">
        <v>555</v>
      </c>
      <c r="E103" s="15" t="s">
        <v>45</v>
      </c>
      <c r="F103" s="57">
        <f>F92</f>
        <v>9.5806538767960622E-2</v>
      </c>
      <c r="G103" s="53"/>
      <c r="I103" s="44"/>
      <c r="P103" s="149" t="s">
        <v>579</v>
      </c>
      <c r="Q103" s="15" t="s">
        <v>532</v>
      </c>
      <c r="R103" s="15" t="s">
        <v>555</v>
      </c>
      <c r="S103" s="15" t="s">
        <v>45</v>
      </c>
      <c r="T103" s="57">
        <f>T92</f>
        <v>9.5806538767960622E-2</v>
      </c>
      <c r="U103" s="53"/>
      <c r="X103" s="170"/>
    </row>
    <row r="104" spans="2:24" x14ac:dyDescent="0.25">
      <c r="B104" s="143"/>
      <c r="C104" t="s">
        <v>533</v>
      </c>
      <c r="D104" t="s">
        <v>556</v>
      </c>
      <c r="E104" t="s">
        <v>129</v>
      </c>
      <c r="F104" s="68">
        <v>988.17734016079999</v>
      </c>
      <c r="G104" s="2" t="s">
        <v>750</v>
      </c>
      <c r="I104" s="44"/>
      <c r="P104" s="150"/>
      <c r="Q104" t="s">
        <v>533</v>
      </c>
      <c r="R104" t="s">
        <v>556</v>
      </c>
      <c r="S104" t="s">
        <v>129</v>
      </c>
      <c r="T104" s="68">
        <v>988.17734016079999</v>
      </c>
      <c r="U104" s="2" t="s">
        <v>750</v>
      </c>
    </row>
    <row r="105" spans="2:24" x14ac:dyDescent="0.25">
      <c r="B105" s="143"/>
      <c r="C105" t="s">
        <v>534</v>
      </c>
      <c r="D105" s="49" t="s">
        <v>557</v>
      </c>
      <c r="E105" s="49" t="s">
        <v>161</v>
      </c>
      <c r="F105" s="29">
        <f>F103/F104</f>
        <v>9.6952778488495418E-5</v>
      </c>
      <c r="I105" s="44"/>
      <c r="P105" s="150"/>
      <c r="Q105" t="s">
        <v>534</v>
      </c>
      <c r="R105" s="49" t="s">
        <v>557</v>
      </c>
      <c r="S105" s="49" t="s">
        <v>161</v>
      </c>
      <c r="T105" s="29">
        <f>T103/T104</f>
        <v>9.6952778488495418E-5</v>
      </c>
    </row>
    <row r="106" spans="2:24" x14ac:dyDescent="0.25">
      <c r="B106" s="143"/>
      <c r="C106" s="49" t="s">
        <v>535</v>
      </c>
      <c r="D106" s="49" t="s">
        <v>558</v>
      </c>
      <c r="E106" t="s">
        <v>49</v>
      </c>
      <c r="F106" s="68">
        <v>50</v>
      </c>
      <c r="G106" t="s">
        <v>443</v>
      </c>
      <c r="I106" s="44"/>
      <c r="P106" s="150"/>
      <c r="Q106" s="49" t="s">
        <v>535</v>
      </c>
      <c r="R106" s="49" t="s">
        <v>558</v>
      </c>
      <c r="S106" t="s">
        <v>49</v>
      </c>
      <c r="T106" s="68">
        <v>50</v>
      </c>
      <c r="U106" t="s">
        <v>443</v>
      </c>
    </row>
    <row r="107" spans="2:24" x14ac:dyDescent="0.25">
      <c r="B107" s="143"/>
      <c r="C107" t="s">
        <v>536</v>
      </c>
      <c r="D107" t="s">
        <v>559</v>
      </c>
      <c r="E107" t="s">
        <v>48</v>
      </c>
      <c r="F107" s="68">
        <f>F96</f>
        <v>4</v>
      </c>
      <c r="G107" t="s">
        <v>4</v>
      </c>
      <c r="I107" s="44"/>
      <c r="P107" s="150"/>
      <c r="Q107" t="s">
        <v>536</v>
      </c>
      <c r="R107" t="s">
        <v>559</v>
      </c>
      <c r="S107" t="s">
        <v>48</v>
      </c>
      <c r="T107" s="68">
        <f>T96</f>
        <v>4</v>
      </c>
      <c r="U107" t="s">
        <v>443</v>
      </c>
    </row>
    <row r="108" spans="2:24" x14ac:dyDescent="0.25">
      <c r="B108" s="143"/>
      <c r="C108" t="s">
        <v>537</v>
      </c>
      <c r="D108" t="s">
        <v>560</v>
      </c>
      <c r="E108" t="s">
        <v>47</v>
      </c>
      <c r="F108" s="68">
        <v>209.67053289443999</v>
      </c>
      <c r="G108" s="2" t="s">
        <v>750</v>
      </c>
      <c r="I108" s="44"/>
      <c r="P108" s="150"/>
      <c r="Q108" t="s">
        <v>537</v>
      </c>
      <c r="R108" t="s">
        <v>560</v>
      </c>
      <c r="S108" t="s">
        <v>47</v>
      </c>
      <c r="T108" s="68">
        <v>209.67053289443999</v>
      </c>
      <c r="U108" s="2" t="s">
        <v>750</v>
      </c>
    </row>
    <row r="109" spans="2:24" x14ac:dyDescent="0.25">
      <c r="B109" s="143"/>
      <c r="C109" t="s">
        <v>425</v>
      </c>
      <c r="D109" t="s">
        <v>561</v>
      </c>
      <c r="E109" t="s">
        <v>175</v>
      </c>
      <c r="F109" s="29">
        <f>F105/F112</f>
        <v>0.16693707313630804</v>
      </c>
      <c r="I109" s="44"/>
      <c r="P109" s="150"/>
      <c r="Q109" t="s">
        <v>425</v>
      </c>
      <c r="R109" t="s">
        <v>561</v>
      </c>
      <c r="S109" t="s">
        <v>175</v>
      </c>
      <c r="T109" s="29">
        <f>T105/T112</f>
        <v>0.16693707313630804</v>
      </c>
    </row>
    <row r="110" spans="2:24" x14ac:dyDescent="0.25">
      <c r="B110" s="143"/>
      <c r="C110" t="s">
        <v>538</v>
      </c>
      <c r="D110" t="s">
        <v>562</v>
      </c>
      <c r="E110" t="s">
        <v>177</v>
      </c>
      <c r="F110" s="29">
        <f>33.7/1000</f>
        <v>3.3700000000000001E-2</v>
      </c>
      <c r="G110" t="s">
        <v>597</v>
      </c>
      <c r="I110" s="44"/>
      <c r="P110" s="150"/>
      <c r="Q110" t="s">
        <v>538</v>
      </c>
      <c r="R110" t="s">
        <v>562</v>
      </c>
      <c r="S110" t="s">
        <v>177</v>
      </c>
      <c r="T110" s="29">
        <f>Tabelle5[[#This Row],[Wert]]</f>
        <v>3.3700000000000001E-2</v>
      </c>
      <c r="U110" t="str">
        <f>Tabelle5[[#This Row],[Kommentar]]</f>
        <v>R! Rohr Vorratswasser aus2 1"</v>
      </c>
    </row>
    <row r="111" spans="2:24" x14ac:dyDescent="0.25">
      <c r="B111" s="143"/>
      <c r="C111" t="s">
        <v>539</v>
      </c>
      <c r="D111" t="s">
        <v>563</v>
      </c>
      <c r="E111" t="s">
        <v>177</v>
      </c>
      <c r="F111" s="29">
        <f>27.2/1000</f>
        <v>2.7199999999999998E-2</v>
      </c>
      <c r="G111" t="s">
        <v>597</v>
      </c>
      <c r="P111" s="150"/>
      <c r="Q111" t="s">
        <v>539</v>
      </c>
      <c r="R111" t="s">
        <v>563</v>
      </c>
      <c r="S111" t="s">
        <v>177</v>
      </c>
      <c r="T111" s="29">
        <f>Tabelle5[[#This Row],[Wert]]</f>
        <v>2.7199999999999998E-2</v>
      </c>
      <c r="U111" t="str">
        <f>Tabelle5[[#This Row],[Kommentar]]</f>
        <v>R! Rohr Vorratswasser aus2 1"</v>
      </c>
    </row>
    <row r="112" spans="2:24" ht="15.75" thickBot="1" x14ac:dyDescent="0.3">
      <c r="B112" s="144"/>
      <c r="C112" s="19" t="s">
        <v>540</v>
      </c>
      <c r="D112" s="19" t="s">
        <v>564</v>
      </c>
      <c r="E112" s="19" t="s">
        <v>176</v>
      </c>
      <c r="F112" s="56">
        <f>3.14*F111^2/4</f>
        <v>5.8077439999999997E-4</v>
      </c>
      <c r="G112" s="19" t="s">
        <v>597</v>
      </c>
      <c r="P112" s="151"/>
      <c r="Q112" s="19" t="s">
        <v>540</v>
      </c>
      <c r="R112" s="19" t="s">
        <v>564</v>
      </c>
      <c r="S112" s="19" t="s">
        <v>176</v>
      </c>
      <c r="T112" s="56">
        <f>Tabelle5[[#This Row],[Wert]]</f>
        <v>5.8077439999999997E-4</v>
      </c>
      <c r="U112" s="138" t="str">
        <f>Tabelle5[[#This Row],[Kommentar]]</f>
        <v>R! Rohr Vorratswasser aus2 1"</v>
      </c>
    </row>
    <row r="113" spans="2:21" x14ac:dyDescent="0.25">
      <c r="B113" s="142" t="s">
        <v>580</v>
      </c>
      <c r="C113" t="s">
        <v>223</v>
      </c>
      <c r="D113" t="s">
        <v>233</v>
      </c>
      <c r="E113" t="s">
        <v>45</v>
      </c>
      <c r="F113" s="29">
        <f>F11/(F120*(F127-F116))</f>
        <v>0.47967234404444331</v>
      </c>
      <c r="P113" s="149" t="s">
        <v>580</v>
      </c>
      <c r="Q113" t="s">
        <v>223</v>
      </c>
      <c r="R113" t="s">
        <v>233</v>
      </c>
      <c r="S113" t="s">
        <v>45</v>
      </c>
      <c r="T113" s="29">
        <f>T11/(T120*(T127-T116))</f>
        <v>0.47967234404444331</v>
      </c>
    </row>
    <row r="114" spans="2:21" x14ac:dyDescent="0.25">
      <c r="B114" s="143"/>
      <c r="C114" t="s">
        <v>356</v>
      </c>
      <c r="D114" s="49" t="s">
        <v>358</v>
      </c>
      <c r="E114" t="s">
        <v>129</v>
      </c>
      <c r="F114" s="68">
        <v>999.74872934905</v>
      </c>
      <c r="G114" s="2" t="s">
        <v>750</v>
      </c>
      <c r="P114" s="150"/>
      <c r="Q114" t="s">
        <v>356</v>
      </c>
      <c r="R114" s="49" t="s">
        <v>358</v>
      </c>
      <c r="S114" t="s">
        <v>129</v>
      </c>
      <c r="T114" s="68">
        <v>999.74872934905</v>
      </c>
      <c r="U114" s="2" t="s">
        <v>750</v>
      </c>
    </row>
    <row r="115" spans="2:21" x14ac:dyDescent="0.25">
      <c r="B115" s="143"/>
      <c r="C115" s="49" t="s">
        <v>359</v>
      </c>
      <c r="D115" s="49" t="s">
        <v>361</v>
      </c>
      <c r="E115" s="49" t="s">
        <v>161</v>
      </c>
      <c r="F115" s="29">
        <f>F113/F114</f>
        <v>4.7979290191922972E-4</v>
      </c>
      <c r="P115" s="150"/>
      <c r="Q115" s="49" t="s">
        <v>359</v>
      </c>
      <c r="R115" s="49" t="s">
        <v>361</v>
      </c>
      <c r="S115" s="49" t="s">
        <v>161</v>
      </c>
      <c r="T115" s="29">
        <f>T113/T114</f>
        <v>4.7979290191922972E-4</v>
      </c>
    </row>
    <row r="116" spans="2:21" x14ac:dyDescent="0.25">
      <c r="B116" s="143"/>
      <c r="C116" s="49" t="s">
        <v>225</v>
      </c>
      <c r="D116" t="s">
        <v>235</v>
      </c>
      <c r="E116" t="s">
        <v>49</v>
      </c>
      <c r="F116" s="68">
        <v>11</v>
      </c>
      <c r="G116" t="s">
        <v>751</v>
      </c>
      <c r="P116" s="150"/>
      <c r="Q116" s="49" t="s">
        <v>225</v>
      </c>
      <c r="R116" t="s">
        <v>235</v>
      </c>
      <c r="S116" t="s">
        <v>49</v>
      </c>
      <c r="T116" s="68">
        <v>11</v>
      </c>
      <c r="U116" t="s">
        <v>751</v>
      </c>
    </row>
    <row r="117" spans="2:21" x14ac:dyDescent="0.25">
      <c r="B117" s="143"/>
      <c r="C117" s="49" t="s">
        <v>229</v>
      </c>
      <c r="D117" t="s">
        <v>237</v>
      </c>
      <c r="E117" t="s">
        <v>48</v>
      </c>
      <c r="F117" s="68">
        <v>4</v>
      </c>
      <c r="G117" t="s">
        <v>4</v>
      </c>
      <c r="P117" s="150"/>
      <c r="Q117" s="49" t="s">
        <v>229</v>
      </c>
      <c r="R117" t="s">
        <v>237</v>
      </c>
      <c r="S117" t="s">
        <v>48</v>
      </c>
      <c r="T117" s="68">
        <v>4</v>
      </c>
      <c r="U117" t="s">
        <v>4</v>
      </c>
    </row>
    <row r="118" spans="2:21" x14ac:dyDescent="0.25">
      <c r="B118" s="143"/>
      <c r="C118" t="s">
        <v>227</v>
      </c>
      <c r="D118" t="s">
        <v>236</v>
      </c>
      <c r="E118" t="s">
        <v>47</v>
      </c>
      <c r="F118" s="68">
        <v>46.603558107824</v>
      </c>
      <c r="G118" s="2" t="s">
        <v>750</v>
      </c>
      <c r="P118" s="150"/>
      <c r="Q118" t="s">
        <v>227</v>
      </c>
      <c r="R118" t="s">
        <v>236</v>
      </c>
      <c r="S118" t="s">
        <v>47</v>
      </c>
      <c r="T118" s="68">
        <v>46.603558107824</v>
      </c>
      <c r="U118" s="2" t="s">
        <v>750</v>
      </c>
    </row>
    <row r="119" spans="2:21" x14ac:dyDescent="0.25">
      <c r="B119" s="143"/>
      <c r="C119" t="s">
        <v>422</v>
      </c>
      <c r="D119" t="s">
        <v>565</v>
      </c>
      <c r="E119" t="s">
        <v>175</v>
      </c>
      <c r="F119" s="29">
        <f>F115/F123</f>
        <v>0.82612612043373423</v>
      </c>
      <c r="P119" s="150"/>
      <c r="Q119" t="s">
        <v>422</v>
      </c>
      <c r="R119" t="s">
        <v>565</v>
      </c>
      <c r="S119" t="s">
        <v>175</v>
      </c>
      <c r="T119" s="29">
        <f>T115/T123</f>
        <v>0.82612612043373423</v>
      </c>
    </row>
    <row r="120" spans="2:21" x14ac:dyDescent="0.25">
      <c r="B120" s="143"/>
      <c r="C120" s="49" t="s">
        <v>427</v>
      </c>
      <c r="D120" s="49" t="s">
        <v>428</v>
      </c>
      <c r="E120" t="s">
        <v>265</v>
      </c>
      <c r="F120" s="68">
        <v>4.1928621171740001</v>
      </c>
      <c r="G120" s="2" t="s">
        <v>750</v>
      </c>
      <c r="P120" s="150"/>
      <c r="Q120" s="49" t="s">
        <v>427</v>
      </c>
      <c r="R120" s="49" t="s">
        <v>428</v>
      </c>
      <c r="S120" t="s">
        <v>265</v>
      </c>
      <c r="T120" s="68">
        <v>4.1928621171740001</v>
      </c>
      <c r="U120" s="2" t="s">
        <v>750</v>
      </c>
    </row>
    <row r="121" spans="2:21" x14ac:dyDescent="0.25">
      <c r="B121" s="143"/>
      <c r="C121" t="s">
        <v>379</v>
      </c>
      <c r="D121" t="s">
        <v>566</v>
      </c>
      <c r="E121" t="s">
        <v>177</v>
      </c>
      <c r="F121" s="29">
        <f>33.7/1000</f>
        <v>3.3700000000000001E-2</v>
      </c>
      <c r="G121" t="s">
        <v>613</v>
      </c>
      <c r="P121" s="150"/>
      <c r="Q121" t="s">
        <v>379</v>
      </c>
      <c r="R121" t="s">
        <v>566</v>
      </c>
      <c r="S121" t="s">
        <v>177</v>
      </c>
      <c r="T121" s="29">
        <f>Tabelle5[[#This Row],[Wert]]</f>
        <v>3.3700000000000001E-2</v>
      </c>
      <c r="U121" t="str">
        <f>Tabelle5[[#This Row],[Kommentar]]</f>
        <v>R! Rohr Kühlwasser ein 1"</v>
      </c>
    </row>
    <row r="122" spans="2:21" x14ac:dyDescent="0.25">
      <c r="B122" s="143"/>
      <c r="C122" t="s">
        <v>380</v>
      </c>
      <c r="D122" t="s">
        <v>567</v>
      </c>
      <c r="E122" t="s">
        <v>177</v>
      </c>
      <c r="F122" s="29">
        <f>27.2/1000</f>
        <v>2.7199999999999998E-2</v>
      </c>
      <c r="G122" t="str">
        <f>G121</f>
        <v>R! Rohr Kühlwasser ein 1"</v>
      </c>
      <c r="P122" s="150"/>
      <c r="Q122" t="s">
        <v>380</v>
      </c>
      <c r="R122" t="s">
        <v>567</v>
      </c>
      <c r="S122" t="s">
        <v>177</v>
      </c>
      <c r="T122" s="29">
        <f>Tabelle5[[#This Row],[Wert]]</f>
        <v>2.7199999999999998E-2</v>
      </c>
      <c r="U122" t="str">
        <f>Tabelle5[[#This Row],[Kommentar]]</f>
        <v>R! Rohr Kühlwasser ein 1"</v>
      </c>
    </row>
    <row r="123" spans="2:21" ht="15.75" thickBot="1" x14ac:dyDescent="0.3">
      <c r="B123" s="144"/>
      <c r="C123" s="19" t="s">
        <v>381</v>
      </c>
      <c r="D123" s="19" t="s">
        <v>569</v>
      </c>
      <c r="E123" s="19" t="s">
        <v>176</v>
      </c>
      <c r="F123" s="56">
        <f>3.14*F122^2/4</f>
        <v>5.8077439999999997E-4</v>
      </c>
      <c r="G123" s="19" t="str">
        <f>G122</f>
        <v>R! Rohr Kühlwasser ein 1"</v>
      </c>
      <c r="P123" s="151"/>
      <c r="Q123" s="19" t="s">
        <v>381</v>
      </c>
      <c r="R123" s="19" t="s">
        <v>569</v>
      </c>
      <c r="S123" s="19" t="s">
        <v>176</v>
      </c>
      <c r="T123" s="56">
        <f>Tabelle5[[#This Row],[Wert]]</f>
        <v>5.8077439999999997E-4</v>
      </c>
      <c r="U123" s="19" t="str">
        <f>Tabelle5[[#This Row],[Kommentar]]</f>
        <v>R! Rohr Kühlwasser ein 1"</v>
      </c>
    </row>
    <row r="124" spans="2:21" x14ac:dyDescent="0.25">
      <c r="B124" s="142" t="s">
        <v>581</v>
      </c>
      <c r="C124" t="s">
        <v>224</v>
      </c>
      <c r="D124" t="s">
        <v>234</v>
      </c>
      <c r="E124" t="s">
        <v>45</v>
      </c>
      <c r="F124" s="29">
        <f>F113</f>
        <v>0.47967234404444331</v>
      </c>
      <c r="P124" s="149" t="s">
        <v>581</v>
      </c>
      <c r="Q124" t="s">
        <v>224</v>
      </c>
      <c r="R124" t="s">
        <v>234</v>
      </c>
      <c r="S124" t="s">
        <v>45</v>
      </c>
      <c r="T124" s="29">
        <f>T113</f>
        <v>0.47967234404444331</v>
      </c>
    </row>
    <row r="125" spans="2:21" x14ac:dyDescent="0.25">
      <c r="B125" s="143"/>
      <c r="C125" t="s">
        <v>355</v>
      </c>
      <c r="D125" s="49" t="s">
        <v>357</v>
      </c>
      <c r="E125" t="s">
        <v>129</v>
      </c>
      <c r="F125" s="68">
        <v>998.91465238218996</v>
      </c>
      <c r="G125" s="2" t="s">
        <v>750</v>
      </c>
      <c r="K125" s="2"/>
      <c r="P125" s="150"/>
      <c r="Q125" t="s">
        <v>355</v>
      </c>
      <c r="R125" s="49" t="s">
        <v>357</v>
      </c>
      <c r="S125" t="s">
        <v>129</v>
      </c>
      <c r="T125" s="68">
        <v>998.91465238218996</v>
      </c>
      <c r="U125" s="2" t="s">
        <v>750</v>
      </c>
    </row>
    <row r="126" spans="2:21" x14ac:dyDescent="0.25">
      <c r="B126" s="143"/>
      <c r="C126" s="49" t="s">
        <v>360</v>
      </c>
      <c r="D126" s="49" t="s">
        <v>362</v>
      </c>
      <c r="E126" s="49" t="s">
        <v>161</v>
      </c>
      <c r="F126" s="29">
        <f>F124/F125</f>
        <v>4.8019352093848171E-4</v>
      </c>
      <c r="P126" s="150"/>
      <c r="Q126" s="49" t="s">
        <v>360</v>
      </c>
      <c r="R126" s="49" t="s">
        <v>362</v>
      </c>
      <c r="S126" s="49" t="s">
        <v>161</v>
      </c>
      <c r="T126" s="29">
        <f>T124/T125</f>
        <v>4.8019352093848171E-4</v>
      </c>
    </row>
    <row r="127" spans="2:21" x14ac:dyDescent="0.25">
      <c r="B127" s="143"/>
      <c r="C127" s="49" t="s">
        <v>226</v>
      </c>
      <c r="D127" t="s">
        <v>231</v>
      </c>
      <c r="E127" t="s">
        <v>49</v>
      </c>
      <c r="F127" s="68">
        <v>17</v>
      </c>
      <c r="G127" t="s">
        <v>752</v>
      </c>
      <c r="P127" s="150"/>
      <c r="Q127" s="49" t="s">
        <v>226</v>
      </c>
      <c r="R127" t="s">
        <v>231</v>
      </c>
      <c r="S127" t="s">
        <v>49</v>
      </c>
      <c r="T127" s="68">
        <v>17</v>
      </c>
      <c r="U127" t="s">
        <v>752</v>
      </c>
    </row>
    <row r="128" spans="2:21" x14ac:dyDescent="0.25">
      <c r="B128" s="143"/>
      <c r="C128" s="49" t="s">
        <v>230</v>
      </c>
      <c r="D128" t="s">
        <v>238</v>
      </c>
      <c r="E128" t="s">
        <v>48</v>
      </c>
      <c r="F128" s="68">
        <v>4</v>
      </c>
      <c r="G128" t="s">
        <v>4</v>
      </c>
      <c r="P128" s="150"/>
      <c r="Q128" s="49" t="s">
        <v>230</v>
      </c>
      <c r="R128" t="s">
        <v>238</v>
      </c>
      <c r="S128" t="s">
        <v>48</v>
      </c>
      <c r="T128" s="68">
        <v>4</v>
      </c>
      <c r="U128" t="s">
        <v>4</v>
      </c>
    </row>
    <row r="129" spans="2:25" x14ac:dyDescent="0.25">
      <c r="B129" s="143"/>
      <c r="C129" t="s">
        <v>228</v>
      </c>
      <c r="D129" t="s">
        <v>232</v>
      </c>
      <c r="E129" t="s">
        <v>47</v>
      </c>
      <c r="F129" s="68">
        <v>71.739157215483999</v>
      </c>
      <c r="G129" s="2" t="s">
        <v>750</v>
      </c>
      <c r="P129" s="150"/>
      <c r="Q129" t="s">
        <v>228</v>
      </c>
      <c r="R129" t="s">
        <v>232</v>
      </c>
      <c r="S129" t="s">
        <v>47</v>
      </c>
      <c r="T129" s="68">
        <v>71.739157215483999</v>
      </c>
      <c r="U129" s="2" t="s">
        <v>750</v>
      </c>
    </row>
    <row r="130" spans="2:25" x14ac:dyDescent="0.25">
      <c r="B130" s="143"/>
      <c r="C130" t="s">
        <v>423</v>
      </c>
      <c r="D130" t="s">
        <v>568</v>
      </c>
      <c r="E130" t="s">
        <v>175</v>
      </c>
      <c r="F130" s="29">
        <f>F126/F133</f>
        <v>0.82681592187686259</v>
      </c>
      <c r="P130" s="150"/>
      <c r="Q130" t="s">
        <v>423</v>
      </c>
      <c r="R130" t="s">
        <v>568</v>
      </c>
      <c r="S130" t="s">
        <v>175</v>
      </c>
      <c r="T130" s="29">
        <f>T126/T133</f>
        <v>0.82681592187686259</v>
      </c>
    </row>
    <row r="131" spans="2:25" x14ac:dyDescent="0.25">
      <c r="B131" s="143"/>
      <c r="C131" t="s">
        <v>379</v>
      </c>
      <c r="D131" t="s">
        <v>566</v>
      </c>
      <c r="E131" t="s">
        <v>177</v>
      </c>
      <c r="F131" s="29">
        <f>33.7/1000</f>
        <v>3.3700000000000001E-2</v>
      </c>
      <c r="G131" t="s">
        <v>614</v>
      </c>
      <c r="P131" s="150"/>
      <c r="Q131" t="s">
        <v>379</v>
      </c>
      <c r="R131" t="s">
        <v>566</v>
      </c>
      <c r="S131" t="s">
        <v>177</v>
      </c>
      <c r="T131" s="29">
        <f>Tabelle5[[#This Row],[Wert]]</f>
        <v>3.3700000000000001E-2</v>
      </c>
      <c r="U131" t="str">
        <f>Tabelle5[[#This Row],[Kommentar]]</f>
        <v>R! Rohr Kühlwasser aus 1"</v>
      </c>
    </row>
    <row r="132" spans="2:25" x14ac:dyDescent="0.25">
      <c r="B132" s="143"/>
      <c r="C132" t="s">
        <v>380</v>
      </c>
      <c r="D132" t="s">
        <v>567</v>
      </c>
      <c r="E132" t="s">
        <v>177</v>
      </c>
      <c r="F132" s="29">
        <f>27.2/1000</f>
        <v>2.7199999999999998E-2</v>
      </c>
      <c r="G132" t="str">
        <f>G131</f>
        <v>R! Rohr Kühlwasser aus 1"</v>
      </c>
      <c r="P132" s="150"/>
      <c r="Q132" t="s">
        <v>380</v>
      </c>
      <c r="R132" t="s">
        <v>567</v>
      </c>
      <c r="S132" t="s">
        <v>177</v>
      </c>
      <c r="T132" s="29">
        <f>Tabelle5[[#This Row],[Wert]]</f>
        <v>2.7199999999999998E-2</v>
      </c>
      <c r="U132" t="str">
        <f>Tabelle5[[#This Row],[Kommentar]]</f>
        <v>R! Rohr Kühlwasser aus 1"</v>
      </c>
    </row>
    <row r="133" spans="2:25" ht="15.75" thickBot="1" x14ac:dyDescent="0.3">
      <c r="B133" s="144"/>
      <c r="C133" s="19" t="s">
        <v>381</v>
      </c>
      <c r="D133" s="19" t="s">
        <v>569</v>
      </c>
      <c r="E133" s="19" t="s">
        <v>176</v>
      </c>
      <c r="F133" s="56">
        <f>3.14*F132^2/4</f>
        <v>5.8077439999999997E-4</v>
      </c>
      <c r="G133" t="str">
        <f>G132</f>
        <v>R! Rohr Kühlwasser aus 1"</v>
      </c>
      <c r="P133" s="151"/>
      <c r="Q133" s="19" t="s">
        <v>381</v>
      </c>
      <c r="R133" s="19" t="s">
        <v>569</v>
      </c>
      <c r="S133" s="19" t="s">
        <v>176</v>
      </c>
      <c r="T133" s="56">
        <f>Tabelle5[[#This Row],[Wert]]</f>
        <v>5.8077439999999997E-4</v>
      </c>
      <c r="U133" s="19" t="str">
        <f>Tabelle5[[#This Row],[Kommentar]]</f>
        <v>R! Rohr Kühlwasser aus 1"</v>
      </c>
    </row>
    <row r="134" spans="2:25" x14ac:dyDescent="0.25">
      <c r="B134" s="142" t="s">
        <v>582</v>
      </c>
      <c r="C134" s="15" t="s">
        <v>147</v>
      </c>
      <c r="D134" s="15" t="s">
        <v>121</v>
      </c>
      <c r="E134" s="15" t="s">
        <v>45</v>
      </c>
      <c r="F134" s="57">
        <f>(-F40*F150)/((F149-F135)-F140*(F141-F149)-F153)</f>
        <v>0.45000588691916188</v>
      </c>
      <c r="G134" s="15" t="s">
        <v>39</v>
      </c>
      <c r="I134">
        <f>Tabelle5[[#This Row],[Wert]]*3600</f>
        <v>1620.0211929089828</v>
      </c>
      <c r="P134" s="149" t="s">
        <v>582</v>
      </c>
      <c r="Q134" s="15" t="s">
        <v>147</v>
      </c>
      <c r="R134" s="15" t="s">
        <v>121</v>
      </c>
      <c r="S134" s="15" t="s">
        <v>45</v>
      </c>
      <c r="T134" s="57">
        <f>(-T40*T150)/(T137*(T149-T135)-T140*(T141-T149)-T153)</f>
        <v>0.71280410004918349</v>
      </c>
      <c r="U134" s="15" t="s">
        <v>39</v>
      </c>
      <c r="W134">
        <f>Tabelle55[[#This Row],[Wert]]*3600</f>
        <v>2566.0947601770604</v>
      </c>
    </row>
    <row r="135" spans="2:25" x14ac:dyDescent="0.25">
      <c r="B135" s="143"/>
      <c r="C135" t="s">
        <v>156</v>
      </c>
      <c r="D135" t="s">
        <v>55</v>
      </c>
      <c r="E135" t="s">
        <v>49</v>
      </c>
      <c r="F135" s="68">
        <v>250</v>
      </c>
      <c r="G135" t="s">
        <v>40</v>
      </c>
      <c r="P135" s="150"/>
      <c r="Q135" t="s">
        <v>156</v>
      </c>
      <c r="R135" t="s">
        <v>55</v>
      </c>
      <c r="S135" t="s">
        <v>49</v>
      </c>
      <c r="T135" s="68">
        <v>250</v>
      </c>
      <c r="U135" t="s">
        <v>40</v>
      </c>
    </row>
    <row r="136" spans="2:25" x14ac:dyDescent="0.25">
      <c r="B136" s="143"/>
      <c r="C136" t="s">
        <v>363</v>
      </c>
      <c r="D136" t="s">
        <v>365</v>
      </c>
      <c r="E136" t="s">
        <v>48</v>
      </c>
      <c r="F136" s="68">
        <v>1</v>
      </c>
      <c r="G136" t="s">
        <v>367</v>
      </c>
      <c r="P136" s="150"/>
      <c r="Q136" t="s">
        <v>363</v>
      </c>
      <c r="R136" t="s">
        <v>365</v>
      </c>
      <c r="S136" t="s">
        <v>48</v>
      </c>
      <c r="T136" s="68">
        <v>1</v>
      </c>
      <c r="U136" t="s">
        <v>367</v>
      </c>
    </row>
    <row r="137" spans="2:25" ht="15.75" thickBot="1" x14ac:dyDescent="0.3">
      <c r="B137" s="144"/>
      <c r="C137" s="48" t="s">
        <v>149</v>
      </c>
      <c r="D137" s="48" t="s">
        <v>51</v>
      </c>
      <c r="E137" s="48" t="s">
        <v>46</v>
      </c>
      <c r="F137" s="69">
        <v>1.492</v>
      </c>
      <c r="G137" s="48" t="s">
        <v>185</v>
      </c>
      <c r="P137" s="151"/>
      <c r="Q137" s="48" t="s">
        <v>149</v>
      </c>
      <c r="R137" s="48" t="s">
        <v>51</v>
      </c>
      <c r="S137" s="48" t="s">
        <v>46</v>
      </c>
      <c r="T137" s="69">
        <v>1.492</v>
      </c>
      <c r="U137" s="48" t="s">
        <v>185</v>
      </c>
      <c r="Y137" s="10"/>
    </row>
    <row r="138" spans="2:25" x14ac:dyDescent="0.25">
      <c r="B138" s="142" t="s">
        <v>583</v>
      </c>
      <c r="C138" s="15" t="s">
        <v>148</v>
      </c>
      <c r="D138" s="15" t="s">
        <v>122</v>
      </c>
      <c r="E138" s="15" t="s">
        <v>45</v>
      </c>
      <c r="F138" s="57">
        <f>F134</f>
        <v>0.45000588691916188</v>
      </c>
      <c r="G138" s="15" t="s">
        <v>39</v>
      </c>
      <c r="P138" s="149" t="s">
        <v>583</v>
      </c>
      <c r="Q138" s="15" t="s">
        <v>148</v>
      </c>
      <c r="R138" s="15" t="s">
        <v>122</v>
      </c>
      <c r="S138" s="15" t="s">
        <v>45</v>
      </c>
      <c r="T138" s="57">
        <f>T134</f>
        <v>0.71280410004918349</v>
      </c>
      <c r="U138" s="15" t="s">
        <v>39</v>
      </c>
      <c r="Y138" s="10"/>
    </row>
    <row r="139" spans="2:25" x14ac:dyDescent="0.25">
      <c r="B139" s="143"/>
      <c r="C139" t="s">
        <v>364</v>
      </c>
      <c r="D139" t="s">
        <v>366</v>
      </c>
      <c r="E139" t="s">
        <v>48</v>
      </c>
      <c r="F139" s="68">
        <f>F136</f>
        <v>1</v>
      </c>
      <c r="G139" t="s">
        <v>367</v>
      </c>
      <c r="P139" s="150"/>
      <c r="Q139" t="s">
        <v>364</v>
      </c>
      <c r="R139" t="s">
        <v>366</v>
      </c>
      <c r="S139" t="s">
        <v>48</v>
      </c>
      <c r="T139" s="68">
        <f>T136</f>
        <v>1</v>
      </c>
      <c r="U139" t="s">
        <v>367</v>
      </c>
      <c r="Y139" s="10"/>
    </row>
    <row r="140" spans="2:25" x14ac:dyDescent="0.25">
      <c r="B140" s="143"/>
      <c r="C140" t="s">
        <v>150</v>
      </c>
      <c r="D140" t="s">
        <v>52</v>
      </c>
      <c r="E140" t="s">
        <v>46</v>
      </c>
      <c r="F140" s="68">
        <v>1.355</v>
      </c>
      <c r="G140" t="s">
        <v>185</v>
      </c>
      <c r="P140" s="150"/>
      <c r="Q140" t="s">
        <v>150</v>
      </c>
      <c r="R140" t="s">
        <v>52</v>
      </c>
      <c r="S140" t="s">
        <v>46</v>
      </c>
      <c r="T140" s="68">
        <v>1.355</v>
      </c>
      <c r="U140" t="s">
        <v>185</v>
      </c>
      <c r="Y140" s="10"/>
    </row>
    <row r="141" spans="2:25" ht="15.75" thickBot="1" x14ac:dyDescent="0.3">
      <c r="B141" s="144"/>
      <c r="C141" s="19" t="s">
        <v>157</v>
      </c>
      <c r="D141" s="19" t="s">
        <v>56</v>
      </c>
      <c r="E141" s="19" t="s">
        <v>49</v>
      </c>
      <c r="F141" s="70">
        <v>215</v>
      </c>
      <c r="G141" s="19" t="s">
        <v>41</v>
      </c>
      <c r="P141" s="151"/>
      <c r="Q141" s="19" t="s">
        <v>157</v>
      </c>
      <c r="R141" s="19" t="s">
        <v>56</v>
      </c>
      <c r="S141" s="19" t="s">
        <v>49</v>
      </c>
      <c r="T141" s="70">
        <v>215</v>
      </c>
      <c r="U141" s="19" t="s">
        <v>41</v>
      </c>
    </row>
    <row r="142" spans="2:25" ht="15.75" thickBot="1" x14ac:dyDescent="0.3">
      <c r="C142" s="5"/>
      <c r="D142" s="5"/>
      <c r="E142" s="5"/>
      <c r="F142" s="67"/>
      <c r="G142" s="5"/>
      <c r="Q142" s="5"/>
      <c r="R142" s="5"/>
      <c r="S142" s="5"/>
      <c r="T142" s="67"/>
      <c r="U142" s="5"/>
    </row>
    <row r="143" spans="2:25" x14ac:dyDescent="0.25">
      <c r="B143" s="142" t="s">
        <v>211</v>
      </c>
      <c r="C143" t="s">
        <v>197</v>
      </c>
      <c r="D143" t="s">
        <v>207</v>
      </c>
      <c r="E143" t="s">
        <v>210</v>
      </c>
      <c r="F143" s="29">
        <f>F135-F43</f>
        <v>80</v>
      </c>
      <c r="P143" s="149" t="s">
        <v>211</v>
      </c>
      <c r="Q143" t="s">
        <v>197</v>
      </c>
      <c r="R143" t="s">
        <v>207</v>
      </c>
      <c r="S143" t="s">
        <v>210</v>
      </c>
      <c r="T143" s="29">
        <f>T135-T43</f>
        <v>120</v>
      </c>
    </row>
    <row r="144" spans="2:25" x14ac:dyDescent="0.25">
      <c r="B144" s="143"/>
      <c r="C144" t="s">
        <v>201</v>
      </c>
      <c r="D144" t="s">
        <v>206</v>
      </c>
      <c r="E144" t="s">
        <v>208</v>
      </c>
      <c r="F144" s="29">
        <v>90</v>
      </c>
      <c r="G144" t="s">
        <v>199</v>
      </c>
      <c r="P144" s="150"/>
      <c r="Q144" t="s">
        <v>201</v>
      </c>
      <c r="R144" t="s">
        <v>206</v>
      </c>
      <c r="S144" t="s">
        <v>208</v>
      </c>
      <c r="T144" s="29">
        <v>90</v>
      </c>
      <c r="U144" t="s">
        <v>199</v>
      </c>
      <c r="Y144" s="115"/>
    </row>
    <row r="145" spans="2:25" x14ac:dyDescent="0.25">
      <c r="B145" s="143"/>
      <c r="C145" t="s">
        <v>204</v>
      </c>
      <c r="D145" t="s">
        <v>205</v>
      </c>
      <c r="E145" t="s">
        <v>208</v>
      </c>
      <c r="F145" s="29">
        <v>270</v>
      </c>
      <c r="P145" s="150"/>
      <c r="Q145" t="s">
        <v>204</v>
      </c>
      <c r="R145" t="s">
        <v>205</v>
      </c>
      <c r="S145" t="s">
        <v>208</v>
      </c>
      <c r="T145" s="29">
        <v>270</v>
      </c>
      <c r="Y145" s="115"/>
    </row>
    <row r="146" spans="2:25" x14ac:dyDescent="0.25">
      <c r="B146" s="143"/>
      <c r="C146" t="s">
        <v>198</v>
      </c>
      <c r="D146" t="s">
        <v>570</v>
      </c>
      <c r="E146" t="s">
        <v>208</v>
      </c>
      <c r="F146" s="29">
        <v>360</v>
      </c>
      <c r="G146" t="s">
        <v>200</v>
      </c>
      <c r="P146" s="150"/>
      <c r="Q146" t="s">
        <v>198</v>
      </c>
      <c r="R146" t="s">
        <v>570</v>
      </c>
      <c r="S146" t="s">
        <v>208</v>
      </c>
      <c r="T146" s="29">
        <v>360</v>
      </c>
      <c r="U146" t="s">
        <v>200</v>
      </c>
      <c r="Y146" s="115"/>
    </row>
    <row r="147" spans="2:25" ht="15.75" thickBot="1" x14ac:dyDescent="0.3">
      <c r="B147" s="144"/>
      <c r="C147" t="s">
        <v>202</v>
      </c>
      <c r="D147" t="s">
        <v>203</v>
      </c>
      <c r="E147" t="s">
        <v>209</v>
      </c>
      <c r="F147" s="58">
        <v>25</v>
      </c>
      <c r="G147" t="s">
        <v>370</v>
      </c>
      <c r="P147" s="151"/>
      <c r="Q147" t="s">
        <v>202</v>
      </c>
      <c r="R147" t="s">
        <v>203</v>
      </c>
      <c r="S147" t="s">
        <v>209</v>
      </c>
      <c r="T147" s="58">
        <v>50</v>
      </c>
      <c r="U147" t="s">
        <v>370</v>
      </c>
      <c r="Y147" s="115"/>
    </row>
    <row r="148" spans="2:25" ht="15.75" thickBot="1" x14ac:dyDescent="0.3">
      <c r="B148" s="28"/>
      <c r="C148" s="5"/>
      <c r="D148" s="5"/>
      <c r="E148" s="5"/>
      <c r="F148" s="67"/>
      <c r="G148" s="5"/>
      <c r="P148" s="28"/>
      <c r="Q148" s="5"/>
      <c r="R148" s="5"/>
      <c r="S148" s="5"/>
      <c r="T148" s="67"/>
      <c r="U148" s="5"/>
    </row>
    <row r="149" spans="2:25" x14ac:dyDescent="0.25">
      <c r="B149" s="142" t="s">
        <v>585</v>
      </c>
      <c r="C149" s="49" t="s">
        <v>158</v>
      </c>
      <c r="D149" s="49" t="s">
        <v>125</v>
      </c>
      <c r="E149" s="49" t="s">
        <v>49</v>
      </c>
      <c r="F149" s="55">
        <v>222</v>
      </c>
      <c r="G149" s="49" t="s">
        <v>126</v>
      </c>
      <c r="P149" s="149" t="s">
        <v>585</v>
      </c>
      <c r="Q149" s="49" t="s">
        <v>158</v>
      </c>
      <c r="R149" s="49" t="s">
        <v>125</v>
      </c>
      <c r="S149" s="49" t="s">
        <v>49</v>
      </c>
      <c r="T149" s="55">
        <v>222</v>
      </c>
      <c r="U149" s="49" t="s">
        <v>126</v>
      </c>
    </row>
    <row r="150" spans="2:25" x14ac:dyDescent="0.25">
      <c r="B150" s="143"/>
      <c r="C150" t="s">
        <v>141</v>
      </c>
      <c r="D150" t="s">
        <v>133</v>
      </c>
      <c r="E150" t="s">
        <v>47</v>
      </c>
      <c r="F150" s="55">
        <f>F55-F45</f>
        <v>2049.5698122087997</v>
      </c>
      <c r="G150" s="71" t="s">
        <v>128</v>
      </c>
      <c r="P150" s="150"/>
      <c r="Q150" t="s">
        <v>141</v>
      </c>
      <c r="R150" t="s">
        <v>133</v>
      </c>
      <c r="S150" t="s">
        <v>47</v>
      </c>
      <c r="T150" s="55">
        <f>T55-T45</f>
        <v>2173.6999889620001</v>
      </c>
      <c r="U150" s="71" t="s">
        <v>590</v>
      </c>
    </row>
    <row r="151" spans="2:25" x14ac:dyDescent="0.25">
      <c r="B151" s="143"/>
      <c r="C151" t="s">
        <v>571</v>
      </c>
      <c r="D151" t="s">
        <v>445</v>
      </c>
      <c r="E151" t="s">
        <v>47</v>
      </c>
      <c r="F151" s="55">
        <v>2674.9496408321002</v>
      </c>
      <c r="G151" t="s">
        <v>127</v>
      </c>
      <c r="P151" s="150"/>
      <c r="Q151" t="s">
        <v>571</v>
      </c>
      <c r="R151" t="s">
        <v>445</v>
      </c>
      <c r="S151" t="s">
        <v>47</v>
      </c>
      <c r="T151" s="55">
        <v>2674.9496408321002</v>
      </c>
      <c r="U151" t="s">
        <v>127</v>
      </c>
    </row>
    <row r="152" spans="2:25" x14ac:dyDescent="0.25">
      <c r="B152" s="143"/>
      <c r="C152" t="s">
        <v>572</v>
      </c>
      <c r="D152" t="s">
        <v>444</v>
      </c>
      <c r="E152" t="s">
        <v>47</v>
      </c>
      <c r="F152" s="55">
        <v>417.43648581623</v>
      </c>
      <c r="G152" t="s">
        <v>127</v>
      </c>
      <c r="P152" s="150"/>
      <c r="Q152" t="s">
        <v>572</v>
      </c>
      <c r="R152" t="s">
        <v>444</v>
      </c>
      <c r="S152" t="s">
        <v>47</v>
      </c>
      <c r="T152" s="55">
        <v>417.43648581623</v>
      </c>
      <c r="U152" t="s">
        <v>127</v>
      </c>
    </row>
    <row r="153" spans="2:25" x14ac:dyDescent="0.25">
      <c r="B153" s="143"/>
      <c r="C153" t="s">
        <v>152</v>
      </c>
      <c r="D153" t="s">
        <v>134</v>
      </c>
      <c r="E153" t="s">
        <v>47</v>
      </c>
      <c r="F153" s="29">
        <v>108</v>
      </c>
      <c r="G153" t="s">
        <v>127</v>
      </c>
      <c r="P153" s="150"/>
      <c r="Q153" t="s">
        <v>152</v>
      </c>
      <c r="R153" t="s">
        <v>134</v>
      </c>
      <c r="S153" t="s">
        <v>47</v>
      </c>
      <c r="T153" s="29">
        <v>108</v>
      </c>
      <c r="U153" t="s">
        <v>127</v>
      </c>
    </row>
    <row r="154" spans="2:25" x14ac:dyDescent="0.25">
      <c r="B154" s="143"/>
      <c r="C154" t="s">
        <v>154</v>
      </c>
      <c r="D154" t="s">
        <v>53</v>
      </c>
      <c r="E154" t="s">
        <v>48</v>
      </c>
      <c r="F154" s="29">
        <f>F44</f>
        <v>7.9205318368768998</v>
      </c>
      <c r="G154" s="50" t="s">
        <v>89</v>
      </c>
      <c r="P154" s="150"/>
      <c r="Q154" t="s">
        <v>154</v>
      </c>
      <c r="R154" t="s">
        <v>53</v>
      </c>
      <c r="S154" t="s">
        <v>48</v>
      </c>
      <c r="T154" s="29">
        <f>T44</f>
        <v>2.7025960655999999</v>
      </c>
      <c r="U154" s="50" t="s">
        <v>89</v>
      </c>
    </row>
    <row r="155" spans="2:25" x14ac:dyDescent="0.25">
      <c r="B155" s="143"/>
      <c r="C155" t="s">
        <v>186</v>
      </c>
      <c r="D155" t="s">
        <v>187</v>
      </c>
      <c r="E155" t="s">
        <v>48</v>
      </c>
      <c r="F155" s="29">
        <v>28</v>
      </c>
      <c r="G155" s="51" t="s">
        <v>212</v>
      </c>
      <c r="P155" s="150"/>
      <c r="Q155" t="s">
        <v>186</v>
      </c>
      <c r="R155" t="s">
        <v>187</v>
      </c>
      <c r="S155" t="s">
        <v>48</v>
      </c>
      <c r="T155" s="29">
        <v>28</v>
      </c>
      <c r="U155" s="51" t="s">
        <v>212</v>
      </c>
    </row>
    <row r="156" spans="2:25" x14ac:dyDescent="0.25">
      <c r="B156" s="143"/>
      <c r="C156" t="s">
        <v>159</v>
      </c>
      <c r="D156" t="s">
        <v>87</v>
      </c>
      <c r="E156" t="s">
        <v>49</v>
      </c>
      <c r="F156" s="29">
        <f>F135</f>
        <v>250</v>
      </c>
      <c r="G156" t="s">
        <v>160</v>
      </c>
      <c r="P156" s="150"/>
      <c r="Q156" t="s">
        <v>159</v>
      </c>
      <c r="R156" t="s">
        <v>87</v>
      </c>
      <c r="S156" t="s">
        <v>49</v>
      </c>
      <c r="T156" s="29">
        <f>T135</f>
        <v>250</v>
      </c>
      <c r="U156" t="s">
        <v>160</v>
      </c>
    </row>
    <row r="157" spans="2:25" ht="15.75" thickBot="1" x14ac:dyDescent="0.3">
      <c r="B157" s="144"/>
      <c r="C157" t="s">
        <v>159</v>
      </c>
      <c r="D157" t="s">
        <v>86</v>
      </c>
      <c r="E157" t="s">
        <v>49</v>
      </c>
      <c r="F157" s="29">
        <v>20</v>
      </c>
      <c r="G157" t="s">
        <v>88</v>
      </c>
      <c r="P157" s="151"/>
      <c r="Q157" t="s">
        <v>159</v>
      </c>
      <c r="R157" t="s">
        <v>86</v>
      </c>
      <c r="S157" t="s">
        <v>49</v>
      </c>
      <c r="T157" s="29">
        <v>20</v>
      </c>
      <c r="U157" t="s">
        <v>88</v>
      </c>
    </row>
    <row r="158" spans="2:25" ht="15.75" thickBot="1" x14ac:dyDescent="0.3">
      <c r="B158" s="28"/>
      <c r="C158" s="5"/>
      <c r="D158" s="5"/>
      <c r="E158" s="5"/>
      <c r="F158" s="67"/>
      <c r="G158" s="5"/>
      <c r="P158" s="28"/>
      <c r="Q158" s="5"/>
      <c r="R158" s="5"/>
      <c r="S158" s="5"/>
      <c r="T158" s="67"/>
      <c r="U158" s="5"/>
    </row>
    <row r="159" spans="2:25" ht="15" customHeight="1" x14ac:dyDescent="0.25">
      <c r="B159" s="142" t="s">
        <v>391</v>
      </c>
      <c r="C159" t="s">
        <v>432</v>
      </c>
      <c r="D159" t="s">
        <v>251</v>
      </c>
      <c r="E159" t="s">
        <v>182</v>
      </c>
      <c r="F159" s="29">
        <f>F71*(F87-F76)</f>
        <v>65.256073583921392</v>
      </c>
      <c r="G159" t="s">
        <v>431</v>
      </c>
      <c r="P159" s="149" t="s">
        <v>391</v>
      </c>
      <c r="Q159" t="s">
        <v>432</v>
      </c>
      <c r="R159" t="s">
        <v>251</v>
      </c>
      <c r="S159" t="s">
        <v>182</v>
      </c>
      <c r="T159" s="29">
        <f>T71*(T87-T76)</f>
        <v>105.95781795567437</v>
      </c>
      <c r="U159" t="s">
        <v>431</v>
      </c>
    </row>
    <row r="160" spans="2:25" x14ac:dyDescent="0.25">
      <c r="B160" s="143"/>
      <c r="C160" t="s">
        <v>434</v>
      </c>
      <c r="D160" t="s">
        <v>435</v>
      </c>
      <c r="E160" t="s">
        <v>182</v>
      </c>
      <c r="F160" s="29">
        <f>F15*F67*(F63-F18)</f>
        <v>2.48639851822875</v>
      </c>
      <c r="P160" s="150"/>
      <c r="Q160" t="s">
        <v>434</v>
      </c>
      <c r="R160" t="s">
        <v>435</v>
      </c>
      <c r="S160" t="s">
        <v>182</v>
      </c>
      <c r="T160" s="29">
        <f>T15*T67*(T63-T18)</f>
        <v>2.0397299028854206</v>
      </c>
    </row>
    <row r="161" spans="2:21" x14ac:dyDescent="0.25">
      <c r="B161" s="143"/>
      <c r="C161" t="s">
        <v>433</v>
      </c>
      <c r="D161" t="s">
        <v>436</v>
      </c>
      <c r="E161" t="s">
        <v>182</v>
      </c>
      <c r="F161" s="29">
        <f>F40*(F151-F152)</f>
        <v>62.708698750440838</v>
      </c>
      <c r="P161" s="150"/>
      <c r="Q161" t="s">
        <v>433</v>
      </c>
      <c r="R161" t="s">
        <v>436</v>
      </c>
      <c r="S161" t="s">
        <v>182</v>
      </c>
      <c r="T161" s="29">
        <f>T40*(T151-T152)</f>
        <v>103.85578352484113</v>
      </c>
    </row>
    <row r="162" spans="2:21" x14ac:dyDescent="0.25">
      <c r="B162" s="143"/>
      <c r="C162" s="49" t="s">
        <v>447</v>
      </c>
      <c r="D162" s="49" t="s">
        <v>448</v>
      </c>
      <c r="E162" t="s">
        <v>49</v>
      </c>
      <c r="F162" s="29">
        <f>(-F160/(F71*F77)+(273.15+F85))-273.15</f>
        <v>91.542166565474758</v>
      </c>
      <c r="P162" s="150"/>
      <c r="Q162" s="49" t="s">
        <v>447</v>
      </c>
      <c r="R162" s="49" t="s">
        <v>448</v>
      </c>
      <c r="S162" t="s">
        <v>49</v>
      </c>
      <c r="T162" s="29">
        <f>(-T160/(T71*T77)+(273.15+T85))-273.15</f>
        <v>91.768688426736048</v>
      </c>
    </row>
    <row r="163" spans="2:21" x14ac:dyDescent="0.25">
      <c r="B163" s="143"/>
      <c r="C163" s="49" t="s">
        <v>447</v>
      </c>
      <c r="D163" s="49" t="s">
        <v>448</v>
      </c>
      <c r="E163" t="s">
        <v>49</v>
      </c>
      <c r="F163" s="29">
        <f>(F161/(F71*F77)+(273.15+F74))-273.15</f>
        <v>91.546877426541357</v>
      </c>
      <c r="G163" t="s">
        <v>431</v>
      </c>
      <c r="P163" s="150"/>
      <c r="Q163" s="49" t="s">
        <v>447</v>
      </c>
      <c r="R163" s="49" t="s">
        <v>448</v>
      </c>
      <c r="S163" t="s">
        <v>49</v>
      </c>
      <c r="T163" s="29">
        <f>(T161/(T71*T77)+(273.15+T74))-273.15</f>
        <v>91.777561649563893</v>
      </c>
      <c r="U163" t="s">
        <v>431</v>
      </c>
    </row>
    <row r="164" spans="2:21" x14ac:dyDescent="0.25">
      <c r="B164" s="143"/>
      <c r="C164" s="49" t="s">
        <v>449</v>
      </c>
      <c r="D164" s="49" t="s">
        <v>450</v>
      </c>
      <c r="E164" t="s">
        <v>210</v>
      </c>
      <c r="F164" s="29">
        <f>((F63-F85)-(F18-F162))/LN((F63-F85)/(F18-F162))</f>
        <v>24.271029883224916</v>
      </c>
      <c r="P164" s="150"/>
      <c r="Q164" s="49" t="s">
        <v>449</v>
      </c>
      <c r="R164" s="49" t="s">
        <v>450</v>
      </c>
      <c r="S164" t="s">
        <v>210</v>
      </c>
      <c r="T164" s="29">
        <f>((T63-T85)-(T18-T162))/LN((T63-T85)/(T18-T162))</f>
        <v>16.832518471568456</v>
      </c>
    </row>
    <row r="165" spans="2:21" x14ac:dyDescent="0.25">
      <c r="B165" s="143"/>
      <c r="C165" s="49" t="s">
        <v>451</v>
      </c>
      <c r="D165" s="49" t="s">
        <v>452</v>
      </c>
      <c r="E165" t="s">
        <v>210</v>
      </c>
      <c r="F165" s="29">
        <f>((F18-F162)-(F18-F74))/LN((F18-F162)/(F18-F74))</f>
        <v>13.411155558239193</v>
      </c>
      <c r="G165" t="s">
        <v>586</v>
      </c>
      <c r="P165" s="150"/>
      <c r="Q165" s="49" t="s">
        <v>451</v>
      </c>
      <c r="R165" s="49" t="s">
        <v>452</v>
      </c>
      <c r="S165" t="s">
        <v>210</v>
      </c>
      <c r="T165" s="29">
        <f>((T18-T162)-(T18-T74))/LN((T18-T162)/(T18-T74))</f>
        <v>13.256208599879587</v>
      </c>
      <c r="U165" t="s">
        <v>586</v>
      </c>
    </row>
    <row r="166" spans="2:21" ht="15.75" thickBot="1" x14ac:dyDescent="0.3">
      <c r="B166" s="144"/>
      <c r="C166" s="49" t="s">
        <v>453</v>
      </c>
      <c r="D166" s="49" t="s">
        <v>454</v>
      </c>
      <c r="E166" t="s">
        <v>455</v>
      </c>
      <c r="F166" s="29">
        <f>1401.9/1000</f>
        <v>1.4019000000000001</v>
      </c>
      <c r="G166" t="s">
        <v>456</v>
      </c>
      <c r="P166" s="151"/>
      <c r="Q166" s="49" t="s">
        <v>453</v>
      </c>
      <c r="R166" s="49" t="s">
        <v>454</v>
      </c>
      <c r="S166" t="s">
        <v>455</v>
      </c>
      <c r="T166" s="29">
        <f>1401.9/1000</f>
        <v>1.4019000000000001</v>
      </c>
      <c r="U166" t="s">
        <v>456</v>
      </c>
    </row>
    <row r="167" spans="2:21" ht="15.75" thickBot="1" x14ac:dyDescent="0.3">
      <c r="C167" s="5"/>
      <c r="D167" s="5"/>
      <c r="E167" s="5"/>
      <c r="F167" s="67"/>
      <c r="G167" s="5"/>
      <c r="Q167" s="5"/>
      <c r="R167" s="5"/>
      <c r="S167" s="5"/>
      <c r="T167" s="67"/>
      <c r="U167" s="5"/>
    </row>
    <row r="168" spans="2:21" x14ac:dyDescent="0.25">
      <c r="B168" s="142" t="s">
        <v>744</v>
      </c>
      <c r="C168" s="120" t="s">
        <v>252</v>
      </c>
      <c r="D168" s="120" t="s">
        <v>253</v>
      </c>
      <c r="E168" s="120" t="s">
        <v>254</v>
      </c>
      <c r="F168" s="121">
        <v>1000</v>
      </c>
      <c r="G168" s="120" t="s">
        <v>255</v>
      </c>
      <c r="P168" s="149" t="s">
        <v>745</v>
      </c>
      <c r="Q168" s="120" t="s">
        <v>252</v>
      </c>
      <c r="R168" s="120" t="s">
        <v>253</v>
      </c>
      <c r="S168" s="120" t="s">
        <v>254</v>
      </c>
      <c r="T168" s="121">
        <v>1000</v>
      </c>
      <c r="U168" s="120" t="s">
        <v>255</v>
      </c>
    </row>
    <row r="169" spans="2:21" x14ac:dyDescent="0.25">
      <c r="B169" s="143"/>
      <c r="C169" s="120" t="s">
        <v>256</v>
      </c>
      <c r="D169" s="120" t="s">
        <v>257</v>
      </c>
      <c r="E169" s="120" t="s">
        <v>48</v>
      </c>
      <c r="F169" s="121">
        <v>1</v>
      </c>
      <c r="G169" s="120" t="s">
        <v>258</v>
      </c>
      <c r="P169" s="150"/>
      <c r="Q169" s="120" t="s">
        <v>256</v>
      </c>
      <c r="R169" s="120" t="s">
        <v>257</v>
      </c>
      <c r="S169" s="120" t="s">
        <v>48</v>
      </c>
      <c r="T169" s="121">
        <v>1</v>
      </c>
      <c r="U169" s="120" t="s">
        <v>258</v>
      </c>
    </row>
    <row r="170" spans="2:21" x14ac:dyDescent="0.25">
      <c r="B170" s="143"/>
      <c r="C170" s="120" t="s">
        <v>259</v>
      </c>
      <c r="D170" s="120" t="s">
        <v>260</v>
      </c>
      <c r="E170" s="120" t="s">
        <v>49</v>
      </c>
      <c r="F170" s="121">
        <v>80</v>
      </c>
      <c r="G170" s="120"/>
      <c r="P170" s="150"/>
      <c r="Q170" s="120" t="s">
        <v>259</v>
      </c>
      <c r="R170" s="120" t="s">
        <v>260</v>
      </c>
      <c r="S170" s="120" t="s">
        <v>49</v>
      </c>
      <c r="T170" s="121">
        <v>80</v>
      </c>
      <c r="U170" s="120"/>
    </row>
    <row r="171" spans="2:21" x14ac:dyDescent="0.25">
      <c r="B171" s="143"/>
      <c r="C171" s="120" t="s">
        <v>271</v>
      </c>
      <c r="D171" s="120" t="s">
        <v>305</v>
      </c>
      <c r="E171" s="120" t="s">
        <v>58</v>
      </c>
      <c r="F171" s="121">
        <f>F23/F25</f>
        <v>1.7529720199492114</v>
      </c>
      <c r="G171" s="120" t="s">
        <v>276</v>
      </c>
      <c r="P171" s="150"/>
      <c r="Q171" s="120" t="s">
        <v>271</v>
      </c>
      <c r="R171" s="120" t="s">
        <v>305</v>
      </c>
      <c r="S171" s="120" t="s">
        <v>58</v>
      </c>
      <c r="T171" s="121">
        <f>T23/T25</f>
        <v>1.7529720199492114</v>
      </c>
      <c r="U171" s="120" t="s">
        <v>276</v>
      </c>
    </row>
    <row r="172" spans="2:21" x14ac:dyDescent="0.25">
      <c r="B172" s="143"/>
      <c r="C172" s="120" t="s">
        <v>274</v>
      </c>
      <c r="D172" s="120" t="s">
        <v>308</v>
      </c>
      <c r="E172" s="120" t="s">
        <v>177</v>
      </c>
      <c r="F172" s="121">
        <f>3.14*L59/1000</f>
        <v>0.10048</v>
      </c>
      <c r="G172" s="120" t="s">
        <v>276</v>
      </c>
      <c r="P172" s="150"/>
      <c r="Q172" s="120" t="s">
        <v>274</v>
      </c>
      <c r="R172" s="120" t="s">
        <v>308</v>
      </c>
      <c r="S172" s="120" t="s">
        <v>177</v>
      </c>
      <c r="T172" s="121">
        <f>3.14*Z58/1000</f>
        <v>0.18840000000000001</v>
      </c>
      <c r="U172" s="120" t="s">
        <v>276</v>
      </c>
    </row>
    <row r="173" spans="2:21" x14ac:dyDescent="0.25">
      <c r="B173" s="143"/>
      <c r="C173" s="120" t="s">
        <v>273</v>
      </c>
      <c r="D173" s="120" t="s">
        <v>309</v>
      </c>
      <c r="E173" s="120" t="s">
        <v>58</v>
      </c>
      <c r="F173" s="121">
        <f>800*F171^(-6/7)</f>
        <v>494.47006025918341</v>
      </c>
      <c r="G173" s="120"/>
      <c r="P173" s="150"/>
      <c r="Q173" s="120" t="s">
        <v>273</v>
      </c>
      <c r="R173" s="120" t="s">
        <v>309</v>
      </c>
      <c r="S173" s="120" t="s">
        <v>58</v>
      </c>
      <c r="T173" s="121">
        <f>800*T171^(-6/7)</f>
        <v>494.47006025918341</v>
      </c>
      <c r="U173" s="120"/>
    </row>
    <row r="174" spans="2:21" x14ac:dyDescent="0.25">
      <c r="B174" s="143"/>
      <c r="C174" s="120" t="s">
        <v>272</v>
      </c>
      <c r="D174" s="120" t="s">
        <v>306</v>
      </c>
      <c r="E174" s="120" t="s">
        <v>58</v>
      </c>
      <c r="F174" s="121">
        <f>(F15/F172)/F22</f>
        <v>981.71453789487214</v>
      </c>
      <c r="G174" s="120" t="s">
        <v>280</v>
      </c>
      <c r="P174" s="150"/>
      <c r="Q174" s="120" t="s">
        <v>272</v>
      </c>
      <c r="R174" s="120" t="s">
        <v>306</v>
      </c>
      <c r="S174" s="120" t="s">
        <v>58</v>
      </c>
      <c r="T174" s="121">
        <f>(T15/T172)/T22</f>
        <v>867.13526352743872</v>
      </c>
      <c r="U174" s="120" t="s">
        <v>280</v>
      </c>
    </row>
    <row r="175" spans="2:21" x14ac:dyDescent="0.25">
      <c r="B175" s="143"/>
      <c r="C175" s="120" t="s">
        <v>275</v>
      </c>
      <c r="D175" s="120" t="s">
        <v>307</v>
      </c>
      <c r="E175" s="120" t="s">
        <v>58</v>
      </c>
      <c r="F175" s="121">
        <f>F174*(SIN(90)^0.333)/(115.4*(((F174^0.667)/F171^0.5))-(4625/F171^1.071))</f>
        <v>0.15519644393709423</v>
      </c>
      <c r="G175" s="120"/>
      <c r="P175" s="150"/>
      <c r="Q175" s="120" t="s">
        <v>275</v>
      </c>
      <c r="R175" s="120" t="s">
        <v>307</v>
      </c>
      <c r="S175" s="120" t="s">
        <v>58</v>
      </c>
      <c r="T175" s="121">
        <f>T174*(SIN(90)^0.333)/(115.4*(((T174^0.667)/T171^0.5))-(4625/T171^1.071))</f>
        <v>0.15445908946653816</v>
      </c>
      <c r="U175" s="120"/>
    </row>
    <row r="176" spans="2:21" x14ac:dyDescent="0.25">
      <c r="B176" s="143"/>
      <c r="C176" s="120" t="s">
        <v>440</v>
      </c>
      <c r="D176" s="120" t="s">
        <v>441</v>
      </c>
      <c r="E176" s="120" t="s">
        <v>282</v>
      </c>
      <c r="F176" s="121">
        <f>(F175*F26*9.81^0.33333333)/(F23^0.66666667)</f>
        <v>5090.8137523415207</v>
      </c>
      <c r="G176" s="120" t="s">
        <v>281</v>
      </c>
      <c r="P176" s="150"/>
      <c r="Q176" s="120" t="s">
        <v>440</v>
      </c>
      <c r="R176" s="120" t="s">
        <v>441</v>
      </c>
      <c r="S176" s="120" t="s">
        <v>282</v>
      </c>
      <c r="T176" s="121">
        <f>(T175*T26*9.81^0.33333333)/(T23^0.66666667)</f>
        <v>5066.6267659400864</v>
      </c>
      <c r="U176" s="120" t="s">
        <v>281</v>
      </c>
    </row>
    <row r="177" spans="2:21" x14ac:dyDescent="0.25">
      <c r="B177" s="143"/>
      <c r="C177" s="120" t="s">
        <v>283</v>
      </c>
      <c r="D177" s="122" t="s">
        <v>298</v>
      </c>
      <c r="E177" s="120" t="s">
        <v>282</v>
      </c>
      <c r="F177" s="121">
        <v>15</v>
      </c>
      <c r="G177" s="123">
        <v>1.4403999999999999</v>
      </c>
      <c r="P177" s="150"/>
      <c r="Q177" s="120" t="s">
        <v>283</v>
      </c>
      <c r="R177" s="122" t="s">
        <v>298</v>
      </c>
      <c r="S177" s="120" t="s">
        <v>282</v>
      </c>
      <c r="T177" s="121">
        <v>15</v>
      </c>
      <c r="U177" s="123">
        <v>1.4403999999999999</v>
      </c>
    </row>
    <row r="178" spans="2:21" x14ac:dyDescent="0.25">
      <c r="B178" s="143"/>
      <c r="C178" s="120" t="s">
        <v>284</v>
      </c>
      <c r="D178" s="120" t="s">
        <v>287</v>
      </c>
      <c r="E178" s="120" t="s">
        <v>44</v>
      </c>
      <c r="F178" s="121">
        <v>3</v>
      </c>
      <c r="G178" s="120" t="s">
        <v>414</v>
      </c>
      <c r="P178" s="150"/>
      <c r="Q178" s="120" t="s">
        <v>284</v>
      </c>
      <c r="R178" s="120" t="s">
        <v>287</v>
      </c>
      <c r="S178" s="120" t="s">
        <v>44</v>
      </c>
      <c r="T178" s="121">
        <v>3</v>
      </c>
      <c r="U178" s="120" t="s">
        <v>414</v>
      </c>
    </row>
    <row r="179" spans="2:21" x14ac:dyDescent="0.25">
      <c r="B179" s="143"/>
      <c r="C179" s="120" t="s">
        <v>285</v>
      </c>
      <c r="D179" s="120" t="s">
        <v>288</v>
      </c>
      <c r="E179" s="120" t="s">
        <v>44</v>
      </c>
      <c r="F179" s="121">
        <v>2</v>
      </c>
      <c r="G179" s="120" t="s">
        <v>414</v>
      </c>
      <c r="P179" s="150"/>
      <c r="Q179" s="120" t="s">
        <v>285</v>
      </c>
      <c r="R179" s="120" t="s">
        <v>288</v>
      </c>
      <c r="S179" s="120" t="s">
        <v>44</v>
      </c>
      <c r="T179" s="121">
        <v>2</v>
      </c>
      <c r="U179" s="120" t="s">
        <v>414</v>
      </c>
    </row>
    <row r="180" spans="2:21" x14ac:dyDescent="0.25">
      <c r="B180" s="143"/>
      <c r="C180" s="120" t="s">
        <v>286</v>
      </c>
      <c r="D180" s="120" t="s">
        <v>289</v>
      </c>
      <c r="E180" s="120" t="s">
        <v>177</v>
      </c>
      <c r="F180" s="121">
        <f>(F178-F179)/(2*1000)</f>
        <v>5.0000000000000001E-4</v>
      </c>
      <c r="G180" s="120" t="s">
        <v>414</v>
      </c>
      <c r="P180" s="150"/>
      <c r="Q180" s="120" t="s">
        <v>286</v>
      </c>
      <c r="R180" s="120" t="s">
        <v>289</v>
      </c>
      <c r="S180" s="120" t="s">
        <v>177</v>
      </c>
      <c r="T180" s="121">
        <f>(T178-T179)/(2*1000)</f>
        <v>5.0000000000000001E-4</v>
      </c>
      <c r="U180" s="120" t="s">
        <v>414</v>
      </c>
    </row>
    <row r="181" spans="2:21" x14ac:dyDescent="0.25">
      <c r="B181" s="143"/>
      <c r="C181" s="120" t="s">
        <v>290</v>
      </c>
      <c r="D181" s="120" t="s">
        <v>297</v>
      </c>
      <c r="E181" s="120" t="s">
        <v>49</v>
      </c>
      <c r="F181" s="121">
        <v>89.5</v>
      </c>
      <c r="G181" s="120" t="s">
        <v>413</v>
      </c>
      <c r="P181" s="150"/>
      <c r="Q181" s="120" t="s">
        <v>290</v>
      </c>
      <c r="R181" s="120" t="s">
        <v>297</v>
      </c>
      <c r="S181" s="120" t="s">
        <v>49</v>
      </c>
      <c r="T181" s="121">
        <v>86</v>
      </c>
      <c r="U181" s="120" t="s">
        <v>413</v>
      </c>
    </row>
    <row r="182" spans="2:21" x14ac:dyDescent="0.25">
      <c r="B182" s="143"/>
      <c r="C182" s="120" t="s">
        <v>315</v>
      </c>
      <c r="D182" s="120" t="s">
        <v>313</v>
      </c>
      <c r="E182" s="120" t="s">
        <v>292</v>
      </c>
      <c r="F182" s="121">
        <f>((F177/F180)*(F181-F170))</f>
        <v>285000</v>
      </c>
      <c r="G182" s="120" t="s">
        <v>293</v>
      </c>
      <c r="P182" s="150"/>
      <c r="Q182" s="120" t="s">
        <v>315</v>
      </c>
      <c r="R182" s="120" t="s">
        <v>313</v>
      </c>
      <c r="S182" s="120" t="s">
        <v>292</v>
      </c>
      <c r="T182" s="121">
        <f>((T177/T180)*(T181-T170))</f>
        <v>180000</v>
      </c>
      <c r="U182" s="120" t="s">
        <v>293</v>
      </c>
    </row>
    <row r="183" spans="2:21" x14ac:dyDescent="0.25">
      <c r="B183" s="143"/>
      <c r="C183" s="120" t="s">
        <v>316</v>
      </c>
      <c r="D183" s="120" t="s">
        <v>314</v>
      </c>
      <c r="E183" s="120" t="s">
        <v>292</v>
      </c>
      <c r="F183" s="121">
        <f>F176*(F63-F181)</f>
        <v>282540.16325495439</v>
      </c>
      <c r="G183" s="120" t="s">
        <v>293</v>
      </c>
      <c r="P183" s="150"/>
      <c r="Q183" s="120" t="s">
        <v>316</v>
      </c>
      <c r="R183" s="120" t="s">
        <v>314</v>
      </c>
      <c r="S183" s="120" t="s">
        <v>292</v>
      </c>
      <c r="T183" s="121">
        <f>T176*(T63-T181)</f>
        <v>182398.5635738431</v>
      </c>
      <c r="U183" s="120" t="s">
        <v>293</v>
      </c>
    </row>
    <row r="184" spans="2:21" x14ac:dyDescent="0.25">
      <c r="B184" s="143"/>
      <c r="C184" s="120" t="s">
        <v>291</v>
      </c>
      <c r="D184" s="120" t="s">
        <v>296</v>
      </c>
      <c r="E184" s="120" t="s">
        <v>49</v>
      </c>
      <c r="F184" s="121">
        <v>100</v>
      </c>
      <c r="G184" s="120" t="s">
        <v>127</v>
      </c>
      <c r="P184" s="150"/>
      <c r="Q184" s="120" t="s">
        <v>291</v>
      </c>
      <c r="R184" s="120" t="s">
        <v>296</v>
      </c>
      <c r="S184" s="120" t="s">
        <v>49</v>
      </c>
      <c r="T184" s="121">
        <v>100</v>
      </c>
      <c r="U184" s="120" t="s">
        <v>127</v>
      </c>
    </row>
    <row r="185" spans="2:21" x14ac:dyDescent="0.25">
      <c r="B185" s="143"/>
      <c r="C185" s="120" t="s">
        <v>294</v>
      </c>
      <c r="D185" s="120" t="s">
        <v>295</v>
      </c>
      <c r="E185" s="120" t="s">
        <v>176</v>
      </c>
      <c r="F185" s="121">
        <f>(F60*(F65-F20)*1000)/((F176*(F184-F181)))</f>
        <v>1.2207997489578415</v>
      </c>
      <c r="G185" s="120"/>
      <c r="P185" s="150"/>
      <c r="Q185" s="120" t="s">
        <v>294</v>
      </c>
      <c r="R185" s="120" t="s">
        <v>295</v>
      </c>
      <c r="S185" s="120" t="s">
        <v>176</v>
      </c>
      <c r="T185" s="121">
        <f>(T60*(T65-T20)*1000)/((T176*(T184-T181)))</f>
        <v>1.4937779942940348</v>
      </c>
      <c r="U185" s="120"/>
    </row>
    <row r="186" spans="2:21" ht="15.75" thickBot="1" x14ac:dyDescent="0.3">
      <c r="B186" s="144"/>
      <c r="C186" s="120" t="s">
        <v>310</v>
      </c>
      <c r="D186" s="120" t="s">
        <v>311</v>
      </c>
      <c r="E186" s="120" t="s">
        <v>177</v>
      </c>
      <c r="F186" s="121">
        <f>F185/(3.141*F179/1000)</f>
        <v>194.33297500124823</v>
      </c>
      <c r="G186" s="120" t="s">
        <v>312</v>
      </c>
      <c r="P186" s="151"/>
      <c r="Q186" s="120" t="s">
        <v>310</v>
      </c>
      <c r="R186" s="120" t="s">
        <v>311</v>
      </c>
      <c r="S186" s="120" t="s">
        <v>177</v>
      </c>
      <c r="T186" s="121">
        <f>T185/(3.141*T179/1000)</f>
        <v>237.7870095979043</v>
      </c>
      <c r="U186" s="120" t="s">
        <v>312</v>
      </c>
    </row>
    <row r="187" spans="2:21" ht="15.75" thickBot="1" x14ac:dyDescent="0.3">
      <c r="C187" s="5"/>
      <c r="D187" s="5"/>
      <c r="E187" s="5"/>
      <c r="F187" s="67"/>
      <c r="G187" s="5"/>
      <c r="Q187" s="5"/>
      <c r="R187" s="5"/>
      <c r="S187" s="5"/>
      <c r="T187" s="67"/>
      <c r="U187" s="5"/>
    </row>
    <row r="188" spans="2:21" x14ac:dyDescent="0.25">
      <c r="B188" s="142"/>
      <c r="F188" s="29"/>
      <c r="P188" s="149"/>
      <c r="T188" s="29"/>
    </row>
    <row r="189" spans="2:21" x14ac:dyDescent="0.25">
      <c r="B189" s="143"/>
      <c r="F189" s="29"/>
      <c r="P189" s="150"/>
      <c r="T189" s="29"/>
    </row>
    <row r="190" spans="2:21" x14ac:dyDescent="0.25">
      <c r="B190" s="143"/>
      <c r="F190" s="29"/>
      <c r="P190" s="150"/>
      <c r="T190" s="29"/>
    </row>
    <row r="191" spans="2:21" x14ac:dyDescent="0.25">
      <c r="B191" s="143"/>
      <c r="F191" s="29"/>
      <c r="P191" s="150"/>
      <c r="T191" s="29"/>
    </row>
    <row r="192" spans="2:21" x14ac:dyDescent="0.25">
      <c r="B192" s="143"/>
      <c r="F192" s="29"/>
      <c r="P192" s="150"/>
      <c r="T192" s="29"/>
    </row>
    <row r="193" spans="2:21" ht="15.75" thickBot="1" x14ac:dyDescent="0.3">
      <c r="B193" s="144"/>
      <c r="F193" s="29"/>
      <c r="P193" s="151"/>
      <c r="T193" s="29"/>
    </row>
    <row r="194" spans="2:21" x14ac:dyDescent="0.25">
      <c r="C194" s="5"/>
      <c r="D194" s="5"/>
      <c r="E194" s="5"/>
      <c r="F194" s="67"/>
      <c r="G194" s="5"/>
      <c r="Q194" s="5"/>
      <c r="R194" s="5"/>
      <c r="S194" s="5"/>
      <c r="T194" s="67"/>
      <c r="U194" s="5"/>
    </row>
    <row r="195" spans="2:21" x14ac:dyDescent="0.25">
      <c r="F195" s="60"/>
    </row>
    <row r="196" spans="2:21" x14ac:dyDescent="0.25">
      <c r="F196" s="60"/>
    </row>
    <row r="197" spans="2:21" x14ac:dyDescent="0.25">
      <c r="F197" s="60"/>
    </row>
    <row r="198" spans="2:21" x14ac:dyDescent="0.25">
      <c r="F198" s="60"/>
    </row>
    <row r="199" spans="2:21" x14ac:dyDescent="0.25">
      <c r="F199" s="60"/>
    </row>
    <row r="200" spans="2:21" x14ac:dyDescent="0.25">
      <c r="F200" s="60"/>
    </row>
    <row r="201" spans="2:21" x14ac:dyDescent="0.25">
      <c r="F201" s="60"/>
    </row>
    <row r="202" spans="2:21" x14ac:dyDescent="0.25">
      <c r="F202" s="60"/>
    </row>
    <row r="203" spans="2:21" x14ac:dyDescent="0.25">
      <c r="F203" s="60"/>
    </row>
    <row r="204" spans="2:21" x14ac:dyDescent="0.25">
      <c r="F204" s="60"/>
    </row>
    <row r="205" spans="2:21" x14ac:dyDescent="0.25">
      <c r="F205" s="60"/>
    </row>
    <row r="206" spans="2:21" x14ac:dyDescent="0.25">
      <c r="F206" s="60"/>
    </row>
    <row r="207" spans="2:21" x14ac:dyDescent="0.25">
      <c r="F207" s="60"/>
    </row>
    <row r="208" spans="2:21" x14ac:dyDescent="0.25">
      <c r="F208" s="29"/>
    </row>
    <row r="209" spans="6:7" x14ac:dyDescent="0.25">
      <c r="F209" s="29"/>
    </row>
    <row r="210" spans="6:7" x14ac:dyDescent="0.25">
      <c r="F210" s="29"/>
    </row>
    <row r="211" spans="6:7" x14ac:dyDescent="0.25">
      <c r="F211" s="29"/>
    </row>
    <row r="212" spans="6:7" x14ac:dyDescent="0.25">
      <c r="F212" s="29"/>
    </row>
    <row r="213" spans="6:7" x14ac:dyDescent="0.25">
      <c r="F213" s="29"/>
    </row>
    <row r="214" spans="6:7" x14ac:dyDescent="0.25">
      <c r="F214" s="29"/>
    </row>
    <row r="215" spans="6:7" x14ac:dyDescent="0.25">
      <c r="F215" s="29"/>
    </row>
    <row r="216" spans="6:7" x14ac:dyDescent="0.25">
      <c r="F216" s="29"/>
    </row>
    <row r="217" spans="6:7" x14ac:dyDescent="0.25">
      <c r="F217" s="61"/>
    </row>
    <row r="218" spans="6:7" x14ac:dyDescent="0.25">
      <c r="F218" s="29"/>
      <c r="G218" s="50"/>
    </row>
    <row r="219" spans="6:7" x14ac:dyDescent="0.25">
      <c r="F219" s="29"/>
    </row>
    <row r="220" spans="6:7" x14ac:dyDescent="0.25">
      <c r="F220" s="29"/>
    </row>
    <row r="221" spans="6:7" x14ac:dyDescent="0.25">
      <c r="F221" s="29"/>
    </row>
    <row r="222" spans="6:7" x14ac:dyDescent="0.25">
      <c r="F222" s="60"/>
    </row>
  </sheetData>
  <mergeCells count="158">
    <mergeCell ref="P134:P137"/>
    <mergeCell ref="P138:P141"/>
    <mergeCell ref="P143:P147"/>
    <mergeCell ref="P149:P157"/>
    <mergeCell ref="P159:P166"/>
    <mergeCell ref="P103:P112"/>
    <mergeCell ref="BI26:BI27"/>
    <mergeCell ref="BB3:BB4"/>
    <mergeCell ref="BC3:BC4"/>
    <mergeCell ref="BF3:BF4"/>
    <mergeCell ref="BG3:BG4"/>
    <mergeCell ref="BH3:BH4"/>
    <mergeCell ref="BI3:BI4"/>
    <mergeCell ref="BD3:BD4"/>
    <mergeCell ref="BF26:BF27"/>
    <mergeCell ref="BG26:BG27"/>
    <mergeCell ref="BE3:BE4"/>
    <mergeCell ref="BD26:BD27"/>
    <mergeCell ref="BE26:BE27"/>
    <mergeCell ref="BH26:BH27"/>
    <mergeCell ref="BB26:BB27"/>
    <mergeCell ref="BC26:BC27"/>
    <mergeCell ref="AZ26:AZ27"/>
    <mergeCell ref="BA26:BA27"/>
    <mergeCell ref="P168:P186"/>
    <mergeCell ref="P188:P193"/>
    <mergeCell ref="W3:W20"/>
    <mergeCell ref="W22:W26"/>
    <mergeCell ref="W28:W44"/>
    <mergeCell ref="W46:W67"/>
    <mergeCell ref="P113:P123"/>
    <mergeCell ref="P124:P133"/>
    <mergeCell ref="BX30:BX31"/>
    <mergeCell ref="BS24:BS26"/>
    <mergeCell ref="BT24:BT26"/>
    <mergeCell ref="BW24:BW26"/>
    <mergeCell ref="BN24:BN26"/>
    <mergeCell ref="BO24:BO26"/>
    <mergeCell ref="BP24:BP26"/>
    <mergeCell ref="BQ24:BQ26"/>
    <mergeCell ref="BW30:BW31"/>
    <mergeCell ref="BR24:BR26"/>
    <mergeCell ref="BR30:BR31"/>
    <mergeCell ref="X89:X103"/>
    <mergeCell ref="AK43:AK64"/>
    <mergeCell ref="P71:P81"/>
    <mergeCell ref="P82:P91"/>
    <mergeCell ref="P92:P102"/>
    <mergeCell ref="BU35:BU36"/>
    <mergeCell ref="BV35:BV36"/>
    <mergeCell ref="BX35:BX36"/>
    <mergeCell ref="BY35:BY36"/>
    <mergeCell ref="BM30:BM31"/>
    <mergeCell ref="BN30:BN31"/>
    <mergeCell ref="BO30:BO31"/>
    <mergeCell ref="BP30:BP31"/>
    <mergeCell ref="BU30:BU31"/>
    <mergeCell ref="BV30:BV31"/>
    <mergeCell ref="BR32:BR33"/>
    <mergeCell ref="BR35:BR36"/>
    <mergeCell ref="BS30:BS31"/>
    <mergeCell ref="BT30:BT31"/>
    <mergeCell ref="BW35:BW36"/>
    <mergeCell ref="BK35:BK36"/>
    <mergeCell ref="BL35:BL36"/>
    <mergeCell ref="BM35:BM36"/>
    <mergeCell ref="BN35:BN36"/>
    <mergeCell ref="BO35:BO36"/>
    <mergeCell ref="BP35:BP36"/>
    <mergeCell ref="BQ35:BQ36"/>
    <mergeCell ref="BS35:BS36"/>
    <mergeCell ref="BT35:BT36"/>
    <mergeCell ref="BA3:BA4"/>
    <mergeCell ref="AT2:AT11"/>
    <mergeCell ref="AT25:AT34"/>
    <mergeCell ref="P50:P59"/>
    <mergeCell ref="I3:I20"/>
    <mergeCell ref="P9:P10"/>
    <mergeCell ref="P15:P29"/>
    <mergeCell ref="AD10:AD33"/>
    <mergeCell ref="B9:B10"/>
    <mergeCell ref="AK25:AK41"/>
    <mergeCell ref="AU5:AU6"/>
    <mergeCell ref="AU28:AU29"/>
    <mergeCell ref="AU26:AU27"/>
    <mergeCell ref="AD3:AD8"/>
    <mergeCell ref="AU3:AU4"/>
    <mergeCell ref="AD35:AD38"/>
    <mergeCell ref="AD40:AD44"/>
    <mergeCell ref="P30:P39"/>
    <mergeCell ref="P40:P49"/>
    <mergeCell ref="AV3:AV4"/>
    <mergeCell ref="AW3:AW4"/>
    <mergeCell ref="AX3:AX4"/>
    <mergeCell ref="AY3:AY4"/>
    <mergeCell ref="AZ3:AZ4"/>
    <mergeCell ref="C1:G1"/>
    <mergeCell ref="J1:M1"/>
    <mergeCell ref="B3:B8"/>
    <mergeCell ref="AV26:AV27"/>
    <mergeCell ref="AW26:AW27"/>
    <mergeCell ref="AX26:AX27"/>
    <mergeCell ref="AY26:AY27"/>
    <mergeCell ref="Q1:U1"/>
    <mergeCell ref="X1:AA1"/>
    <mergeCell ref="P3:P8"/>
    <mergeCell ref="AE1:AI1"/>
    <mergeCell ref="AL1:AN1"/>
    <mergeCell ref="AK3:AK18"/>
    <mergeCell ref="AK20:AK23"/>
    <mergeCell ref="BX24:BX26"/>
    <mergeCell ref="BM24:BM26"/>
    <mergeCell ref="BL24:BL26"/>
    <mergeCell ref="BL30:BL31"/>
    <mergeCell ref="BK32:BK33"/>
    <mergeCell ref="BQ30:BQ31"/>
    <mergeCell ref="BY24:BY26"/>
    <mergeCell ref="BY30:BY31"/>
    <mergeCell ref="BU24:BU26"/>
    <mergeCell ref="BV24:BV26"/>
    <mergeCell ref="BW32:BW33"/>
    <mergeCell ref="BX32:BX33"/>
    <mergeCell ref="BY32:BY33"/>
    <mergeCell ref="BQ32:BQ33"/>
    <mergeCell ref="BS32:BS33"/>
    <mergeCell ref="BT32:BT33"/>
    <mergeCell ref="BU32:BU33"/>
    <mergeCell ref="BV32:BV33"/>
    <mergeCell ref="BL32:BL33"/>
    <mergeCell ref="BM32:BM33"/>
    <mergeCell ref="BN32:BN33"/>
    <mergeCell ref="BO32:BO33"/>
    <mergeCell ref="BP32:BP33"/>
    <mergeCell ref="BK27:BK29"/>
    <mergeCell ref="BK30:BK31"/>
    <mergeCell ref="B159:B166"/>
    <mergeCell ref="B168:B186"/>
    <mergeCell ref="B188:B193"/>
    <mergeCell ref="B15:B29"/>
    <mergeCell ref="B30:B39"/>
    <mergeCell ref="B40:B49"/>
    <mergeCell ref="B50:B59"/>
    <mergeCell ref="B60:B70"/>
    <mergeCell ref="B71:B81"/>
    <mergeCell ref="B82:B91"/>
    <mergeCell ref="B92:B102"/>
    <mergeCell ref="B143:B147"/>
    <mergeCell ref="B149:B157"/>
    <mergeCell ref="B103:B112"/>
    <mergeCell ref="B113:B123"/>
    <mergeCell ref="B124:B133"/>
    <mergeCell ref="B134:B137"/>
    <mergeCell ref="B138:B141"/>
    <mergeCell ref="BK24:BK26"/>
    <mergeCell ref="I46:I67"/>
    <mergeCell ref="I28:I44"/>
    <mergeCell ref="I22:I26"/>
    <mergeCell ref="P60:P70"/>
  </mergeCells>
  <conditionalFormatting sqref="L10">
    <cfRule type="cellIs" dxfId="34" priority="63" operator="lessThan">
      <formula>$L$11</formula>
    </cfRule>
    <cfRule type="cellIs" dxfId="33" priority="64" operator="greaterThan">
      <formula>$L$11</formula>
    </cfRule>
  </conditionalFormatting>
  <conditionalFormatting sqref="L11">
    <cfRule type="cellIs" dxfId="32" priority="65" operator="lessThan">
      <formula>$L$10</formula>
    </cfRule>
    <cfRule type="cellIs" dxfId="31" priority="66" operator="greaterThan">
      <formula>$L$10</formula>
    </cfRule>
  </conditionalFormatting>
  <conditionalFormatting sqref="L15">
    <cfRule type="expression" dxfId="30" priority="67">
      <formula>$L$15&gt;1.2</formula>
    </cfRule>
    <cfRule type="expression" dxfId="29" priority="68">
      <formula>$L$15&lt;=1.2</formula>
    </cfRule>
  </conditionalFormatting>
  <conditionalFormatting sqref="L34">
    <cfRule type="expression" dxfId="28" priority="61">
      <formula>$L$18&gt;=25</formula>
    </cfRule>
    <cfRule type="expression" dxfId="27" priority="62">
      <formula>$L$18&lt;25</formula>
    </cfRule>
  </conditionalFormatting>
  <conditionalFormatting sqref="L43">
    <cfRule type="cellIs" dxfId="26" priority="59" operator="lessThan">
      <formula>$L$29</formula>
    </cfRule>
    <cfRule type="cellIs" dxfId="25" priority="60" operator="greaterThanOrEqual">
      <formula>$L$29</formula>
    </cfRule>
  </conditionalFormatting>
  <conditionalFormatting sqref="L44">
    <cfRule type="cellIs" dxfId="24" priority="57" operator="greaterThan">
      <formula>$L$42</formula>
    </cfRule>
    <cfRule type="cellIs" dxfId="23" priority="58" operator="lessThan">
      <formula>$L$42</formula>
    </cfRule>
  </conditionalFormatting>
  <conditionalFormatting sqref="L47">
    <cfRule type="expression" dxfId="22" priority="55">
      <formula>$L$47&lt;3.5*$L$13</formula>
    </cfRule>
    <cfRule type="expression" dxfId="21" priority="56">
      <formula>$L$47&gt;=3.5*$L$13</formula>
    </cfRule>
  </conditionalFormatting>
  <conditionalFormatting sqref="L54">
    <cfRule type="expression" dxfId="20" priority="54">
      <formula>$L$52&gt;=0.02</formula>
    </cfRule>
  </conditionalFormatting>
  <conditionalFormatting sqref="Z10">
    <cfRule type="cellIs" dxfId="19" priority="10" operator="lessThan">
      <formula>$L$11</formula>
    </cfRule>
    <cfRule type="cellIs" dxfId="18" priority="11" operator="greaterThan">
      <formula>$L$11</formula>
    </cfRule>
  </conditionalFormatting>
  <conditionalFormatting sqref="Z11">
    <cfRule type="cellIs" dxfId="17" priority="12" operator="lessThan">
      <formula>$L$10</formula>
    </cfRule>
    <cfRule type="cellIs" dxfId="16" priority="13" operator="greaterThan">
      <formula>$L$10</formula>
    </cfRule>
  </conditionalFormatting>
  <conditionalFormatting sqref="Z15">
    <cfRule type="expression" dxfId="15" priority="14">
      <formula>$L$15&gt;1.2</formula>
    </cfRule>
    <cfRule type="expression" dxfId="14" priority="15">
      <formula>$L$15&lt;=1.2</formula>
    </cfRule>
  </conditionalFormatting>
  <conditionalFormatting sqref="Z34">
    <cfRule type="expression" dxfId="13" priority="8">
      <formula>$L$18&gt;=25</formula>
    </cfRule>
    <cfRule type="expression" dxfId="12" priority="9">
      <formula>$L$18&lt;25</formula>
    </cfRule>
  </conditionalFormatting>
  <conditionalFormatting sqref="Z43">
    <cfRule type="cellIs" dxfId="11" priority="6" operator="lessThan">
      <formula>$L$29</formula>
    </cfRule>
    <cfRule type="cellIs" dxfId="10" priority="7" operator="greaterThanOrEqual">
      <formula>$L$29</formula>
    </cfRule>
  </conditionalFormatting>
  <conditionalFormatting sqref="Z44">
    <cfRule type="cellIs" dxfId="9" priority="4" operator="greaterThan">
      <formula>$L$42</formula>
    </cfRule>
    <cfRule type="cellIs" dxfId="8" priority="5" operator="lessThan">
      <formula>$L$42</formula>
    </cfRule>
  </conditionalFormatting>
  <conditionalFormatting sqref="Z47">
    <cfRule type="expression" dxfId="7" priority="2">
      <formula>$L$47&lt;3.5*$L$13</formula>
    </cfRule>
    <cfRule type="expression" dxfId="6" priority="3">
      <formula>$L$47&gt;=3.5*$L$13</formula>
    </cfRule>
  </conditionalFormatting>
  <conditionalFormatting sqref="Z54">
    <cfRule type="expression" dxfId="5" priority="1">
      <formula>$L$52&gt;=0.02</formula>
    </cfRule>
  </conditionalFormatting>
  <hyperlinks>
    <hyperlink ref="G154" r:id="rId1" display="https://www.internetchemie.info/chemie-lexikon/daten/w/wasser-dampfdruck.php" xr:uid="{3E606F6A-BAEA-4CC7-A212-B138BDFAC0DC}"/>
    <hyperlink ref="U154" r:id="rId2" display="https://www.internetchemie.info/chemie-lexikon/daten/w/wasser-dampfdruck.php" xr:uid="{D5ADFEC0-EAD9-4133-919A-BA1E92105D79}"/>
    <hyperlink ref="U44" r:id="rId3" display="https://www.internetchemie.info/chemie-lexikon/daten/w/wasser-dampfdruck.php" xr:uid="{68A55B94-F0C3-455F-94B3-E79B9B9DA2A0}"/>
    <hyperlink ref="G20" r:id="rId4" display="http://www.peacesoftware.de/einigewerte/wasser_dampf.html" xr:uid="{2D7CD494-2BB0-4B2F-BDCB-199942AD005A}"/>
    <hyperlink ref="G65" r:id="rId5" display="http://www.peacesoftware.de/einigewerte/wasser_dampf.html" xr:uid="{D9422C3B-CB5D-4B56-BD5A-9E29AD6F6055}"/>
    <hyperlink ref="G87" r:id="rId6" display="http://www.peacesoftware.de/einigewerte/wasser_dampf.html" xr:uid="{1611D195-DFEA-4758-A57F-822B122F5F6A}"/>
    <hyperlink ref="G97" r:id="rId7" display="http://www.peacesoftware.de/einigewerte/wasser_dampf.html" xr:uid="{A343E119-BC8D-468C-9EC0-B847D7952396}"/>
    <hyperlink ref="G108" r:id="rId8" display="http://www.peacesoftware.de/einigewerte/wasser_dampf.html" xr:uid="{D49365CE-2095-48F1-A8B7-ED0D76DE2776}"/>
    <hyperlink ref="G118" r:id="rId9" display="http://www.peacesoftware.de/einigewerte/wasser_dampf.html" xr:uid="{D0CFA407-1CB7-4BE7-B55D-2908DE3DD9D6}"/>
    <hyperlink ref="G129" r:id="rId10" display="http://www.peacesoftware.de/einigewerte/wasser_dampf.html" xr:uid="{230C68E1-35DD-47CA-9314-C68D002DA10D}"/>
    <hyperlink ref="G76" r:id="rId11" display="http://www.peacesoftware.de/einigewerte/wasser_dampf.html" xr:uid="{88ACC2E7-4882-4D71-8773-1E1F1E5530AF}"/>
    <hyperlink ref="G55" r:id="rId12" display="http://www.peacesoftware.de/einigewerte/wasser_dampf.html" xr:uid="{CCE77E58-47D6-4B9F-B96C-AFC24733BE5A}"/>
    <hyperlink ref="G45" r:id="rId13" display="http://www.peacesoftware.de/einigewerte/wasser_dampf.html" xr:uid="{4D3EA1C7-D7F5-4773-8313-1A9A439CCF84}"/>
    <hyperlink ref="G35" r:id="rId14" display="http://www.peacesoftware.de/einigewerte/wasser_dampf.html" xr:uid="{9A80DE32-897A-4C2D-9060-3CFFD05BE611}"/>
    <hyperlink ref="U20" r:id="rId15" display="http://www.peacesoftware.de/einigewerte/wasser_dampf.html" xr:uid="{1E52F911-084A-470A-845B-98C31BE82441}"/>
    <hyperlink ref="U35" r:id="rId16" display="http://www.peacesoftware.de/einigewerte/wasser_dampf.html" xr:uid="{E3D52EC1-C28D-4BF0-90EE-FE51E8643F99}"/>
    <hyperlink ref="U45" r:id="rId17" display="http://www.peacesoftware.de/einigewerte/wasser_dampf.html" xr:uid="{2B48864A-4445-4D45-A055-158D7CE6C7A2}"/>
    <hyperlink ref="U55" r:id="rId18" display="http://www.peacesoftware.de/einigewerte/wasser_dampf.html" xr:uid="{C50FC522-BB30-4FB3-BAD0-01456AB92782}"/>
    <hyperlink ref="U65" r:id="rId19" display="http://www.peacesoftware.de/einigewerte/wasser_dampf.html" xr:uid="{2C4B5EB0-EB77-4327-A625-2D932036CBB0}"/>
    <hyperlink ref="U76" r:id="rId20" display="http://www.peacesoftware.de/einigewerte/wasser_dampf.html" xr:uid="{621733DC-F9FE-487C-AD05-1835E3C02B1E}"/>
    <hyperlink ref="U87" r:id="rId21" display="http://www.peacesoftware.de/einigewerte/wasser_dampf.html" xr:uid="{A323A791-060E-4B89-A3E4-88E3C576005F}"/>
    <hyperlink ref="U97" r:id="rId22" display="http://www.peacesoftware.de/einigewerte/wasser_dampf.html" xr:uid="{12C73504-1A73-4DC5-92AD-96601FAFB403}"/>
    <hyperlink ref="U108" r:id="rId23" display="http://www.peacesoftware.de/einigewerte/wasser_dampf.html" xr:uid="{79E4D4C7-E1A8-4AB6-9C11-615125CFBF2A}"/>
    <hyperlink ref="U118" r:id="rId24" display="http://www.peacesoftware.de/einigewerte/wasser_dampf.html" xr:uid="{252D2D25-BB15-4557-A3ED-0777DE73718E}"/>
    <hyperlink ref="U129" r:id="rId25" display="http://www.peacesoftware.de/einigewerte/wasser_dampf.html" xr:uid="{1CD403A5-6371-45D9-911F-DABAA8380543}"/>
    <hyperlink ref="U34" r:id="rId26" display="https://www.internetchemie.info/chemie-lexikon/daten/w/wasser-dampfdruck.php" xr:uid="{ADE5448C-75AE-48F1-AA5B-23C5F2D6328A}"/>
    <hyperlink ref="U54" r:id="rId27" display="https://www.internetchemie.info/chemie-lexikon/daten/w/wasser-dampfdruck.php" xr:uid="{63F10661-9806-46FC-A6B4-D9784C3E74A2}"/>
    <hyperlink ref="G34" r:id="rId28" display="https://www.internetchemie.info/chemie-lexikon/daten/w/wasser-dampfdruck.php" xr:uid="{AE40B30A-D551-45BC-A2C5-AEBB63234ECD}"/>
    <hyperlink ref="G44" r:id="rId29" display="https://www.internetchemie.info/chemie-lexikon/daten/w/wasser-dampfdruck.php" xr:uid="{EF65844D-5D22-4CE9-84A0-AAA0C2A656AF}"/>
    <hyperlink ref="G54" r:id="rId30" display="https://www.internetchemie.info/chemie-lexikon/daten/w/wasser-dampfdruck.php" xr:uid="{47AF5BC1-C530-417A-A2B7-8E48E3357D0C}"/>
    <hyperlink ref="G77" r:id="rId31" display="http://www.peacesoftware.de/einigewerte/wasser_dampf.html" xr:uid="{FD71C8A7-F27C-4D16-8DC2-BCF5B7F3FADE}"/>
    <hyperlink ref="G31" r:id="rId32" display="http://www.peacesoftware.de/einigewerte/wasser_dampf.html" xr:uid="{2E65AE63-F220-49C5-8A30-C0D244D87047}"/>
    <hyperlink ref="G41" r:id="rId33" display="http://www.peacesoftware.de/einigewerte/wasser_dampf.html" xr:uid="{3CEEC3F7-B2A1-49B5-B5FB-F40EEF376489}"/>
    <hyperlink ref="G51" r:id="rId34" display="http://www.peacesoftware.de/einigewerte/wasser_dampf.html" xr:uid="{D46D762B-9F64-4DDD-8196-4D2584B33946}"/>
    <hyperlink ref="G61" r:id="rId35" display="http://www.peacesoftware.de/einigewerte/wasser_dampf.html" xr:uid="{33969AAB-3E3A-4981-BCB0-C4CC38DD55CD}"/>
    <hyperlink ref="G67" r:id="rId36" display="http://www.peacesoftware.de/einigewerte/wasser_dampf.html" xr:uid="{336ADA43-5C4A-42F3-A598-478D775085E2}"/>
    <hyperlink ref="G72" r:id="rId37" display="http://www.peacesoftware.de/einigewerte/wasser_dampf.html" xr:uid="{5E31F192-4702-4636-BF3A-0D1A9DA3559E}"/>
    <hyperlink ref="G83" r:id="rId38" display="http://www.peacesoftware.de/einigewerte/wasser_dampf.html" xr:uid="{E9A4AA1A-4C29-4537-AEC8-B03279184D7A}"/>
    <hyperlink ref="G93" r:id="rId39" display="http://www.peacesoftware.de/einigewerte/wasser_dampf.html" xr:uid="{73A26A94-F639-4B3C-996E-5B6C7A937C26}"/>
    <hyperlink ref="G98" r:id="rId40" display="http://www.peacesoftware.de/einigewerte/wasser_dampf.html" xr:uid="{2A2842B8-4BBA-4059-B780-C9952799CB52}"/>
    <hyperlink ref="G104" r:id="rId41" display="http://www.peacesoftware.de/einigewerte/wasser_dampf.html" xr:uid="{5FF625F3-122C-4D42-8A9C-F593EAEF2F2F}"/>
    <hyperlink ref="G114" r:id="rId42" display="http://www.peacesoftware.de/einigewerte/wasser_dampf.html" xr:uid="{41DDE2FB-76D1-437F-AFB9-EC0B5F848F71}"/>
    <hyperlink ref="G120" r:id="rId43" display="http://www.peacesoftware.de/einigewerte/wasser_dampf.html" xr:uid="{B2120AD8-2CE8-4DB9-A309-BB3269EC7A48}"/>
    <hyperlink ref="G125" r:id="rId44" display="http://www.peacesoftware.de/einigewerte/wasser_dampf.html" xr:uid="{8F5235FE-6427-4DE8-ABD3-0AA682377BC4}"/>
    <hyperlink ref="U16" r:id="rId45" display="http://www.peacesoftware.de/einigewerte/wasser_dampf.html" xr:uid="{5D49BAFD-1262-438D-A378-F53CE72C8C95}"/>
    <hyperlink ref="G16" r:id="rId46" display="http://www.peacesoftware.de/einigewerte/wasser_dampf.html" xr:uid="{C826E146-E9BD-4D45-9014-E22A54502FE8}"/>
    <hyperlink ref="U31" r:id="rId47" display="http://www.peacesoftware.de/einigewerte/wasser_dampf.html" xr:uid="{B3B76AAD-5399-4E11-AC1F-9D80665645EB}"/>
    <hyperlink ref="U41" r:id="rId48" display="http://www.peacesoftware.de/einigewerte/wasser_dampf.html" xr:uid="{0B7F6592-0F1E-4EE3-BFA8-538DE1CA959B}"/>
    <hyperlink ref="U51" r:id="rId49" display="http://www.peacesoftware.de/einigewerte/wasser_dampf.html" xr:uid="{767A0F98-2838-47F1-A6E3-6C36095DD45C}"/>
    <hyperlink ref="U61" r:id="rId50" display="http://www.peacesoftware.de/einigewerte/wasser_dampf.html" xr:uid="{FB3D9DF0-515B-47B4-9D44-C80BAF6B80F7}"/>
    <hyperlink ref="U67" r:id="rId51" display="http://www.peacesoftware.de/einigewerte/wasser_dampf.html" xr:uid="{83BDCF7D-7498-45F6-8997-62FD1BF5E6FB}"/>
    <hyperlink ref="U72" r:id="rId52" display="http://www.peacesoftware.de/einigewerte/wasser_dampf.html" xr:uid="{BA8560CA-AE97-4F77-BAE1-AB72A8190F57}"/>
    <hyperlink ref="U77" r:id="rId53" display="http://www.peacesoftware.de/einigewerte/wasser_dampf.html" xr:uid="{2939EEB7-AA9B-401E-B308-40A3BB5E27B7}"/>
    <hyperlink ref="U83" r:id="rId54" display="http://www.peacesoftware.de/einigewerte/wasser_dampf.html" xr:uid="{9D3F53DD-8C03-43E8-AE48-603045252719}"/>
    <hyperlink ref="U93" r:id="rId55" display="http://www.peacesoftware.de/einigewerte/wasser_dampf.html" xr:uid="{7B95CD94-C9F8-4520-AA5A-A519AE24CC39}"/>
    <hyperlink ref="U104" r:id="rId56" display="http://www.peacesoftware.de/einigewerte/wasser_dampf.html" xr:uid="{A4B99D8D-E4AD-48C6-8756-7B4DB4A4472B}"/>
    <hyperlink ref="U114" r:id="rId57" display="http://www.peacesoftware.de/einigewerte/wasser_dampf.html" xr:uid="{BFF0993C-DBF4-4502-AFC5-5183988852C9}"/>
    <hyperlink ref="U120" r:id="rId58" display="http://www.peacesoftware.de/einigewerte/wasser_dampf.html" xr:uid="{3271D5EF-275D-48E2-86E1-384CDE433802}"/>
    <hyperlink ref="U125" r:id="rId59" display="http://www.peacesoftware.de/einigewerte/wasser_dampf.html" xr:uid="{6436838F-EF71-4724-A9EB-E8A12506A45B}"/>
  </hyperlinks>
  <pageMargins left="0.7" right="0.7" top="0.78740157499999996" bottom="0.78740157499999996" header="0.3" footer="0.3"/>
  <pageSetup paperSize="9" orientation="portrait" r:id="rId60"/>
  <ignoredErrors>
    <ignoredError sqref="BD5:BI5" formula="1"/>
  </ignoredErrors>
  <drawing r:id="rId61"/>
  <tableParts count="4">
    <tablePart r:id="rId62"/>
    <tablePart r:id="rId63"/>
    <tablePart r:id="rId64"/>
    <tablePart r:id="rId6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12FF-F024-42AD-9413-F6AAD3725788}">
  <dimension ref="B2:F19"/>
  <sheetViews>
    <sheetView workbookViewId="0">
      <selection activeCell="C15" sqref="C15"/>
    </sheetView>
  </sheetViews>
  <sheetFormatPr baseColWidth="10" defaultRowHeight="15" x14ac:dyDescent="0.25"/>
  <cols>
    <col min="2" max="2" width="23.28515625" bestFit="1" customWidth="1"/>
    <col min="3" max="3" width="14.85546875" customWidth="1"/>
  </cols>
  <sheetData>
    <row r="2" spans="2:6" s="139" customFormat="1" x14ac:dyDescent="0.25">
      <c r="B2" s="139" t="s">
        <v>766</v>
      </c>
      <c r="C2" s="139" t="s">
        <v>764</v>
      </c>
      <c r="D2" s="139" t="s">
        <v>765</v>
      </c>
    </row>
    <row r="3" spans="2:6" x14ac:dyDescent="0.25">
      <c r="B3" t="s">
        <v>762</v>
      </c>
      <c r="C3">
        <f>(Walze!BH6/3600)/(PI()/4*(C15/1000)^2)</f>
        <v>4.6186787167021865</v>
      </c>
      <c r="D3">
        <f>(Walze!BH29/3600)/(PI()/4*(D15/1000)^2)</f>
        <v>2.9158538961277194</v>
      </c>
      <c r="E3" t="s">
        <v>175</v>
      </c>
    </row>
    <row r="4" spans="2:6" x14ac:dyDescent="0.25">
      <c r="B4" t="s">
        <v>350</v>
      </c>
      <c r="C4" s="1">
        <f>Walze!BH9</f>
        <v>1965</v>
      </c>
      <c r="D4" s="1">
        <f>Walze!BH9</f>
        <v>1965</v>
      </c>
      <c r="E4" t="s">
        <v>763</v>
      </c>
      <c r="F4">
        <f>SQRT(C4)</f>
        <v>44.328320518603</v>
      </c>
    </row>
    <row r="5" spans="2:6" x14ac:dyDescent="0.25">
      <c r="B5" t="s">
        <v>757</v>
      </c>
      <c r="C5" s="1">
        <f>Walze!BH5</f>
        <v>2566.0947601770604</v>
      </c>
      <c r="D5" s="1">
        <f>Walze!BH28</f>
        <v>1620.0211929089828</v>
      </c>
      <c r="E5" t="s">
        <v>346</v>
      </c>
      <c r="F5">
        <f>6/F4</f>
        <v>0.13535365043848246</v>
      </c>
    </row>
    <row r="6" spans="2:6" x14ac:dyDescent="0.25">
      <c r="B6" t="s">
        <v>773</v>
      </c>
      <c r="C6">
        <f>C5/C4</f>
        <v>1.3059006413114811</v>
      </c>
      <c r="D6">
        <f>D5/D4</f>
        <v>0.82443826611144166</v>
      </c>
      <c r="E6" t="s">
        <v>774</v>
      </c>
      <c r="F6">
        <f>300/F4</f>
        <v>6.7676825219241232</v>
      </c>
    </row>
    <row r="7" spans="2:6" x14ac:dyDescent="0.25">
      <c r="B7" t="s">
        <v>773</v>
      </c>
      <c r="C7">
        <f>C6*1000</f>
        <v>1305.9006413114812</v>
      </c>
      <c r="D7">
        <f>D6*1000</f>
        <v>824.43826611144164</v>
      </c>
      <c r="E7" t="s">
        <v>777</v>
      </c>
    </row>
    <row r="8" spans="2:6" x14ac:dyDescent="0.25">
      <c r="B8" t="s">
        <v>770</v>
      </c>
      <c r="C8">
        <v>0.7</v>
      </c>
      <c r="D8">
        <v>0.7</v>
      </c>
      <c r="E8" t="s">
        <v>177</v>
      </c>
    </row>
    <row r="9" spans="2:6" x14ac:dyDescent="0.25">
      <c r="B9" t="s">
        <v>771</v>
      </c>
      <c r="C9">
        <v>0.1</v>
      </c>
      <c r="D9">
        <v>0.1</v>
      </c>
      <c r="E9" t="s">
        <v>177</v>
      </c>
    </row>
    <row r="10" spans="2:6" x14ac:dyDescent="0.25">
      <c r="B10" t="s">
        <v>768</v>
      </c>
      <c r="C10">
        <f>(2*9.81*C8)^1/2</f>
        <v>6.867</v>
      </c>
      <c r="D10">
        <f>(2*9.81*D8)^1/2</f>
        <v>6.867</v>
      </c>
      <c r="E10" t="s">
        <v>175</v>
      </c>
    </row>
    <row r="11" spans="2:6" x14ac:dyDescent="0.25">
      <c r="B11" t="s">
        <v>769</v>
      </c>
      <c r="C11">
        <f>(2*9.81*C9)^1/2</f>
        <v>0.98100000000000009</v>
      </c>
      <c r="D11">
        <f>(2*9.81*D9)^1/2</f>
        <v>0.98100000000000009</v>
      </c>
      <c r="E11" t="s">
        <v>175</v>
      </c>
    </row>
    <row r="12" spans="2:6" x14ac:dyDescent="0.25">
      <c r="B12" t="s">
        <v>758</v>
      </c>
      <c r="C12">
        <f>C4*9.81*C8/100000+1</f>
        <v>1.1349365499999999</v>
      </c>
      <c r="D12">
        <f>D4*9.81*D8/100000+1</f>
        <v>1.1349365499999999</v>
      </c>
      <c r="E12" t="s">
        <v>48</v>
      </c>
    </row>
    <row r="13" spans="2:6" x14ac:dyDescent="0.25">
      <c r="B13" t="s">
        <v>767</v>
      </c>
      <c r="C13">
        <v>1</v>
      </c>
      <c r="D13">
        <v>1</v>
      </c>
      <c r="E13" t="s">
        <v>48</v>
      </c>
    </row>
    <row r="14" spans="2:6" x14ac:dyDescent="0.25">
      <c r="B14" t="s">
        <v>772</v>
      </c>
    </row>
    <row r="15" spans="2:6" x14ac:dyDescent="0.25">
      <c r="B15" t="s">
        <v>776</v>
      </c>
      <c r="C15">
        <v>10</v>
      </c>
      <c r="D15">
        <v>10</v>
      </c>
      <c r="E15" t="s">
        <v>44</v>
      </c>
    </row>
    <row r="16" spans="2:6" x14ac:dyDescent="0.25">
      <c r="B16" t="s">
        <v>759</v>
      </c>
      <c r="C16">
        <v>25</v>
      </c>
      <c r="D16">
        <v>25</v>
      </c>
      <c r="E16" t="s">
        <v>44</v>
      </c>
    </row>
    <row r="17" spans="2:5" x14ac:dyDescent="0.25">
      <c r="B17" t="s">
        <v>760</v>
      </c>
      <c r="C17">
        <v>10</v>
      </c>
      <c r="D17">
        <v>10</v>
      </c>
      <c r="E17" t="s">
        <v>44</v>
      </c>
    </row>
    <row r="18" spans="2:5" x14ac:dyDescent="0.25">
      <c r="B18" t="s">
        <v>761</v>
      </c>
      <c r="C18">
        <f>C4/2*((C16/C17)^4-1)*C3^2/100000</f>
        <v>7.9774735892669355</v>
      </c>
      <c r="D18">
        <f>D4/2*((D16/D17)^4-1)*D3^2/100000</f>
        <v>3.1795187269384151</v>
      </c>
      <c r="E18" t="s">
        <v>48</v>
      </c>
    </row>
    <row r="19" spans="2:5" x14ac:dyDescent="0.25">
      <c r="C19">
        <f>C18*1000</f>
        <v>7977.473589266936</v>
      </c>
      <c r="D19">
        <f>D18*1000</f>
        <v>3179.5187269384151</v>
      </c>
      <c r="E19" t="s">
        <v>775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474A4-2577-4475-8A8B-63ED8E9D30B9}">
  <dimension ref="A1:D8"/>
  <sheetViews>
    <sheetView workbookViewId="0">
      <selection activeCell="F9" sqref="F9"/>
    </sheetView>
  </sheetViews>
  <sheetFormatPr baseColWidth="10" defaultRowHeight="15" x14ac:dyDescent="0.25"/>
  <cols>
    <col min="1" max="1" width="29.140625" bestFit="1" customWidth="1"/>
  </cols>
  <sheetData>
    <row r="1" spans="1:4" x14ac:dyDescent="0.25">
      <c r="B1" t="s">
        <v>783</v>
      </c>
      <c r="C1" s="140" t="s">
        <v>782</v>
      </c>
      <c r="D1" t="s">
        <v>43</v>
      </c>
    </row>
    <row r="2" spans="1:4" x14ac:dyDescent="0.25">
      <c r="A2" t="s">
        <v>781</v>
      </c>
      <c r="B2">
        <v>17.7</v>
      </c>
      <c r="C2">
        <v>16</v>
      </c>
      <c r="D2" t="s">
        <v>778</v>
      </c>
    </row>
    <row r="3" spans="1:4" x14ac:dyDescent="0.25">
      <c r="A3" t="s">
        <v>138</v>
      </c>
      <c r="B3">
        <v>1000</v>
      </c>
      <c r="C3">
        <v>1000</v>
      </c>
      <c r="D3" t="s">
        <v>44</v>
      </c>
    </row>
    <row r="4" spans="1:4" x14ac:dyDescent="0.25">
      <c r="A4" t="s">
        <v>779</v>
      </c>
      <c r="B4">
        <v>20</v>
      </c>
      <c r="C4">
        <v>20</v>
      </c>
    </row>
    <row r="5" spans="1:4" x14ac:dyDescent="0.25">
      <c r="A5" t="s">
        <v>780</v>
      </c>
      <c r="B5">
        <v>250</v>
      </c>
      <c r="C5">
        <v>70</v>
      </c>
    </row>
    <row r="6" spans="1:4" x14ac:dyDescent="0.25">
      <c r="A6" t="s">
        <v>784</v>
      </c>
      <c r="B6">
        <f>B2*10^-6*B3*(B5-B4)</f>
        <v>4.0709999999999997</v>
      </c>
      <c r="C6">
        <f>C2*10^-6*C3*(C5-C4)</f>
        <v>0.8</v>
      </c>
      <c r="D6" t="s">
        <v>44</v>
      </c>
    </row>
    <row r="8" spans="1:4" x14ac:dyDescent="0.25">
      <c r="A8" t="s">
        <v>785</v>
      </c>
      <c r="B8">
        <f>B6-C6</f>
        <v>3.2709999999999999</v>
      </c>
      <c r="D8" t="s">
        <v>44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85611-800E-469A-BD42-1A1C744194EE}">
  <dimension ref="A2:K45"/>
  <sheetViews>
    <sheetView topLeftCell="G1" zoomScale="85" zoomScaleNormal="85" workbookViewId="0">
      <selection activeCell="K8" sqref="K8"/>
    </sheetView>
  </sheetViews>
  <sheetFormatPr baseColWidth="10" defaultRowHeight="15" x14ac:dyDescent="0.25"/>
  <cols>
    <col min="1" max="1" width="32.28515625" customWidth="1"/>
    <col min="4" max="4" width="17.7109375" customWidth="1"/>
    <col min="6" max="6" width="39.7109375" customWidth="1"/>
    <col min="9" max="9" width="16.140625" customWidth="1"/>
    <col min="11" max="11" width="12.28515625" customWidth="1"/>
  </cols>
  <sheetData>
    <row r="2" spans="1:11" x14ac:dyDescent="0.25">
      <c r="A2" s="21" t="s">
        <v>624</v>
      </c>
    </row>
    <row r="3" spans="1:11" x14ac:dyDescent="0.25">
      <c r="A3" t="s">
        <v>631</v>
      </c>
      <c r="B3" t="s">
        <v>1</v>
      </c>
      <c r="C3" t="s">
        <v>43</v>
      </c>
      <c r="D3" t="s">
        <v>634</v>
      </c>
    </row>
    <row r="4" spans="1:11" ht="15" customHeight="1" x14ac:dyDescent="0.25">
      <c r="A4" t="s">
        <v>626</v>
      </c>
      <c r="B4">
        <v>15</v>
      </c>
      <c r="C4" t="s">
        <v>627</v>
      </c>
      <c r="F4" s="85"/>
      <c r="G4" s="191" t="s">
        <v>43</v>
      </c>
      <c r="H4" s="191" t="s">
        <v>711</v>
      </c>
      <c r="I4" s="191" t="s">
        <v>712</v>
      </c>
      <c r="J4" s="191" t="s">
        <v>713</v>
      </c>
      <c r="K4" s="191" t="s">
        <v>719</v>
      </c>
    </row>
    <row r="5" spans="1:11" x14ac:dyDescent="0.25">
      <c r="A5" t="s">
        <v>625</v>
      </c>
      <c r="B5">
        <v>0.45739999999999997</v>
      </c>
      <c r="C5" t="s">
        <v>627</v>
      </c>
      <c r="F5" s="85"/>
      <c r="G5" s="191"/>
      <c r="H5" s="191"/>
      <c r="I5" s="191"/>
      <c r="J5" s="191"/>
      <c r="K5" s="191"/>
    </row>
    <row r="6" spans="1:11" x14ac:dyDescent="0.25">
      <c r="A6" t="s">
        <v>628</v>
      </c>
      <c r="B6">
        <v>0.04</v>
      </c>
      <c r="C6" t="s">
        <v>627</v>
      </c>
      <c r="F6" s="86" t="s">
        <v>387</v>
      </c>
      <c r="G6" s="86" t="s">
        <v>58</v>
      </c>
      <c r="H6" s="87" t="s">
        <v>650</v>
      </c>
      <c r="I6" s="87" t="s">
        <v>651</v>
      </c>
      <c r="J6" s="104">
        <v>1.4300999999999999</v>
      </c>
      <c r="K6" s="87" t="s">
        <v>650</v>
      </c>
    </row>
    <row r="7" spans="1:11" x14ac:dyDescent="0.25">
      <c r="A7" t="s">
        <v>629</v>
      </c>
      <c r="B7">
        <f>2.5/1000</f>
        <v>2.5000000000000001E-3</v>
      </c>
      <c r="C7" t="s">
        <v>177</v>
      </c>
      <c r="D7" t="s">
        <v>4</v>
      </c>
      <c r="F7" s="86" t="s">
        <v>707</v>
      </c>
      <c r="G7" s="86" t="s">
        <v>282</v>
      </c>
      <c r="H7" s="89">
        <f>B4</f>
        <v>15</v>
      </c>
      <c r="I7" s="89">
        <f>B19</f>
        <v>15</v>
      </c>
      <c r="J7" s="89">
        <f>B34</f>
        <v>15</v>
      </c>
      <c r="K7" s="89">
        <f>J7</f>
        <v>15</v>
      </c>
    </row>
    <row r="8" spans="1:11" x14ac:dyDescent="0.25">
      <c r="A8" t="s">
        <v>630</v>
      </c>
      <c r="B8">
        <f>100/1000</f>
        <v>0.1</v>
      </c>
      <c r="C8" t="s">
        <v>177</v>
      </c>
      <c r="F8" s="86" t="s">
        <v>717</v>
      </c>
      <c r="G8" s="86" t="s">
        <v>635</v>
      </c>
      <c r="H8" s="87">
        <f>B9</f>
        <v>5</v>
      </c>
      <c r="I8" s="87">
        <f>H8</f>
        <v>5</v>
      </c>
      <c r="J8" s="88">
        <f>I8</f>
        <v>5</v>
      </c>
      <c r="K8" s="88">
        <f>J8</f>
        <v>5</v>
      </c>
    </row>
    <row r="9" spans="1:11" x14ac:dyDescent="0.25">
      <c r="A9" t="s">
        <v>632</v>
      </c>
      <c r="B9">
        <v>5</v>
      </c>
      <c r="C9" t="s">
        <v>635</v>
      </c>
      <c r="D9" s="83" t="s">
        <v>636</v>
      </c>
      <c r="F9" s="86" t="s">
        <v>633</v>
      </c>
      <c r="G9" s="86" t="s">
        <v>635</v>
      </c>
      <c r="H9" s="89" t="s">
        <v>710</v>
      </c>
      <c r="I9" s="89" t="s">
        <v>710</v>
      </c>
      <c r="J9" s="88" t="str">
        <f>I9</f>
        <v>∞</v>
      </c>
      <c r="K9" s="97" t="str">
        <f>J9</f>
        <v>∞</v>
      </c>
    </row>
    <row r="10" spans="1:11" x14ac:dyDescent="0.25">
      <c r="A10" t="s">
        <v>633</v>
      </c>
      <c r="B10">
        <v>0</v>
      </c>
      <c r="C10" t="s">
        <v>635</v>
      </c>
      <c r="D10" t="s">
        <v>637</v>
      </c>
      <c r="F10" s="86" t="s">
        <v>714</v>
      </c>
      <c r="G10" s="86" t="s">
        <v>177</v>
      </c>
      <c r="H10" s="97">
        <f>B7</f>
        <v>2.5000000000000001E-3</v>
      </c>
      <c r="I10" s="97">
        <f>B22</f>
        <v>2.5000000000000001E-3</v>
      </c>
      <c r="J10" s="97">
        <f>B37</f>
        <v>2.5000000000000001E-3</v>
      </c>
      <c r="K10" s="97">
        <f>J10</f>
        <v>2.5000000000000001E-3</v>
      </c>
    </row>
    <row r="11" spans="1:11" x14ac:dyDescent="0.25">
      <c r="A11" t="s">
        <v>638</v>
      </c>
      <c r="B11">
        <f>1/(B7/B4+B8/B6+1/B9)</f>
        <v>0.37034750941299915</v>
      </c>
      <c r="C11" t="s">
        <v>635</v>
      </c>
      <c r="F11" s="86" t="s">
        <v>715</v>
      </c>
      <c r="G11" s="86" t="s">
        <v>177</v>
      </c>
      <c r="H11" s="89">
        <f>B8</f>
        <v>0.1</v>
      </c>
      <c r="I11" s="89">
        <f>B23</f>
        <v>0.1</v>
      </c>
      <c r="J11" s="89">
        <f>B38</f>
        <v>0.1</v>
      </c>
      <c r="K11" s="89">
        <f>J11</f>
        <v>0.1</v>
      </c>
    </row>
    <row r="12" spans="1:11" x14ac:dyDescent="0.25">
      <c r="A12" t="s">
        <v>640</v>
      </c>
      <c r="B12">
        <v>4.18</v>
      </c>
      <c r="C12" t="s">
        <v>176</v>
      </c>
      <c r="F12" s="86" t="s">
        <v>716</v>
      </c>
      <c r="G12" s="86" t="s">
        <v>176</v>
      </c>
      <c r="H12" s="89">
        <f>B12</f>
        <v>4.18</v>
      </c>
      <c r="I12" s="89">
        <f>B27</f>
        <v>4.1463000000000001</v>
      </c>
      <c r="J12" s="89">
        <f>B42</f>
        <v>2.9969999999999999</v>
      </c>
      <c r="K12" s="89">
        <f>(1.1*0.44*2)+(0.44*0.5*2)+(1.1*0.5*2)</f>
        <v>2.508</v>
      </c>
    </row>
    <row r="13" spans="1:11" x14ac:dyDescent="0.25">
      <c r="A13" t="s">
        <v>641</v>
      </c>
      <c r="B13">
        <v>20</v>
      </c>
      <c r="C13" t="s">
        <v>49</v>
      </c>
      <c r="F13" s="86" t="str">
        <f>A11</f>
        <v>Wärmedurchgangskoeffizent</v>
      </c>
      <c r="G13" s="86" t="s">
        <v>635</v>
      </c>
      <c r="H13" s="89">
        <f>B11</f>
        <v>0.37034750941299915</v>
      </c>
      <c r="I13" s="89">
        <f>B26</f>
        <v>0.37034750941299915</v>
      </c>
      <c r="J13" s="89">
        <f>B41</f>
        <v>0.37034750941299915</v>
      </c>
      <c r="K13" s="89">
        <f>J13</f>
        <v>0.37034750941299915</v>
      </c>
    </row>
    <row r="14" spans="1:11" x14ac:dyDescent="0.25">
      <c r="A14" t="s">
        <v>642</v>
      </c>
      <c r="B14">
        <v>250</v>
      </c>
      <c r="C14" t="s">
        <v>49</v>
      </c>
      <c r="F14" s="86" t="s">
        <v>718</v>
      </c>
      <c r="G14" s="86" t="s">
        <v>49</v>
      </c>
      <c r="H14" s="89">
        <v>250</v>
      </c>
      <c r="I14" s="89">
        <v>215</v>
      </c>
      <c r="J14" s="89">
        <v>60</v>
      </c>
      <c r="K14" s="89">
        <f>H14</f>
        <v>250</v>
      </c>
    </row>
    <row r="15" spans="1:11" x14ac:dyDescent="0.25">
      <c r="A15" t="s">
        <v>639</v>
      </c>
      <c r="B15">
        <f>B11*B12*(B14-B13)</f>
        <v>356.05209554965739</v>
      </c>
      <c r="C15" t="s">
        <v>643</v>
      </c>
      <c r="F15" s="86" t="str">
        <f>A15</f>
        <v>Verlustwärmestrom</v>
      </c>
      <c r="G15" s="86" t="s">
        <v>182</v>
      </c>
      <c r="H15" s="89">
        <f>B15</f>
        <v>356.05209554965739</v>
      </c>
      <c r="I15" s="89">
        <f>B30</f>
        <v>299.43651626442806</v>
      </c>
      <c r="J15" s="89">
        <f>B45</f>
        <v>44.397259428430338</v>
      </c>
      <c r="K15" s="89">
        <f>K13*K12*(K14-B13)</f>
        <v>213.63125732979444</v>
      </c>
    </row>
    <row r="17" spans="1:4" x14ac:dyDescent="0.25">
      <c r="A17" s="21" t="s">
        <v>644</v>
      </c>
    </row>
    <row r="18" spans="1:4" x14ac:dyDescent="0.25">
      <c r="A18" t="s">
        <v>631</v>
      </c>
      <c r="B18" t="s">
        <v>1</v>
      </c>
      <c r="C18" t="s">
        <v>43</v>
      </c>
      <c r="D18" t="s">
        <v>634</v>
      </c>
    </row>
    <row r="19" spans="1:4" x14ac:dyDescent="0.25">
      <c r="A19" t="s">
        <v>647</v>
      </c>
      <c r="B19">
        <v>15</v>
      </c>
      <c r="C19" t="s">
        <v>627</v>
      </c>
    </row>
    <row r="20" spans="1:4" x14ac:dyDescent="0.25">
      <c r="A20" t="s">
        <v>625</v>
      </c>
      <c r="B20">
        <v>0.45739999999999997</v>
      </c>
      <c r="C20" t="s">
        <v>627</v>
      </c>
    </row>
    <row r="21" spans="1:4" x14ac:dyDescent="0.25">
      <c r="A21" t="s">
        <v>628</v>
      </c>
      <c r="B21">
        <v>0.04</v>
      </c>
      <c r="C21" t="s">
        <v>627</v>
      </c>
    </row>
    <row r="22" spans="1:4" x14ac:dyDescent="0.25">
      <c r="A22" t="s">
        <v>629</v>
      </c>
      <c r="B22">
        <f>2.5/1000</f>
        <v>2.5000000000000001E-3</v>
      </c>
      <c r="C22" t="s">
        <v>177</v>
      </c>
      <c r="D22" t="s">
        <v>649</v>
      </c>
    </row>
    <row r="23" spans="1:4" x14ac:dyDescent="0.25">
      <c r="A23" t="s">
        <v>630</v>
      </c>
      <c r="B23">
        <f>100/1000</f>
        <v>0.1</v>
      </c>
      <c r="C23" t="s">
        <v>177</v>
      </c>
    </row>
    <row r="24" spans="1:4" x14ac:dyDescent="0.25">
      <c r="A24" t="s">
        <v>632</v>
      </c>
      <c r="B24">
        <v>5</v>
      </c>
      <c r="C24" t="s">
        <v>635</v>
      </c>
      <c r="D24" s="83" t="s">
        <v>636</v>
      </c>
    </row>
    <row r="25" spans="1:4" x14ac:dyDescent="0.25">
      <c r="A25" t="s">
        <v>633</v>
      </c>
      <c r="B25">
        <v>0</v>
      </c>
      <c r="C25" t="s">
        <v>635</v>
      </c>
      <c r="D25" t="s">
        <v>637</v>
      </c>
    </row>
    <row r="26" spans="1:4" x14ac:dyDescent="0.25">
      <c r="A26" t="s">
        <v>638</v>
      </c>
      <c r="B26">
        <f>1/(B22/B19+B23/B21+1/B24)</f>
        <v>0.37034750941299915</v>
      </c>
      <c r="C26" t="s">
        <v>635</v>
      </c>
    </row>
    <row r="27" spans="1:4" x14ac:dyDescent="0.25">
      <c r="A27" t="s">
        <v>640</v>
      </c>
      <c r="B27">
        <v>4.1463000000000001</v>
      </c>
      <c r="C27" t="s">
        <v>176</v>
      </c>
    </row>
    <row r="28" spans="1:4" x14ac:dyDescent="0.25">
      <c r="A28" t="s">
        <v>641</v>
      </c>
      <c r="B28">
        <v>20</v>
      </c>
      <c r="C28" t="s">
        <v>49</v>
      </c>
    </row>
    <row r="29" spans="1:4" x14ac:dyDescent="0.25">
      <c r="A29" t="s">
        <v>642</v>
      </c>
      <c r="B29">
        <v>215</v>
      </c>
      <c r="C29" t="s">
        <v>49</v>
      </c>
    </row>
    <row r="30" spans="1:4" x14ac:dyDescent="0.25">
      <c r="A30" t="s">
        <v>639</v>
      </c>
      <c r="B30">
        <f>B26*B27*(B29-B28)</f>
        <v>299.43651626442806</v>
      </c>
      <c r="C30" t="s">
        <v>643</v>
      </c>
    </row>
    <row r="32" spans="1:4" x14ac:dyDescent="0.25">
      <c r="A32" s="21" t="s">
        <v>645</v>
      </c>
    </row>
    <row r="33" spans="1:4" x14ac:dyDescent="0.25">
      <c r="A33" t="s">
        <v>631</v>
      </c>
      <c r="B33" t="s">
        <v>1</v>
      </c>
      <c r="C33" t="s">
        <v>43</v>
      </c>
      <c r="D33" t="s">
        <v>634</v>
      </c>
    </row>
    <row r="34" spans="1:4" x14ac:dyDescent="0.25">
      <c r="A34" t="s">
        <v>648</v>
      </c>
      <c r="B34" s="84">
        <v>15</v>
      </c>
      <c r="C34" t="s">
        <v>627</v>
      </c>
    </row>
    <row r="35" spans="1:4" x14ac:dyDescent="0.25">
      <c r="A35" t="s">
        <v>625</v>
      </c>
      <c r="B35">
        <v>0.45739999999999997</v>
      </c>
      <c r="C35" t="s">
        <v>627</v>
      </c>
    </row>
    <row r="36" spans="1:4" x14ac:dyDescent="0.25">
      <c r="A36" t="s">
        <v>628</v>
      </c>
      <c r="B36">
        <v>0.04</v>
      </c>
      <c r="C36" t="s">
        <v>627</v>
      </c>
    </row>
    <row r="37" spans="1:4" x14ac:dyDescent="0.25">
      <c r="A37" t="s">
        <v>629</v>
      </c>
      <c r="B37">
        <f>2.5/1000</f>
        <v>2.5000000000000001E-3</v>
      </c>
      <c r="C37" t="s">
        <v>177</v>
      </c>
      <c r="D37" t="s">
        <v>4</v>
      </c>
    </row>
    <row r="38" spans="1:4" x14ac:dyDescent="0.25">
      <c r="A38" t="s">
        <v>630</v>
      </c>
      <c r="B38">
        <f>100/1000</f>
        <v>0.1</v>
      </c>
      <c r="C38" t="s">
        <v>177</v>
      </c>
    </row>
    <row r="39" spans="1:4" x14ac:dyDescent="0.25">
      <c r="A39" t="s">
        <v>632</v>
      </c>
      <c r="B39">
        <v>5</v>
      </c>
      <c r="C39" t="s">
        <v>635</v>
      </c>
      <c r="D39" s="83" t="s">
        <v>636</v>
      </c>
    </row>
    <row r="40" spans="1:4" x14ac:dyDescent="0.25">
      <c r="A40" t="s">
        <v>633</v>
      </c>
      <c r="B40">
        <v>0</v>
      </c>
      <c r="C40" t="s">
        <v>635</v>
      </c>
      <c r="D40" t="s">
        <v>637</v>
      </c>
    </row>
    <row r="41" spans="1:4" x14ac:dyDescent="0.25">
      <c r="A41" t="s">
        <v>638</v>
      </c>
      <c r="B41">
        <f>1/(B37/B34+B38/B36+1/B39)</f>
        <v>0.37034750941299915</v>
      </c>
      <c r="C41" t="s">
        <v>635</v>
      </c>
    </row>
    <row r="42" spans="1:4" x14ac:dyDescent="0.25">
      <c r="A42" t="s">
        <v>640</v>
      </c>
      <c r="B42">
        <v>2.9969999999999999</v>
      </c>
      <c r="C42" t="s">
        <v>176</v>
      </c>
    </row>
    <row r="43" spans="1:4" x14ac:dyDescent="0.25">
      <c r="A43" t="s">
        <v>641</v>
      </c>
      <c r="B43">
        <v>20</v>
      </c>
      <c r="C43" t="s">
        <v>49</v>
      </c>
    </row>
    <row r="44" spans="1:4" x14ac:dyDescent="0.25">
      <c r="A44" t="s">
        <v>642</v>
      </c>
      <c r="B44">
        <v>60</v>
      </c>
      <c r="C44" t="s">
        <v>49</v>
      </c>
    </row>
    <row r="45" spans="1:4" x14ac:dyDescent="0.25">
      <c r="A45" t="s">
        <v>639</v>
      </c>
      <c r="B45">
        <f>B41*B42*(B44-B43)</f>
        <v>44.397259428430338</v>
      </c>
      <c r="C45" t="s">
        <v>643</v>
      </c>
    </row>
  </sheetData>
  <mergeCells count="5">
    <mergeCell ref="K4:K5"/>
    <mergeCell ref="H4:H5"/>
    <mergeCell ref="I4:I5"/>
    <mergeCell ref="J4:J5"/>
    <mergeCell ref="G4:G5"/>
  </mergeCells>
  <pageMargins left="0.7" right="0.7" top="0.78740157499999996" bottom="0.78740157499999996" header="0.3" footer="0.3"/>
  <pageSetup paperSize="9" orientation="portrait" verticalDpi="0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756C-C43E-4BB6-95FB-D8A9D040685B}">
  <dimension ref="B2:E23"/>
  <sheetViews>
    <sheetView zoomScale="70" zoomScaleNormal="70" workbookViewId="0">
      <selection activeCell="D26" sqref="D26"/>
    </sheetView>
  </sheetViews>
  <sheetFormatPr baseColWidth="10" defaultRowHeight="15" x14ac:dyDescent="0.25"/>
  <cols>
    <col min="1" max="1" width="35.85546875" customWidth="1"/>
    <col min="2" max="2" width="37.42578125" customWidth="1"/>
    <col min="3" max="3" width="15.42578125" customWidth="1"/>
    <col min="4" max="4" width="20.7109375" customWidth="1"/>
    <col min="5" max="5" width="22.7109375" customWidth="1"/>
  </cols>
  <sheetData>
    <row r="2" spans="2:5" x14ac:dyDescent="0.25">
      <c r="B2" s="98" t="s">
        <v>620</v>
      </c>
      <c r="C2" s="99" t="s">
        <v>623</v>
      </c>
      <c r="D2" s="99" t="s">
        <v>622</v>
      </c>
      <c r="E2" s="100" t="s">
        <v>646</v>
      </c>
    </row>
    <row r="3" spans="2:5" x14ac:dyDescent="0.25">
      <c r="B3" s="105">
        <v>2049.5698122087997</v>
      </c>
      <c r="C3" s="106">
        <v>5.0176999999999996</v>
      </c>
      <c r="D3" s="112">
        <f t="shared" ref="D3:D11" si="0">C3/$B$3</f>
        <v>2.4481722799149144E-3</v>
      </c>
      <c r="E3" s="101">
        <v>0.25</v>
      </c>
    </row>
    <row r="4" spans="2:5" x14ac:dyDescent="0.25">
      <c r="B4" s="105"/>
      <c r="C4" s="106">
        <v>6.7629000000000001</v>
      </c>
      <c r="D4" s="112">
        <f t="shared" si="0"/>
        <v>3.2996680375145136E-3</v>
      </c>
      <c r="E4" s="101">
        <v>0.5</v>
      </c>
    </row>
    <row r="5" spans="2:5" x14ac:dyDescent="0.25">
      <c r="B5" s="105"/>
      <c r="C5" s="106">
        <v>9.3143999999999991</v>
      </c>
      <c r="D5" s="112">
        <f t="shared" si="0"/>
        <v>4.5445634222929781E-3</v>
      </c>
      <c r="E5" s="101">
        <v>1</v>
      </c>
    </row>
    <row r="6" spans="2:5" x14ac:dyDescent="0.25">
      <c r="B6" s="105"/>
      <c r="C6" s="106">
        <v>14.396000000000001</v>
      </c>
      <c r="D6" s="112">
        <f t="shared" si="0"/>
        <v>7.0239129763945852E-3</v>
      </c>
      <c r="E6" s="101">
        <v>2.5</v>
      </c>
    </row>
    <row r="7" spans="2:5" x14ac:dyDescent="0.25">
      <c r="B7" s="105"/>
      <c r="C7" s="106">
        <v>20.165900000000001</v>
      </c>
      <c r="D7" s="112">
        <f t="shared" si="0"/>
        <v>9.8390891004914941E-3</v>
      </c>
      <c r="E7" s="101">
        <v>5</v>
      </c>
    </row>
    <row r="8" spans="2:5" x14ac:dyDescent="0.25">
      <c r="B8" s="105"/>
      <c r="C8" s="106">
        <v>27.836200000000002</v>
      </c>
      <c r="D8" s="112">
        <f t="shared" si="0"/>
        <v>1.3581484189602316E-2</v>
      </c>
      <c r="E8" s="101">
        <v>10</v>
      </c>
    </row>
    <row r="9" spans="2:5" x14ac:dyDescent="0.25">
      <c r="B9" s="105"/>
      <c r="C9" s="106">
        <v>46.0944</v>
      </c>
      <c r="D9" s="112">
        <f t="shared" si="0"/>
        <v>2.2489792602050748E-2</v>
      </c>
      <c r="E9" s="101">
        <v>25</v>
      </c>
    </row>
    <row r="10" spans="2:5" x14ac:dyDescent="0.25">
      <c r="B10" s="105"/>
      <c r="C10" s="106">
        <v>64.208100000000002</v>
      </c>
      <c r="D10" s="112">
        <f t="shared" si="0"/>
        <v>3.132759841481253E-2</v>
      </c>
      <c r="E10" s="101">
        <v>50</v>
      </c>
    </row>
    <row r="11" spans="2:5" x14ac:dyDescent="0.25">
      <c r="B11" s="107"/>
      <c r="C11" s="108">
        <v>77.590900000000005</v>
      </c>
      <c r="D11" s="113">
        <f t="shared" si="0"/>
        <v>3.7857163751051304E-2</v>
      </c>
      <c r="E11" s="102">
        <v>100</v>
      </c>
    </row>
    <row r="12" spans="2:5" x14ac:dyDescent="0.25">
      <c r="B12" s="1"/>
      <c r="C12" s="1"/>
      <c r="D12" s="6"/>
    </row>
    <row r="13" spans="2:5" x14ac:dyDescent="0.25">
      <c r="B13" s="1"/>
      <c r="C13" s="1"/>
      <c r="D13" s="6"/>
    </row>
    <row r="14" spans="2:5" x14ac:dyDescent="0.25">
      <c r="B14" s="109" t="s">
        <v>621</v>
      </c>
      <c r="C14" s="110" t="s">
        <v>623</v>
      </c>
      <c r="D14" s="114" t="s">
        <v>622</v>
      </c>
      <c r="E14" s="103" t="s">
        <v>646</v>
      </c>
    </row>
    <row r="15" spans="2:5" x14ac:dyDescent="0.25">
      <c r="B15" s="105">
        <v>2173.6999889620001</v>
      </c>
      <c r="C15" s="111">
        <v>8.2156000000000002</v>
      </c>
      <c r="D15" s="112">
        <f t="shared" ref="D15:D23" si="1">C15/$B$15</f>
        <v>3.7795464147392156E-3</v>
      </c>
      <c r="E15" s="101">
        <v>0.25</v>
      </c>
    </row>
    <row r="16" spans="2:5" x14ac:dyDescent="0.25">
      <c r="B16" s="105"/>
      <c r="C16" s="106">
        <v>11.093</v>
      </c>
      <c r="D16" s="112">
        <f t="shared" si="1"/>
        <v>5.1032801473662442E-3</v>
      </c>
      <c r="E16" s="101">
        <v>0.5</v>
      </c>
    </row>
    <row r="17" spans="2:5" x14ac:dyDescent="0.25">
      <c r="B17" s="105"/>
      <c r="C17" s="106">
        <v>15.3118</v>
      </c>
      <c r="D17" s="112">
        <f t="shared" si="1"/>
        <v>7.044118359365587E-3</v>
      </c>
      <c r="E17" s="101">
        <v>1</v>
      </c>
    </row>
    <row r="18" spans="2:5" x14ac:dyDescent="0.25">
      <c r="B18" s="105"/>
      <c r="C18" s="106">
        <v>23.610700000000001</v>
      </c>
      <c r="D18" s="112">
        <f t="shared" si="1"/>
        <v>1.0861986529831443E-2</v>
      </c>
      <c r="E18" s="101">
        <v>2.5</v>
      </c>
    </row>
    <row r="19" spans="2:5" x14ac:dyDescent="0.25">
      <c r="B19" s="105"/>
      <c r="C19" s="106">
        <v>32.744900000000001</v>
      </c>
      <c r="D19" s="112">
        <f t="shared" si="1"/>
        <v>1.5064130361263224E-2</v>
      </c>
      <c r="E19" s="101">
        <v>5</v>
      </c>
    </row>
    <row r="20" spans="2:5" x14ac:dyDescent="0.25">
      <c r="B20" s="105"/>
      <c r="C20" s="106">
        <v>45.509700000000002</v>
      </c>
      <c r="D20" s="112">
        <f t="shared" si="1"/>
        <v>2.0936513884665428E-2</v>
      </c>
      <c r="E20" s="101">
        <v>10</v>
      </c>
    </row>
    <row r="21" spans="2:5" x14ac:dyDescent="0.25">
      <c r="B21" s="105"/>
      <c r="C21" s="106">
        <v>73.071600000000004</v>
      </c>
      <c r="D21" s="112">
        <f t="shared" si="1"/>
        <v>3.3616230561280741E-2</v>
      </c>
      <c r="E21" s="101">
        <v>25</v>
      </c>
    </row>
    <row r="22" spans="2:5" x14ac:dyDescent="0.25">
      <c r="B22" s="105"/>
      <c r="C22" s="106">
        <v>104.63760000000001</v>
      </c>
      <c r="D22" s="112">
        <f t="shared" si="1"/>
        <v>4.8138013769769242E-2</v>
      </c>
      <c r="E22" s="101">
        <v>50</v>
      </c>
    </row>
    <row r="23" spans="2:5" x14ac:dyDescent="0.25">
      <c r="B23" s="107"/>
      <c r="C23" s="108">
        <v>130.12280000000001</v>
      </c>
      <c r="D23" s="113">
        <f t="shared" si="1"/>
        <v>5.9862354814721755E-2</v>
      </c>
      <c r="E23" s="102">
        <v>100</v>
      </c>
    </row>
  </sheetData>
  <pageMargins left="0.7" right="0.7" top="0.78740157499999996" bottom="0.78740157499999996" header="0.3" footer="0.3"/>
  <pageSetup paperSize="9" orientation="portrait" verticalDpi="0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0458-3FAD-45F5-93B7-EB7F41588F02}">
  <dimension ref="A1:Y29"/>
  <sheetViews>
    <sheetView zoomScale="85" zoomScaleNormal="85" workbookViewId="0">
      <selection activeCell="M78" sqref="M78"/>
    </sheetView>
  </sheetViews>
  <sheetFormatPr baseColWidth="10" defaultRowHeight="15" x14ac:dyDescent="0.25"/>
  <cols>
    <col min="20" max="20" width="3.5703125" customWidth="1"/>
    <col min="21" max="21" width="20.85546875" customWidth="1"/>
    <col min="22" max="22" width="3.5703125" customWidth="1"/>
    <col min="23" max="23" width="20.42578125" customWidth="1"/>
    <col min="24" max="24" width="2.85546875" customWidth="1"/>
  </cols>
  <sheetData>
    <row r="1" spans="1:25" x14ac:dyDescent="0.25">
      <c r="A1" s="2" t="s">
        <v>617</v>
      </c>
    </row>
    <row r="2" spans="1:25" x14ac:dyDescent="0.25">
      <c r="M2" s="170" t="s">
        <v>618</v>
      </c>
      <c r="N2" s="170"/>
      <c r="O2" s="170"/>
    </row>
    <row r="3" spans="1:25" x14ac:dyDescent="0.25">
      <c r="M3" s="170"/>
      <c r="N3" s="170"/>
      <c r="O3" s="170"/>
    </row>
    <row r="4" spans="1:25" x14ac:dyDescent="0.25">
      <c r="M4" s="170"/>
      <c r="N4" s="170"/>
      <c r="O4" s="170"/>
      <c r="T4" s="93" t="s">
        <v>666</v>
      </c>
      <c r="U4" s="30" t="s">
        <v>674</v>
      </c>
      <c r="V4" s="93" t="s">
        <v>130</v>
      </c>
      <c r="W4" s="30" t="s">
        <v>694</v>
      </c>
      <c r="X4" s="93" t="s">
        <v>699</v>
      </c>
      <c r="Y4" s="30" t="s">
        <v>678</v>
      </c>
    </row>
    <row r="5" spans="1:25" x14ac:dyDescent="0.25">
      <c r="M5" s="170"/>
      <c r="N5" s="170"/>
      <c r="O5" s="170"/>
      <c r="T5" s="93" t="s">
        <v>308</v>
      </c>
      <c r="U5" s="30" t="s">
        <v>675</v>
      </c>
      <c r="V5" s="93" t="s">
        <v>177</v>
      </c>
      <c r="W5" s="90" t="s">
        <v>702</v>
      </c>
      <c r="X5" s="92"/>
      <c r="Y5" s="30"/>
    </row>
    <row r="6" spans="1:25" x14ac:dyDescent="0.25">
      <c r="M6" s="170"/>
      <c r="N6" s="170"/>
      <c r="O6" s="170"/>
      <c r="T6" s="93" t="s">
        <v>667</v>
      </c>
      <c r="U6" s="30" t="s">
        <v>673</v>
      </c>
      <c r="V6" s="93" t="s">
        <v>685</v>
      </c>
      <c r="W6" s="30" t="s">
        <v>695</v>
      </c>
      <c r="X6" s="92"/>
      <c r="Y6" s="30"/>
    </row>
    <row r="7" spans="1:25" x14ac:dyDescent="0.25">
      <c r="M7" s="170"/>
      <c r="N7" s="170"/>
      <c r="O7" s="170"/>
      <c r="T7" s="93" t="s">
        <v>668</v>
      </c>
      <c r="U7" s="30" t="s">
        <v>676</v>
      </c>
      <c r="V7" s="93" t="s">
        <v>686</v>
      </c>
      <c r="W7" s="90" t="s">
        <v>703</v>
      </c>
      <c r="X7" s="92"/>
      <c r="Y7" s="30"/>
    </row>
    <row r="8" spans="1:25" x14ac:dyDescent="0.25">
      <c r="M8" s="170"/>
      <c r="N8" s="170"/>
      <c r="O8" s="170"/>
      <c r="T8" s="93" t="s">
        <v>670</v>
      </c>
      <c r="U8" s="30" t="s">
        <v>677</v>
      </c>
      <c r="V8" s="93" t="s">
        <v>687</v>
      </c>
      <c r="W8" s="30" t="s">
        <v>697</v>
      </c>
      <c r="X8" s="92"/>
      <c r="Y8" s="30"/>
    </row>
    <row r="9" spans="1:25" x14ac:dyDescent="0.25">
      <c r="M9" s="170"/>
      <c r="N9" s="170"/>
      <c r="O9" s="170"/>
      <c r="T9" s="93" t="s">
        <v>671</v>
      </c>
      <c r="U9" s="30" t="s">
        <v>680</v>
      </c>
      <c r="V9" s="93" t="s">
        <v>688</v>
      </c>
      <c r="W9" s="90" t="s">
        <v>704</v>
      </c>
      <c r="X9" s="92"/>
      <c r="Y9" s="30"/>
    </row>
    <row r="10" spans="1:25" x14ac:dyDescent="0.25">
      <c r="M10" s="170"/>
      <c r="N10" s="170"/>
      <c r="O10" s="170"/>
      <c r="T10" s="93" t="s">
        <v>672</v>
      </c>
      <c r="U10" s="30" t="s">
        <v>681</v>
      </c>
      <c r="V10" s="93" t="s">
        <v>669</v>
      </c>
      <c r="W10" s="30" t="s">
        <v>698</v>
      </c>
      <c r="X10" s="92"/>
      <c r="Y10" s="30"/>
    </row>
    <row r="11" spans="1:25" x14ac:dyDescent="0.25">
      <c r="M11" s="170"/>
      <c r="N11" s="170"/>
      <c r="O11" s="170"/>
      <c r="T11" s="93" t="s">
        <v>682</v>
      </c>
      <c r="U11" s="30" t="s">
        <v>692</v>
      </c>
      <c r="V11" s="93" t="s">
        <v>131</v>
      </c>
      <c r="W11" s="95" t="s">
        <v>705</v>
      </c>
      <c r="X11" s="92"/>
      <c r="Y11" s="30"/>
    </row>
    <row r="12" spans="1:25" x14ac:dyDescent="0.25">
      <c r="M12" s="170"/>
      <c r="N12" s="170"/>
      <c r="O12" s="170"/>
      <c r="T12" s="93" t="s">
        <v>683</v>
      </c>
      <c r="U12" s="94" t="s">
        <v>700</v>
      </c>
      <c r="V12" s="93" t="s">
        <v>689</v>
      </c>
      <c r="W12" s="30" t="s">
        <v>696</v>
      </c>
      <c r="X12" s="92"/>
      <c r="Y12" s="30"/>
    </row>
    <row r="13" spans="1:25" x14ac:dyDescent="0.25">
      <c r="M13" s="170"/>
      <c r="N13" s="170"/>
      <c r="O13" s="170"/>
      <c r="T13" s="93" t="s">
        <v>684</v>
      </c>
      <c r="U13" s="30" t="s">
        <v>693</v>
      </c>
      <c r="V13" s="93" t="s">
        <v>690</v>
      </c>
      <c r="W13" s="96" t="s">
        <v>706</v>
      </c>
      <c r="X13" s="92"/>
      <c r="Y13" s="30"/>
    </row>
    <row r="14" spans="1:25" x14ac:dyDescent="0.25">
      <c r="M14" s="170"/>
      <c r="N14" s="170"/>
      <c r="O14" s="170"/>
      <c r="T14" s="93" t="s">
        <v>454</v>
      </c>
      <c r="U14" s="94" t="s">
        <v>701</v>
      </c>
      <c r="V14" s="93" t="s">
        <v>691</v>
      </c>
      <c r="W14" s="91" t="s">
        <v>679</v>
      </c>
      <c r="X14" s="92"/>
      <c r="Y14" s="30"/>
    </row>
    <row r="15" spans="1:25" x14ac:dyDescent="0.25">
      <c r="M15" s="170"/>
      <c r="N15" s="170"/>
      <c r="O15" s="170"/>
    </row>
    <row r="16" spans="1:25" x14ac:dyDescent="0.25">
      <c r="M16" s="170"/>
      <c r="N16" s="170"/>
      <c r="O16" s="170"/>
    </row>
    <row r="17" spans="1:15" x14ac:dyDescent="0.25">
      <c r="M17" s="170"/>
      <c r="N17" s="170"/>
      <c r="O17" s="170"/>
    </row>
    <row r="18" spans="1:15" x14ac:dyDescent="0.25">
      <c r="M18" s="170"/>
      <c r="N18" s="170"/>
      <c r="O18" s="170"/>
    </row>
    <row r="19" spans="1:15" x14ac:dyDescent="0.25">
      <c r="M19" s="170"/>
      <c r="N19" s="170"/>
      <c r="O19" s="170"/>
    </row>
    <row r="20" spans="1:15" x14ac:dyDescent="0.25">
      <c r="M20" s="170"/>
      <c r="N20" s="170"/>
      <c r="O20" s="170"/>
    </row>
    <row r="21" spans="1:15" x14ac:dyDescent="0.25">
      <c r="M21" s="170"/>
      <c r="N21" s="170"/>
      <c r="O21" s="170"/>
    </row>
    <row r="22" spans="1:15" x14ac:dyDescent="0.25">
      <c r="M22" s="170"/>
      <c r="N22" s="170"/>
      <c r="O22" s="170"/>
    </row>
    <row r="23" spans="1:15" x14ac:dyDescent="0.25">
      <c r="M23" s="170"/>
      <c r="N23" s="170"/>
      <c r="O23" s="170"/>
    </row>
    <row r="24" spans="1:15" x14ac:dyDescent="0.25">
      <c r="M24" s="170"/>
      <c r="N24" s="170"/>
      <c r="O24" s="170"/>
    </row>
    <row r="25" spans="1:15" x14ac:dyDescent="0.25">
      <c r="M25" s="170"/>
      <c r="N25" s="170"/>
      <c r="O25" s="170"/>
    </row>
    <row r="26" spans="1:15" x14ac:dyDescent="0.25">
      <c r="M26" s="170"/>
      <c r="N26" s="170"/>
      <c r="O26" s="170"/>
    </row>
    <row r="27" spans="1:15" x14ac:dyDescent="0.25">
      <c r="M27" s="170"/>
      <c r="N27" s="170"/>
      <c r="O27" s="170"/>
    </row>
    <row r="29" spans="1:15" x14ac:dyDescent="0.25">
      <c r="A29" s="2" t="s">
        <v>619</v>
      </c>
    </row>
  </sheetData>
  <mergeCells count="1">
    <mergeCell ref="M2:O27"/>
  </mergeCells>
  <hyperlinks>
    <hyperlink ref="A1" r:id="rId1" display="https://www.afotek.de/de/dienstleistungen/elektro-und-automatisierungstechnik.html" xr:uid="{45239D75-F685-4632-93A3-EE98E7019820}"/>
    <hyperlink ref="A29" r:id="rId2" display="https://www.vbm-fachbuch.de/media/pdf/e1/20/3d/sample-9783834333308.pdf" xr:uid="{24F09F74-EF6C-43C0-8E66-67014B3854A9}"/>
  </hyperlinks>
  <pageMargins left="0.7" right="0.7" top="0.78740157499999996" bottom="0.78740157499999996" header="0.3" footer="0.3"/>
  <pageSetup paperSize="9" orientation="portrait" verticalDpi="0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1857-7C0C-47C0-93C8-0C0DF4A4B1A2}">
  <dimension ref="A2:D27"/>
  <sheetViews>
    <sheetView workbookViewId="0">
      <selection activeCell="D13" sqref="D13"/>
    </sheetView>
  </sheetViews>
  <sheetFormatPr baseColWidth="10" defaultRowHeight="15" x14ac:dyDescent="0.25"/>
  <cols>
    <col min="1" max="1" width="22" bestFit="1" customWidth="1"/>
    <col min="2" max="2" width="12" bestFit="1" customWidth="1"/>
  </cols>
  <sheetData>
    <row r="2" spans="1:4" x14ac:dyDescent="0.25">
      <c r="A2" t="s">
        <v>682</v>
      </c>
      <c r="B2">
        <v>0.5</v>
      </c>
      <c r="C2" t="s">
        <v>177</v>
      </c>
    </row>
    <row r="3" spans="1:4" s="139" customFormat="1" x14ac:dyDescent="0.25">
      <c r="A3" s="139" t="s">
        <v>803</v>
      </c>
      <c r="B3" s="139">
        <f>B8*9.81*B2/10^5</f>
        <v>4.7347965000000006E-2</v>
      </c>
      <c r="C3" s="139" t="s">
        <v>48</v>
      </c>
    </row>
    <row r="4" spans="1:4" x14ac:dyDescent="0.25">
      <c r="A4" t="s">
        <v>802</v>
      </c>
      <c r="B4">
        <v>1</v>
      </c>
      <c r="C4" t="s">
        <v>48</v>
      </c>
    </row>
    <row r="5" spans="1:4" x14ac:dyDescent="0.25">
      <c r="A5" t="s">
        <v>801</v>
      </c>
      <c r="B5">
        <v>0.5</v>
      </c>
      <c r="C5" t="s">
        <v>177</v>
      </c>
    </row>
    <row r="6" spans="1:4" x14ac:dyDescent="0.25">
      <c r="A6" t="s">
        <v>800</v>
      </c>
      <c r="B6">
        <v>165</v>
      </c>
      <c r="C6" t="s">
        <v>346</v>
      </c>
    </row>
    <row r="7" spans="1:4" x14ac:dyDescent="0.25">
      <c r="A7" t="s">
        <v>800</v>
      </c>
      <c r="B7">
        <f>B6/3600</f>
        <v>4.583333333333333E-2</v>
      </c>
      <c r="C7" t="s">
        <v>45</v>
      </c>
    </row>
    <row r="8" spans="1:4" x14ac:dyDescent="0.25">
      <c r="A8" t="s">
        <v>799</v>
      </c>
      <c r="B8">
        <v>965.3</v>
      </c>
      <c r="C8" t="s">
        <v>763</v>
      </c>
    </row>
    <row r="9" spans="1:4" x14ac:dyDescent="0.25">
      <c r="A9" t="s">
        <v>798</v>
      </c>
      <c r="B9">
        <f>B6/B8</f>
        <v>0.17093131668911221</v>
      </c>
      <c r="C9" t="s">
        <v>774</v>
      </c>
    </row>
    <row r="10" spans="1:4" x14ac:dyDescent="0.25">
      <c r="A10" t="s">
        <v>797</v>
      </c>
      <c r="B10">
        <v>6</v>
      </c>
      <c r="C10" t="s">
        <v>44</v>
      </c>
    </row>
    <row r="11" spans="1:4" x14ac:dyDescent="0.25">
      <c r="A11" t="s">
        <v>796</v>
      </c>
      <c r="B11">
        <f>PI()/4*(B10/1000)^2</f>
        <v>2.8274333882308137E-5</v>
      </c>
      <c r="C11" t="s">
        <v>795</v>
      </c>
    </row>
    <row r="12" spans="1:4" x14ac:dyDescent="0.25">
      <c r="A12" t="s">
        <v>667</v>
      </c>
      <c r="B12">
        <f>B6/3600/(B8*B11)</f>
        <v>1.6792940728566907</v>
      </c>
      <c r="C12" t="s">
        <v>175</v>
      </c>
    </row>
    <row r="13" spans="1:4" x14ac:dyDescent="0.25">
      <c r="A13" t="s">
        <v>794</v>
      </c>
      <c r="B13" s="44">
        <v>0.36430000000000001</v>
      </c>
      <c r="C13" t="s">
        <v>793</v>
      </c>
    </row>
    <row r="14" spans="1:4" x14ac:dyDescent="0.25">
      <c r="A14" t="s">
        <v>454</v>
      </c>
      <c r="B14">
        <v>0.1</v>
      </c>
      <c r="C14" t="s">
        <v>44</v>
      </c>
    </row>
    <row r="15" spans="1:4" x14ac:dyDescent="0.25">
      <c r="A15" t="s">
        <v>792</v>
      </c>
      <c r="B15">
        <f>B10/B14</f>
        <v>60</v>
      </c>
    </row>
    <row r="16" spans="1:4" x14ac:dyDescent="0.25">
      <c r="A16" t="s">
        <v>306</v>
      </c>
      <c r="B16">
        <f>B12*B10/1000/(B13*10^-6)</f>
        <v>27657.876577381674</v>
      </c>
      <c r="D16" t="s">
        <v>791</v>
      </c>
    </row>
    <row r="17" spans="1:3" x14ac:dyDescent="0.25">
      <c r="A17" t="s">
        <v>789</v>
      </c>
      <c r="B17">
        <f>(B27*B5*B8*B12^2)/(B10/1000/2)</f>
        <v>21278.217017455718</v>
      </c>
      <c r="C17" t="s">
        <v>790</v>
      </c>
    </row>
    <row r="18" spans="1:3" s="139" customFormat="1" x14ac:dyDescent="0.25">
      <c r="A18" s="139" t="s">
        <v>789</v>
      </c>
      <c r="B18" s="139">
        <f>B17/10^5</f>
        <v>0.21278217017455717</v>
      </c>
      <c r="C18" s="139" t="s">
        <v>48</v>
      </c>
    </row>
    <row r="19" spans="1:3" x14ac:dyDescent="0.25">
      <c r="A19" t="s">
        <v>788</v>
      </c>
      <c r="B19">
        <f>0.25/B16^0.2</f>
        <v>3.232780678822559E-2</v>
      </c>
    </row>
    <row r="20" spans="1:3" x14ac:dyDescent="0.25">
      <c r="A20" t="s">
        <v>787</v>
      </c>
      <c r="B20">
        <f>1/(2*LOG10($B$16*SQRT(B19)/2.51))^2</f>
        <v>2.2999569338499504E-2</v>
      </c>
    </row>
    <row r="21" spans="1:3" x14ac:dyDescent="0.25">
      <c r="B21">
        <f>1/(2*LOG10($B$16*SQRT(B20)/2.51))^2</f>
        <v>2.4066783970559748E-2</v>
      </c>
    </row>
    <row r="22" spans="1:3" x14ac:dyDescent="0.25">
      <c r="B22">
        <f>1/(2*LOG10($B$16*SQRT(B21)/2.51))^2</f>
        <v>2.3920364153620036E-2</v>
      </c>
    </row>
    <row r="23" spans="1:3" x14ac:dyDescent="0.25">
      <c r="B23">
        <f>1/(2*LOG10($B$16*SQRT(B22)/2.51))^2</f>
        <v>2.3939985975878091E-2</v>
      </c>
    </row>
    <row r="25" spans="1:3" x14ac:dyDescent="0.25">
      <c r="A25" t="s">
        <v>786</v>
      </c>
      <c r="B25">
        <f>1/((-2*LOG10(2.51/($B$16*SQRT(B19))+$B$14/(3.71*$B$10)))^2)</f>
        <v>4.7206348062870621E-2</v>
      </c>
    </row>
    <row r="26" spans="1:3" x14ac:dyDescent="0.25">
      <c r="B26">
        <f>1/((-2*LOG10(2.51/($B$16*SQRT(B25))+$B$14/(3.71*$B$10)))^2)</f>
        <v>4.6894788458206202E-2</v>
      </c>
    </row>
    <row r="27" spans="1:3" x14ac:dyDescent="0.25">
      <c r="B27">
        <f>1/((-2*LOG10(2.51/($B$16*SQRT(B26))+$B$14/(3.71*$B$10)))^2)</f>
        <v>4.6899765140954099E-2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Walze</vt:lpstr>
      <vt:lpstr>PCM Massenstrommessung</vt:lpstr>
      <vt:lpstr>Schaber Ausdehnung</vt:lpstr>
      <vt:lpstr>Behälter Versuchsstand</vt:lpstr>
      <vt:lpstr>Simulationen</vt:lpstr>
      <vt:lpstr>Prozessfunktionsplan</vt:lpstr>
      <vt:lpstr>Druckverlust Rohrreibung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Gro</dc:creator>
  <cp:lastModifiedBy>Leon Sengün</cp:lastModifiedBy>
  <cp:lastPrinted>2023-03-14T09:32:49Z</cp:lastPrinted>
  <dcterms:created xsi:type="dcterms:W3CDTF">2015-06-05T18:19:34Z</dcterms:created>
  <dcterms:modified xsi:type="dcterms:W3CDTF">2023-08-09T12:24:02Z</dcterms:modified>
</cp:coreProperties>
</file>