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Personales" sheetId="1" r:id="rId4"/>
    <sheet state="visible" name="Presupuesto de ventas" sheetId="2" r:id="rId5"/>
    <sheet state="visible" name="Presupuesto de Compras " sheetId="3" r:id="rId6"/>
    <sheet state="visible" name="Presupuesto de costos y gastos " sheetId="4" r:id="rId7"/>
    <sheet state="visible" name="Plan de Inversión" sheetId="5" r:id="rId8"/>
    <sheet state="visible" name="Presupuesto de compras y ventas" sheetId="6" r:id="rId9"/>
    <sheet state="visible" name="Presupuesto de Costos y G año 1" sheetId="7" r:id="rId10"/>
    <sheet state="visible" name="Resumen Plan de Inversion" sheetId="8" r:id="rId11"/>
    <sheet state="visible" name="Estados de Resultados" sheetId="9" r:id="rId12"/>
    <sheet state="visible" name="Balance General" sheetId="10" r:id="rId13"/>
    <sheet state="visible" name="Flujo de Caja Mensual" sheetId="11" r:id="rId14"/>
    <sheet state="visible" name="Indicadiores financieros" sheetId="12" r:id="rId15"/>
    <sheet state="visible" name="Hoja1" sheetId="13" r:id="rId16"/>
  </sheets>
  <externalReferences>
    <externalReference r:id="rId17"/>
  </externalReferences>
  <definedNames/>
  <calcPr/>
  <extLst>
    <ext uri="GoogleSheetsCustomDataVersion1">
      <go:sheetsCustomData xmlns:go="http://customooxmlschemas.google.com/" r:id="rId18" roundtripDataSignature="AMtx7miK23/pmMHrnG5kugXFraIS57hfSA=="/>
    </ext>
  </extLst>
</workbook>
</file>

<file path=xl/sharedStrings.xml><?xml version="1.0" encoding="utf-8"?>
<sst xmlns="http://schemas.openxmlformats.org/spreadsheetml/2006/main" count="806" uniqueCount="434">
  <si>
    <t>Datos Personales</t>
  </si>
  <si>
    <t>Emprendedor 1</t>
  </si>
  <si>
    <t>Nombre</t>
  </si>
  <si>
    <t>Carlos Andres Ruiz</t>
  </si>
  <si>
    <t>Tipo de Documento</t>
  </si>
  <si>
    <t>Cedula de Ciudadania</t>
  </si>
  <si>
    <t>No.</t>
  </si>
  <si>
    <t>Estado Civil</t>
  </si>
  <si>
    <t>soltero</t>
  </si>
  <si>
    <t>No. Hijos</t>
  </si>
  <si>
    <t>Fecha de Nacimiento</t>
  </si>
  <si>
    <t>Tarjeta de Identidad</t>
  </si>
  <si>
    <t>Barrio</t>
  </si>
  <si>
    <t>Localidad</t>
  </si>
  <si>
    <t>Nacionalidad</t>
  </si>
  <si>
    <t>Cedula de Extranjeria</t>
  </si>
  <si>
    <t>Personas a Cargo</t>
  </si>
  <si>
    <t>Telefono</t>
  </si>
  <si>
    <t>Correo Electronica</t>
  </si>
  <si>
    <t>Vivienda</t>
  </si>
  <si>
    <t>Familiar</t>
  </si>
  <si>
    <t>Movil</t>
  </si>
  <si>
    <t>Economicos</t>
  </si>
  <si>
    <t>Propia</t>
  </si>
  <si>
    <t>Ocupacion</t>
  </si>
  <si>
    <t>Independiente</t>
  </si>
  <si>
    <t xml:space="preserve">Activos </t>
  </si>
  <si>
    <t>Pasivos</t>
  </si>
  <si>
    <t>Sueldo Mensual</t>
  </si>
  <si>
    <t>Otros Ingresos</t>
  </si>
  <si>
    <t>Otro</t>
  </si>
  <si>
    <t>Referencias</t>
  </si>
  <si>
    <t>Direccion</t>
  </si>
  <si>
    <t>Estudios</t>
  </si>
  <si>
    <t>Empleado</t>
  </si>
  <si>
    <t>Secundaria</t>
  </si>
  <si>
    <t>Colegio</t>
  </si>
  <si>
    <t>Desempleado</t>
  </si>
  <si>
    <t>Teconologia</t>
  </si>
  <si>
    <t>Institución</t>
  </si>
  <si>
    <t>Profesional</t>
  </si>
  <si>
    <t>Datos Generales del Plan de Negocio</t>
  </si>
  <si>
    <t>casado</t>
  </si>
  <si>
    <t>Nombre de la Empresa</t>
  </si>
  <si>
    <t>neo library</t>
  </si>
  <si>
    <t>Actividad Economica</t>
  </si>
  <si>
    <t>Dirección</t>
  </si>
  <si>
    <t>Clase de Empresa</t>
  </si>
  <si>
    <t>INDEPENDIENTE</t>
  </si>
  <si>
    <t>Fecha de Inicio</t>
  </si>
  <si>
    <t>viudo</t>
  </si>
  <si>
    <t>union libre</t>
  </si>
  <si>
    <t>Asesor del Plan de Negocio</t>
  </si>
  <si>
    <t>Instructor</t>
  </si>
  <si>
    <t>Carlos Andres Herrera Mora</t>
  </si>
  <si>
    <t>Area</t>
  </si>
  <si>
    <t xml:space="preserve">Analisis y Desarrollo de sistemas </t>
  </si>
  <si>
    <t>Teléfono</t>
  </si>
  <si>
    <t>Nombre de Empresa</t>
  </si>
  <si>
    <t>Estructura del Mercado en Unidades</t>
  </si>
  <si>
    <t>VAN</t>
  </si>
  <si>
    <t>Producto</t>
  </si>
  <si>
    <t>Mercado Objetivo</t>
  </si>
  <si>
    <t>Consumo Anual Percapita</t>
  </si>
  <si>
    <t>Ventas Unidades al año 1</t>
  </si>
  <si>
    <t>Participación % del mercado Objetivo</t>
  </si>
  <si>
    <t>Mensual</t>
  </si>
  <si>
    <t>TIR</t>
  </si>
  <si>
    <t>Punto de equilibrio en ventas</t>
  </si>
  <si>
    <t>Totales</t>
  </si>
  <si>
    <t>Capacidad Instalada Mano de Obra</t>
  </si>
  <si>
    <t>Horas año Operario Turno</t>
  </si>
  <si>
    <t>Unidades Hora Hombre</t>
  </si>
  <si>
    <t>Capacidad instalada por Operario año</t>
  </si>
  <si>
    <t>Tiempo de Duración  % año 1</t>
  </si>
  <si>
    <t>Capacidad Instalada</t>
  </si>
  <si>
    <t>Capacidad Requerida</t>
  </si>
  <si>
    <t>Ventas Anuales por Producto</t>
  </si>
  <si>
    <t>Unidades a vender</t>
  </si>
  <si>
    <t>Precio de Venta Unitario</t>
  </si>
  <si>
    <t>Venta Totales Año 1</t>
  </si>
  <si>
    <t>Periodo</t>
  </si>
  <si>
    <t>Incremento Anual Precio</t>
  </si>
  <si>
    <t>Base + Incremento</t>
  </si>
  <si>
    <t>Año 2</t>
  </si>
  <si>
    <t>Año 3</t>
  </si>
  <si>
    <t>Año 4</t>
  </si>
  <si>
    <t>Año 5</t>
  </si>
  <si>
    <t>REVISAR PROYECCIONES DE INFLACION</t>
  </si>
  <si>
    <t>Ciclicidad de ventas en el Año</t>
  </si>
  <si>
    <t>Calificacion de Comportamiento</t>
  </si>
  <si>
    <t>Calificacion</t>
  </si>
  <si>
    <t>Muy alto</t>
  </si>
  <si>
    <t>Alto</t>
  </si>
  <si>
    <t>Normal</t>
  </si>
  <si>
    <t>Bajo</t>
  </si>
  <si>
    <t>De acuerdo a la estacionalidad de su portafolio califique los meses según  la tabla anterior</t>
  </si>
  <si>
    <t>Año 1</t>
  </si>
  <si>
    <t>Unidades</t>
  </si>
  <si>
    <t>Ventas $</t>
  </si>
  <si>
    <t>Enero</t>
  </si>
  <si>
    <t>Febrero</t>
  </si>
  <si>
    <t>Marzo</t>
  </si>
  <si>
    <t>Abirl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</si>
  <si>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</si>
  <si>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</si>
  <si>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</si>
  <si>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</si>
  <si>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</si>
  <si>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</si>
  <si>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</si>
  <si>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</si>
  <si>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</si>
  <si>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Consumo de Materia Prima por Producto</t>
  </si>
  <si>
    <t>Producto No1</t>
  </si>
  <si>
    <t>Producto No2</t>
  </si>
  <si>
    <t>Unidad de Produccion</t>
  </si>
  <si>
    <t>Unidad</t>
  </si>
  <si>
    <t>Unidad de Medida</t>
  </si>
  <si>
    <t>Valor Unitario</t>
  </si>
  <si>
    <t>Cantidad por Unidad</t>
  </si>
  <si>
    <t>Total Costo Unitario</t>
  </si>
  <si>
    <t>Materias Primas</t>
  </si>
  <si>
    <t>Base de Datos Maria Db</t>
  </si>
  <si>
    <t>Servidor Xampp</t>
  </si>
  <si>
    <t>Lenguaje de Programación</t>
  </si>
  <si>
    <t>Dominio y Hosting</t>
  </si>
  <si>
    <t>Subtotal</t>
  </si>
  <si>
    <t>Otros Insumos</t>
  </si>
  <si>
    <t>Producto No3</t>
  </si>
  <si>
    <t>Producto No4</t>
  </si>
  <si>
    <t>Unidades a Producir</t>
  </si>
  <si>
    <t>Unidades de Año 1</t>
  </si>
  <si>
    <t>Costo Unitario</t>
  </si>
  <si>
    <t>Costo Total Año 1</t>
  </si>
  <si>
    <t>Incremento Anual Costos %</t>
  </si>
  <si>
    <t>PROYECCIONES DEL IPP O DEL IPC</t>
  </si>
  <si>
    <t>Calificacion de Comportamiento de Compras</t>
  </si>
  <si>
    <t>Muy Alto</t>
  </si>
  <si>
    <t>Meses</t>
  </si>
  <si>
    <t>Unidades Año 1</t>
  </si>
  <si>
    <t>Compras Año 1</t>
  </si>
  <si>
    <t>Abril</t>
  </si>
  <si>
    <t xml:space="preserve">Octubre </t>
  </si>
  <si>
    <t>Requerimiento de Personal</t>
  </si>
  <si>
    <t>Mano de Obra</t>
  </si>
  <si>
    <t>Administración</t>
  </si>
  <si>
    <t>Ventas</t>
  </si>
  <si>
    <t>Total Sueldos Mensual</t>
  </si>
  <si>
    <t>Total Sueldos Anual</t>
  </si>
  <si>
    <t>Valor dia</t>
  </si>
  <si>
    <t>Cargo</t>
  </si>
  <si>
    <t>Sueldo Año 1</t>
  </si>
  <si>
    <t>Programador Junior</t>
  </si>
  <si>
    <t>Administrador</t>
  </si>
  <si>
    <t>Vendedor</t>
  </si>
  <si>
    <t>Parafiscales</t>
  </si>
  <si>
    <t>Seguridad Social</t>
  </si>
  <si>
    <t>Cesantias</t>
  </si>
  <si>
    <t>Intereses sobre las Cesantias</t>
  </si>
  <si>
    <t>Prima de Servicios</t>
  </si>
  <si>
    <t>Vacaciones</t>
  </si>
  <si>
    <t>Total Salarios</t>
  </si>
  <si>
    <t>Parafiscales y prestaciones sociales</t>
  </si>
  <si>
    <t>Tasa</t>
  </si>
  <si>
    <t>Incremento %</t>
  </si>
  <si>
    <t>Interes Sobre las Cesantias</t>
  </si>
  <si>
    <t>PROYECCION DE INCREMENTO DE SALARIOS</t>
  </si>
  <si>
    <t>Otros Costos de Producción y Gastos de Administracion  y Ventas</t>
  </si>
  <si>
    <t>Costos de Producción</t>
  </si>
  <si>
    <t>Gastos de Administracion</t>
  </si>
  <si>
    <t>Gastos de Ventas</t>
  </si>
  <si>
    <t>Gasto Total</t>
  </si>
  <si>
    <t>Concepto</t>
  </si>
  <si>
    <t>Año1</t>
  </si>
  <si>
    <t xml:space="preserve">Concepto </t>
  </si>
  <si>
    <t>Total Mensual</t>
  </si>
  <si>
    <t>Total Año 1</t>
  </si>
  <si>
    <t>Dia</t>
  </si>
  <si>
    <t>Arriendo</t>
  </si>
  <si>
    <t>Energia</t>
  </si>
  <si>
    <t>Agua</t>
  </si>
  <si>
    <t>Suministros de Oficina</t>
  </si>
  <si>
    <t>Mantenimiento</t>
  </si>
  <si>
    <t>Contador</t>
  </si>
  <si>
    <t>Publicidad</t>
  </si>
  <si>
    <t>Subsidio de Transporte</t>
  </si>
  <si>
    <t>Transporte</t>
  </si>
  <si>
    <t>Dotaciones</t>
  </si>
  <si>
    <t>Bases Incremento</t>
  </si>
  <si>
    <t>PROYECCION DEL IPC O IPP</t>
  </si>
  <si>
    <t>Politica de Capital de Trabajo</t>
  </si>
  <si>
    <t>Capital de Trabajo</t>
  </si>
  <si>
    <t>Politica en Dias</t>
  </si>
  <si>
    <t>Base</t>
  </si>
  <si>
    <t>Años/Pesos</t>
  </si>
  <si>
    <t>Caja y Bancos (Nomina)</t>
  </si>
  <si>
    <t>Sueldos</t>
  </si>
  <si>
    <t>Caja y Bancos (Gastos de Operaciones)</t>
  </si>
  <si>
    <t>Gastos Operativos</t>
  </si>
  <si>
    <t>Inventario de Materia Prima</t>
  </si>
  <si>
    <t>Compras Anuales</t>
  </si>
  <si>
    <t>Inventario de Productos en Produccion</t>
  </si>
  <si>
    <t>Costos de Produccion</t>
  </si>
  <si>
    <t>Inventario Productos Terminados</t>
  </si>
  <si>
    <t>Costos de Ventas</t>
  </si>
  <si>
    <t>Cartera</t>
  </si>
  <si>
    <t>Ventas Anuales</t>
  </si>
  <si>
    <t>Gastos de Puesta en Marcha</t>
  </si>
  <si>
    <t>Valor</t>
  </si>
  <si>
    <t>Años de Amortizacion</t>
  </si>
  <si>
    <t>Total Puesta</t>
  </si>
  <si>
    <t>Otros Conceptos</t>
  </si>
  <si>
    <t>Otros</t>
  </si>
  <si>
    <t>Proveedores</t>
  </si>
  <si>
    <t>Plan de Inversion y Financiacion</t>
  </si>
  <si>
    <t>Credito</t>
  </si>
  <si>
    <t>Recursos Propios</t>
  </si>
  <si>
    <t>Inventario Materia Prima</t>
  </si>
  <si>
    <t>Inventario Productos en Procesos</t>
  </si>
  <si>
    <t>Inversion diferidas</t>
  </si>
  <si>
    <t>Caja</t>
  </si>
  <si>
    <t>Total Capital de Trabajo</t>
  </si>
  <si>
    <t>Activos Fijos (Discriminados)</t>
  </si>
  <si>
    <t>Total Requeridos</t>
  </si>
  <si>
    <t>Vida Util Años</t>
  </si>
  <si>
    <t>Difereciancion Año 1</t>
  </si>
  <si>
    <t>Terrenos</t>
  </si>
  <si>
    <t>Construccion</t>
  </si>
  <si>
    <t>Total Maquina y Equipo</t>
  </si>
  <si>
    <t>Computador</t>
  </si>
  <si>
    <t>Impresora multifuncional</t>
  </si>
  <si>
    <t>Telefono fijo</t>
  </si>
  <si>
    <t>Telefono celular corporativo</t>
  </si>
  <si>
    <t>Total muebles y enseres</t>
  </si>
  <si>
    <t>Escritorio</t>
  </si>
  <si>
    <t>Sillas</t>
  </si>
  <si>
    <t>Vehiculos</t>
  </si>
  <si>
    <t>Total de Inversión Fija</t>
  </si>
  <si>
    <t>Inversion Total</t>
  </si>
  <si>
    <t>Participacion %</t>
  </si>
  <si>
    <t>Resumen  Presupuesto de Ingresos y Costos de Insumos</t>
  </si>
  <si>
    <t>Total Unidades</t>
  </si>
  <si>
    <t>Total Costos</t>
  </si>
  <si>
    <t>Ventas en $</t>
  </si>
  <si>
    <t>Ventas Meses y Anualizados</t>
  </si>
  <si>
    <t>Ciclicidad</t>
  </si>
  <si>
    <t>Sueldo</t>
  </si>
  <si>
    <t>Intereses sobre censatias</t>
  </si>
  <si>
    <t>Administracion</t>
  </si>
  <si>
    <t>Otros Gastos de Produccion, Gastos de Administracion y Ventas</t>
  </si>
  <si>
    <t>Costos indirectos de produccion</t>
  </si>
  <si>
    <t>Resumen Salarios</t>
  </si>
  <si>
    <t xml:space="preserve">Dotaciones </t>
  </si>
  <si>
    <t>Subsidios de transporte</t>
  </si>
  <si>
    <t>Plan de inversion y financiación</t>
  </si>
  <si>
    <t>Inventario Productos en Proceso</t>
  </si>
  <si>
    <t>Inversiones diferidas</t>
  </si>
  <si>
    <t>Activos Fijos (Discriminar)</t>
  </si>
  <si>
    <t>Construcciones</t>
  </si>
  <si>
    <t>Maquinaria y equipo</t>
  </si>
  <si>
    <t>Muebles y Enseres</t>
  </si>
  <si>
    <t>Total inversion Fija</t>
  </si>
  <si>
    <t>Depreciaciones</t>
  </si>
  <si>
    <t>Activos fijos</t>
  </si>
  <si>
    <t>Amortizacion del Diferido</t>
  </si>
  <si>
    <t>Impuestos</t>
  </si>
  <si>
    <t>%</t>
  </si>
  <si>
    <t>Impuesto de renta</t>
  </si>
  <si>
    <t>Iva</t>
  </si>
  <si>
    <t>Valor del prestamo</t>
  </si>
  <si>
    <t>Tasa Efectiva</t>
  </si>
  <si>
    <t>Tasa Nominal</t>
  </si>
  <si>
    <t>Interes Mensual</t>
  </si>
  <si>
    <t>Plazo</t>
  </si>
  <si>
    <t>Cuota No.</t>
  </si>
  <si>
    <t>Valor Cuota</t>
  </si>
  <si>
    <t>Intereses</t>
  </si>
  <si>
    <t>Capital</t>
  </si>
  <si>
    <t>Saldo</t>
  </si>
  <si>
    <t>Estados de Perdidas y Ganancias</t>
  </si>
  <si>
    <t>Costos de Materia Prima</t>
  </si>
  <si>
    <t>Costos Indirectos de Fabricación</t>
  </si>
  <si>
    <t>Total Costos de Venta</t>
  </si>
  <si>
    <t>Utilidad Bruta</t>
  </si>
  <si>
    <t>Salarios de Administracion</t>
  </si>
  <si>
    <t>Salarios de Ventas</t>
  </si>
  <si>
    <t>Total de Gastos Operacionales</t>
  </si>
  <si>
    <t>Utilidad Operacional</t>
  </si>
  <si>
    <t>Intereses Credito</t>
  </si>
  <si>
    <t>Otros Intereses</t>
  </si>
  <si>
    <t>Total Gastos No Operacionales</t>
  </si>
  <si>
    <t>Utilidad Neta Antes de Impuestos</t>
  </si>
  <si>
    <t>Impuesto de Renta</t>
  </si>
  <si>
    <t>Utilidad Neta</t>
  </si>
  <si>
    <t>IVA</t>
  </si>
  <si>
    <t>Balance General</t>
  </si>
  <si>
    <t>Año 0</t>
  </si>
  <si>
    <t>Activo</t>
  </si>
  <si>
    <t>Activo Corriente</t>
  </si>
  <si>
    <t>Caja y Bancos</t>
  </si>
  <si>
    <t>Cuentas por Cobrar - Cartera</t>
  </si>
  <si>
    <t>Inventario materia prima</t>
  </si>
  <si>
    <t>Inventario productos en procesos</t>
  </si>
  <si>
    <t>Inventario productos terminados</t>
  </si>
  <si>
    <t>Gastos diferidos y Operativos</t>
  </si>
  <si>
    <t>Total Activo Corriente</t>
  </si>
  <si>
    <t>Activos Fijos</t>
  </si>
  <si>
    <t>Muebles y enseres</t>
  </si>
  <si>
    <t>Vehiculo</t>
  </si>
  <si>
    <t>Subtotal Fijo</t>
  </si>
  <si>
    <t>Depreciacion Acumulada</t>
  </si>
  <si>
    <t>Total Activo Fijo Neto</t>
  </si>
  <si>
    <t xml:space="preserve">Total Activos </t>
  </si>
  <si>
    <t>Pasivos Corriente</t>
  </si>
  <si>
    <t>Imporrenta por pagar</t>
  </si>
  <si>
    <t>IVA por pagar</t>
  </si>
  <si>
    <t>Labores por pagar (cesantias e intereses)</t>
  </si>
  <si>
    <t>Para fiscales y provisiones</t>
  </si>
  <si>
    <t>Otros Pasivos</t>
  </si>
  <si>
    <t>Obligacion ( Credito )</t>
  </si>
  <si>
    <t>Total Pasivo Corriente</t>
  </si>
  <si>
    <t>Pasivo a Largo Plazo</t>
  </si>
  <si>
    <t>Total Pasivo Mediano y Largo Plazo</t>
  </si>
  <si>
    <t>Total Pasivo</t>
  </si>
  <si>
    <t>Patrimonio</t>
  </si>
  <si>
    <t>Utilidad del Ejercicio</t>
  </si>
  <si>
    <t>Utilidad Retenidad Ejercicios Anteriores</t>
  </si>
  <si>
    <t>Total Patrimonio</t>
  </si>
  <si>
    <t>Total Pasivo y Patrimonio</t>
  </si>
  <si>
    <t>Cuadre de Caja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</si>
  <si>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</si>
  <si>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</si>
  <si>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</si>
  <si>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</si>
  <si>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</si>
  <si>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</si>
  <si>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</si>
  <si>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</si>
  <si>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</si>
  <si>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</si>
  <si>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</si>
  <si>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</si>
  <si>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Total Año 2</t>
  </si>
  <si>
    <t>Total Año 3</t>
  </si>
  <si>
    <t>Total Año 4</t>
  </si>
  <si>
    <t>Total Año 5</t>
  </si>
  <si>
    <t>Compras e Insumos</t>
  </si>
  <si>
    <t>Concepto/Meses</t>
  </si>
  <si>
    <t>Total Año</t>
  </si>
  <si>
    <t>Ingresos Operativos</t>
  </si>
  <si>
    <t>1. Venta de Contado</t>
  </si>
  <si>
    <t>2. Venta de Credito</t>
  </si>
  <si>
    <t>3. Recuperacion de Cartera</t>
  </si>
  <si>
    <t>Total ingresos Operativos</t>
  </si>
  <si>
    <t>1. Pagos Laborales</t>
  </si>
  <si>
    <t>Resumen Sueldos</t>
  </si>
  <si>
    <t>2. Arrendamientos</t>
  </si>
  <si>
    <t>3. Servicios</t>
  </si>
  <si>
    <t>4. Mantenimiento</t>
  </si>
  <si>
    <t>5. Publicidad</t>
  </si>
  <si>
    <t>6. Transporte</t>
  </si>
  <si>
    <t>7. Otros</t>
  </si>
  <si>
    <t>8. Preoperativos</t>
  </si>
  <si>
    <t>Variables</t>
  </si>
  <si>
    <t>1. Compra de Contado materia prima</t>
  </si>
  <si>
    <t>2. Compra a Credito de materia prima e insumos</t>
  </si>
  <si>
    <t>3. Pagos de compra a credito</t>
  </si>
  <si>
    <t>4. Compra de Insumos para inventarios</t>
  </si>
  <si>
    <t>5. Pago de proveedores historicos</t>
  </si>
  <si>
    <t>6. Pago M O y gastos de fabricacion</t>
  </si>
  <si>
    <t>Total Gastos Operativos</t>
  </si>
  <si>
    <t>SuperAvit/(deficit)Operativo</t>
  </si>
  <si>
    <t>Inversiones Fijas</t>
  </si>
  <si>
    <t>1. Terrenos</t>
  </si>
  <si>
    <t>2. Edificaciones</t>
  </si>
  <si>
    <t>3. Maquinaria y equipo</t>
  </si>
  <si>
    <t>4. Muebles y enseres</t>
  </si>
  <si>
    <t>5. Vehiculos</t>
  </si>
  <si>
    <t>Recursos Obtenidos</t>
  </si>
  <si>
    <t>1. Prestamo linea de emprendimiento</t>
  </si>
  <si>
    <t>2. Recursos propios</t>
  </si>
  <si>
    <t>Amortizacion Pasivos Finacieros</t>
  </si>
  <si>
    <t>1. Cuota de capital credito propuesto</t>
  </si>
  <si>
    <t>2. Intereses de credito propuesto</t>
  </si>
  <si>
    <t>3. Ley MiPyme</t>
  </si>
  <si>
    <t>4.Imporrenta</t>
  </si>
  <si>
    <t>SuperAvit/(deficit)Financiero</t>
  </si>
  <si>
    <t>Pago de Impuestos</t>
  </si>
  <si>
    <t>Iva Cobrado</t>
  </si>
  <si>
    <t>Iva Pagado</t>
  </si>
  <si>
    <t>Iporrenta</t>
  </si>
  <si>
    <t>SuperAvit/(deficit) Caja</t>
  </si>
  <si>
    <t>Caja Final</t>
  </si>
  <si>
    <t>AÑO 1</t>
  </si>
  <si>
    <t>AÑO 2</t>
  </si>
  <si>
    <t>AÑO 3</t>
  </si>
  <si>
    <t>AÑO 4</t>
  </si>
  <si>
    <t>AÑO 5</t>
  </si>
  <si>
    <t>Saldo neto caja mensual</t>
  </si>
  <si>
    <t>Calculo de tir</t>
  </si>
  <si>
    <t>Calculo de la van</t>
  </si>
  <si>
    <t>Indicadores</t>
  </si>
  <si>
    <t>Año3</t>
  </si>
  <si>
    <t>Liquidez</t>
  </si>
  <si>
    <t>Periodo promedio de cobros (dias)</t>
  </si>
  <si>
    <t>Rotacion de inventarios - MP (dias)</t>
  </si>
  <si>
    <t>Rotacion de inventarios - PP (dias)</t>
  </si>
  <si>
    <t>Rotacion de inventarios - PT (dias)</t>
  </si>
  <si>
    <t>Rotacion de proveedores (dias)</t>
  </si>
  <si>
    <t>Capacidad de pago (Veces)</t>
  </si>
  <si>
    <t>Endeudamiento</t>
  </si>
  <si>
    <t>Rentabilidad Bruta</t>
  </si>
  <si>
    <t>Rentabilidad Operacional</t>
  </si>
  <si>
    <t>Rentabilidad Neta</t>
  </si>
  <si>
    <t>Margen de Contribucion</t>
  </si>
  <si>
    <t>Otra informacion Financiera</t>
  </si>
  <si>
    <t>Punto de Equilibrio</t>
  </si>
  <si>
    <t>Margen de Contirbucion</t>
  </si>
  <si>
    <t>Productos</t>
  </si>
  <si>
    <t>Precio en venta</t>
  </si>
  <si>
    <t>M.O Variable</t>
  </si>
  <si>
    <t>Gastos/Ventas</t>
  </si>
  <si>
    <t>Total Costo Variable</t>
  </si>
  <si>
    <t>Contibucion en ventas</t>
  </si>
  <si>
    <t>Margen Total</t>
  </si>
  <si>
    <t>Margen de Contribución</t>
  </si>
  <si>
    <t>Punto de Equilibrio 1 año</t>
  </si>
  <si>
    <t>Ventas Proyectadas</t>
  </si>
  <si>
    <t>Diferencia  de Ventas Punto de equilibrio</t>
  </si>
  <si>
    <t>Unidades Anuales</t>
  </si>
  <si>
    <t>Porcentaje</t>
  </si>
  <si>
    <t>Pesos</t>
  </si>
  <si>
    <t xml:space="preserve">Pesos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</si>
</sst>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/M/YYYY"/>
    <numFmt numFmtId="165" formatCode="&quot;$&quot;#,##0;[Red]\-&quot;$&quot;#,##0"/>
    <numFmt numFmtId="166" formatCode="#,##0.0"/>
    <numFmt numFmtId="167" formatCode="&quot;$&quot;\ #,##0"/>
    <numFmt numFmtId="168" formatCode="_-&quot;$&quot;* #,##0_-;\-&quot;$&quot;* #,##0_-;_-&quot;$&quot;* &quot;-&quot;??_-;_-@"/>
    <numFmt numFmtId="169" formatCode="_-* #,##0_-;\-* #,##0_-;_-* &quot;-&quot;_-;_-@"/>
    <numFmt numFmtId="170" formatCode="&quot;$&quot;#,##0"/>
  </numFmts>
  <fonts count="14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</font>
    <font>
      <sz val="11.0"/>
      <color theme="1"/>
      <name val="Calibri"/>
    </font>
    <font>
      <color theme="1"/>
      <name val="Calibri"/>
    </font>
    <font>
      <u/>
      <sz val="11.0"/>
      <color theme="10"/>
      <name val="Calibri"/>
    </font>
    <font>
      <sz val="11.0"/>
      <color rgb="FF000000"/>
      <name val="Calibri"/>
    </font>
    <font>
      <sz val="11.0"/>
      <color theme="0"/>
      <name val="Calibri"/>
    </font>
    <font>
      <sz val="11.0"/>
      <color rgb="FF9C6500"/>
      <name val="Calibri"/>
    </font>
    <font>
      <u/>
      <sz val="11.0"/>
      <color theme="1"/>
      <name val="Calibri"/>
    </font>
    <font>
      <b/>
      <sz val="11.0"/>
      <color rgb="FF000000"/>
      <name val="Calibri"/>
    </font>
    <font>
      <sz val="9.0"/>
      <color theme="1"/>
      <name val="Arial"/>
    </font>
    <font>
      <b/>
      <i/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C5E0B3"/>
        <bgColor rgb="FFC5E0B3"/>
      </patternFill>
    </fill>
    <fill>
      <patternFill patternType="solid">
        <fgColor rgb="FFAEABAB"/>
        <bgColor rgb="FFAEABAB"/>
      </patternFill>
    </fill>
    <fill>
      <patternFill patternType="solid">
        <fgColor rgb="FFFFEB9C"/>
        <bgColor rgb="FFFFEB9C"/>
      </patternFill>
    </fill>
    <fill>
      <patternFill patternType="solid">
        <fgColor rgb="FFD8D8D8"/>
        <bgColor rgb="FFD8D8D8"/>
      </patternFill>
    </fill>
    <fill>
      <patternFill patternType="solid">
        <fgColor rgb="FFECECEC"/>
        <bgColor rgb="FFECECEC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E7E6E6"/>
        <bgColor rgb="FFE7E6E6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horizontal="left"/>
    </xf>
    <xf borderId="4" fillId="2" fontId="1" numFmtId="0" xfId="0" applyBorder="1" applyFont="1"/>
    <xf borderId="4" fillId="0" fontId="3" numFmtId="0" xfId="0" applyAlignment="1" applyBorder="1" applyFont="1">
      <alignment readingOrder="0"/>
    </xf>
    <xf borderId="4" fillId="0" fontId="4" numFmtId="0" xfId="0" applyBorder="1" applyFont="1"/>
    <xf borderId="4" fillId="0" fontId="3" numFmtId="3" xfId="0" applyAlignment="1" applyBorder="1" applyFont="1" applyNumberFormat="1">
      <alignment readingOrder="0"/>
    </xf>
    <xf borderId="0" fillId="0" fontId="5" numFmtId="0" xfId="0" applyFont="1"/>
    <xf borderId="4" fillId="0" fontId="4" numFmtId="0" xfId="0" applyAlignment="1" applyBorder="1" applyFont="1">
      <alignment readingOrder="0"/>
    </xf>
    <xf borderId="4" fillId="0" fontId="3" numFmtId="1" xfId="0" applyAlignment="1" applyBorder="1" applyFont="1" applyNumberFormat="1">
      <alignment readingOrder="0"/>
    </xf>
    <xf borderId="4" fillId="0" fontId="3" numFmtId="164" xfId="0" applyAlignment="1" applyBorder="1" applyFont="1" applyNumberFormat="1">
      <alignment readingOrder="0"/>
    </xf>
    <xf borderId="4" fillId="0" fontId="3" numFmtId="164" xfId="0" applyBorder="1" applyFont="1" applyNumberFormat="1"/>
    <xf borderId="4" fillId="0" fontId="6" numFmtId="0" xfId="0" applyBorder="1" applyFont="1"/>
    <xf borderId="4" fillId="0" fontId="7" numFmtId="0" xfId="0" applyBorder="1" applyFont="1"/>
    <xf borderId="1" fillId="0" fontId="4" numFmtId="0" xfId="0" applyAlignment="1" applyBorder="1" applyFont="1">
      <alignment horizontal="center"/>
    </xf>
    <xf borderId="4" fillId="0" fontId="4" numFmtId="164" xfId="0" applyBorder="1" applyFont="1" applyNumberFormat="1"/>
    <xf borderId="4" fillId="3" fontId="4" numFmtId="0" xfId="0" applyAlignment="1" applyBorder="1" applyFill="1" applyFont="1">
      <alignment horizontal="center"/>
    </xf>
    <xf borderId="4" fillId="0" fontId="4" numFmtId="165" xfId="0" applyBorder="1" applyFont="1" applyNumberFormat="1"/>
    <xf borderId="4" fillId="2" fontId="1" numFmtId="0" xfId="0" applyAlignment="1" applyBorder="1" applyFont="1">
      <alignment horizontal="center"/>
    </xf>
    <xf borderId="4" fillId="0" fontId="4" numFmtId="9" xfId="0" applyBorder="1" applyFont="1" applyNumberFormat="1"/>
    <xf borderId="4" fillId="3" fontId="4" numFmtId="10" xfId="0" applyBorder="1" applyFont="1" applyNumberFormat="1"/>
    <xf borderId="4" fillId="0" fontId="4" numFmtId="166" xfId="0" applyBorder="1" applyFont="1" applyNumberFormat="1"/>
    <xf borderId="4" fillId="0" fontId="4" numFmtId="3" xfId="0" applyBorder="1" applyFont="1" applyNumberFormat="1"/>
    <xf borderId="4" fillId="0" fontId="8" numFmtId="0" xfId="0" applyBorder="1" applyFont="1"/>
    <xf borderId="4" fillId="2" fontId="1" numFmtId="3" xfId="0" applyBorder="1" applyFont="1" applyNumberFormat="1"/>
    <xf borderId="4" fillId="4" fontId="4" numFmtId="10" xfId="0" applyBorder="1" applyFill="1" applyFont="1" applyNumberFormat="1"/>
    <xf borderId="4" fillId="2" fontId="1" numFmtId="0" xfId="0" applyAlignment="1" applyBorder="1" applyFont="1">
      <alignment horizontal="center" vertical="center"/>
    </xf>
    <xf borderId="4" fillId="3" fontId="4" numFmtId="0" xfId="0" applyBorder="1" applyFont="1"/>
    <xf borderId="4" fillId="3" fontId="4" numFmtId="2" xfId="0" applyBorder="1" applyFont="1" applyNumberFormat="1"/>
    <xf borderId="4" fillId="3" fontId="4" numFmtId="1" xfId="0" applyBorder="1" applyFont="1" applyNumberFormat="1"/>
    <xf borderId="4" fillId="3" fontId="4" numFmtId="3" xfId="0" applyBorder="1" applyFont="1" applyNumberFormat="1"/>
    <xf borderId="4" fillId="0" fontId="4" numFmtId="1" xfId="0" applyBorder="1" applyFont="1" applyNumberFormat="1"/>
    <xf borderId="4" fillId="2" fontId="1" numFmtId="1" xfId="0" applyBorder="1" applyFont="1" applyNumberFormat="1"/>
    <xf borderId="4" fillId="0" fontId="4" numFmtId="167" xfId="0" applyBorder="1" applyFont="1" applyNumberFormat="1"/>
    <xf borderId="4" fillId="2" fontId="4" numFmtId="0" xfId="0" applyBorder="1" applyFont="1"/>
    <xf borderId="4" fillId="3" fontId="4" numFmtId="9" xfId="0" applyBorder="1" applyFont="1" applyNumberFormat="1"/>
    <xf borderId="0" fillId="0" fontId="4" numFmtId="0" xfId="0" applyFont="1"/>
    <xf borderId="5" fillId="2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4" fillId="5" fontId="9" numFmtId="0" xfId="0" applyBorder="1" applyFill="1" applyFont="1"/>
    <xf borderId="1" fillId="3" fontId="4" numFmtId="0" xfId="0" applyAlignment="1" applyBorder="1" applyFont="1">
      <alignment horizontal="center"/>
    </xf>
    <xf borderId="4" fillId="0" fontId="7" numFmtId="1" xfId="0" applyBorder="1" applyFont="1" applyNumberFormat="1"/>
    <xf borderId="4" fillId="3" fontId="4" numFmtId="168" xfId="0" applyBorder="1" applyFont="1" applyNumberFormat="1"/>
    <xf borderId="4" fillId="0" fontId="3" numFmtId="1" xfId="0" applyBorder="1" applyFont="1" applyNumberFormat="1"/>
    <xf borderId="4" fillId="2" fontId="1" numFmtId="0" xfId="0" applyAlignment="1" applyBorder="1" applyFont="1">
      <alignment horizontal="center" shrinkToFit="0" vertical="center" wrapText="1"/>
    </xf>
    <xf borderId="0" fillId="0" fontId="10" numFmtId="0" xfId="0" applyFont="1"/>
    <xf borderId="4" fillId="2" fontId="1" numFmtId="10" xfId="0" applyBorder="1" applyFont="1" applyNumberFormat="1"/>
    <xf borderId="9" fillId="6" fontId="1" numFmtId="0" xfId="0" applyAlignment="1" applyBorder="1" applyFill="1" applyFont="1">
      <alignment horizontal="center"/>
    </xf>
    <xf borderId="4" fillId="0" fontId="3" numFmtId="3" xfId="0" applyBorder="1" applyFont="1" applyNumberFormat="1"/>
    <xf borderId="4" fillId="3" fontId="3" numFmtId="3" xfId="0" applyBorder="1" applyFont="1" applyNumberFormat="1"/>
    <xf borderId="9" fillId="6" fontId="1" numFmtId="3" xfId="0" applyBorder="1" applyFont="1" applyNumberFormat="1"/>
    <xf borderId="10" fillId="2" fontId="1" numFmtId="0" xfId="0" applyAlignment="1" applyBorder="1" applyFont="1">
      <alignment horizontal="center" vertical="center"/>
    </xf>
    <xf borderId="11" fillId="0" fontId="2" numFmtId="0" xfId="0" applyBorder="1" applyFont="1"/>
    <xf borderId="4" fillId="7" fontId="4" numFmtId="0" xfId="0" applyBorder="1" applyFill="1" applyFont="1"/>
    <xf borderId="10" fillId="3" fontId="4" numFmtId="3" xfId="0" applyAlignment="1" applyBorder="1" applyFont="1" applyNumberFormat="1">
      <alignment horizontal="center"/>
    </xf>
    <xf borderId="10" fillId="3" fontId="1" numFmtId="3" xfId="0" applyAlignment="1" applyBorder="1" applyFont="1" applyNumberFormat="1">
      <alignment horizontal="center"/>
    </xf>
    <xf borderId="12" fillId="0" fontId="2" numFmtId="0" xfId="0" applyBorder="1" applyFont="1"/>
    <xf borderId="4" fillId="8" fontId="4" numFmtId="0" xfId="0" applyBorder="1" applyFill="1" applyFont="1"/>
    <xf borderId="4" fillId="9" fontId="11" numFmtId="3" xfId="0" applyBorder="1" applyFill="1" applyFont="1" applyNumberFormat="1"/>
    <xf borderId="4" fillId="9" fontId="11" numFmtId="9" xfId="0" applyBorder="1" applyFont="1" applyNumberFormat="1"/>
    <xf borderId="4" fillId="2" fontId="1" numFmtId="9" xfId="0" applyBorder="1" applyFont="1" applyNumberFormat="1"/>
    <xf borderId="10" fillId="2" fontId="1" numFmtId="0" xfId="0" applyAlignment="1" applyBorder="1" applyFont="1">
      <alignment horizontal="center" shrinkToFit="0" vertical="center" wrapText="1"/>
    </xf>
    <xf borderId="0" fillId="0" fontId="1" numFmtId="0" xfId="0" applyFont="1"/>
    <xf borderId="4" fillId="10" fontId="4" numFmtId="0" xfId="0" applyBorder="1" applyFill="1" applyFont="1"/>
    <xf borderId="0" fillId="0" fontId="4" numFmtId="3" xfId="0" applyFont="1" applyNumberFormat="1"/>
    <xf borderId="0" fillId="0" fontId="4" numFmtId="169" xfId="0" applyFont="1" applyNumberFormat="1"/>
    <xf borderId="13" fillId="2" fontId="1" numFmtId="0" xfId="0" applyAlignment="1" applyBorder="1" applyFont="1">
      <alignment horizontal="center" vertical="center"/>
    </xf>
    <xf borderId="4" fillId="0" fontId="4" numFmtId="10" xfId="0" applyBorder="1" applyFont="1" applyNumberFormat="1"/>
    <xf borderId="4" fillId="3" fontId="4" numFmtId="3" xfId="0" applyAlignment="1" applyBorder="1" applyFont="1" applyNumberFormat="1">
      <alignment horizontal="right"/>
    </xf>
    <xf borderId="4" fillId="3" fontId="12" numFmtId="10" xfId="0" applyAlignment="1" applyBorder="1" applyFont="1" applyNumberFormat="1">
      <alignment horizontal="right"/>
    </xf>
    <xf borderId="4" fillId="3" fontId="4" numFmtId="10" xfId="0" applyAlignment="1" applyBorder="1" applyFont="1" applyNumberFormat="1">
      <alignment horizontal="right"/>
    </xf>
    <xf borderId="4" fillId="2" fontId="1" numFmtId="3" xfId="0" applyAlignment="1" applyBorder="1" applyFont="1" applyNumberFormat="1">
      <alignment horizontal="center"/>
    </xf>
    <xf borderId="4" fillId="3" fontId="4" numFmtId="165" xfId="0" applyBorder="1" applyFont="1" applyNumberFormat="1"/>
    <xf borderId="4" fillId="3" fontId="4" numFmtId="170" xfId="0" applyBorder="1" applyFont="1" applyNumberFormat="1"/>
    <xf borderId="4" fillId="4" fontId="13" numFmtId="0" xfId="0" applyBorder="1" applyFont="1"/>
    <xf borderId="4" fillId="4" fontId="13" numFmtId="3" xfId="0" applyBorder="1" applyFont="1" applyNumberFormat="1"/>
    <xf borderId="4" fillId="2" fontId="13" numFmtId="0" xfId="0" applyBorder="1" applyFont="1"/>
    <xf borderId="4" fillId="2" fontId="13" numFmtId="3" xfId="0" applyBorder="1" applyFont="1" applyNumberFormat="1"/>
    <xf borderId="4" fillId="2" fontId="4" numFmtId="3" xfId="0" applyBorder="1" applyFont="1" applyNumberFormat="1"/>
    <xf borderId="14" fillId="3" fontId="4" numFmtId="0" xfId="0" applyBorder="1" applyFont="1"/>
    <xf borderId="4" fillId="2" fontId="1" numFmtId="165" xfId="0" applyBorder="1" applyFont="1" applyNumberFormat="1"/>
    <xf borderId="4" fillId="3" fontId="1" numFmtId="165" xfId="0" applyBorder="1" applyFont="1" applyNumberFormat="1"/>
    <xf borderId="4" fillId="2" fontId="4" numFmtId="165" xfId="0" applyBorder="1" applyFont="1" applyNumberFormat="1"/>
    <xf borderId="10" fillId="3" fontId="4" numFmtId="0" xfId="0" applyAlignment="1" applyBorder="1" applyFont="1">
      <alignment horizontal="center"/>
    </xf>
    <xf borderId="4" fillId="3" fontId="4" numFmtId="0" xfId="0" applyAlignment="1" applyBorder="1" applyFont="1">
      <alignment shrinkToFit="0" wrapText="1"/>
    </xf>
    <xf borderId="15" fillId="0" fontId="2" numFmtId="0" xfId="0" applyBorder="1" applyFont="1"/>
    <xf borderId="4" fillId="0" fontId="4" numFmtId="2" xfId="0" applyBorder="1" applyFont="1" applyNumberFormat="1"/>
    <xf borderId="4" fillId="4" fontId="4" numFmtId="165" xfId="0" applyBorder="1" applyFont="1" applyNumberFormat="1"/>
    <xf borderId="4" fillId="4" fontId="4" numFmtId="9" xfId="0" applyBorder="1" applyFont="1" applyNumberFormat="1"/>
    <xf borderId="4" fillId="4" fontId="4" numFmtId="3" xfId="0" applyBorder="1" applyFont="1" applyNumberFormat="1"/>
    <xf borderId="4" fillId="0" fontId="4" numFmtId="2" xfId="0" applyAlignment="1" applyBorder="1" applyFont="1" applyNumberFormat="1">
      <alignment shrinkToFit="0" wrapText="1"/>
    </xf>
    <xf borderId="1" fillId="2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externalLink" Target="externalLinks/externalLink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'Presupuesto de ventas'!$C$4:$C$5</c:f>
            </c:strRef>
          </c:tx>
          <c:spPr>
            <a:solidFill>
              <a:schemeClr val="accent1"/>
            </a:solidFill>
          </c:spPr>
          <c:dPt>
            <c:idx val="0"/>
            <c:spPr>
              <a:solidFill>
                <a:srgbClr val="741B47"/>
              </a:solidFill>
            </c:spPr>
          </c:dPt>
          <c:cat>
            <c:strRef>
              <c:f>'Presupuesto de ventas'!$B$6:$B$7</c:f>
            </c:strRef>
          </c:cat>
          <c:val>
            <c:numRef>
              <c:f>'Presupuesto de ventas'!$C$6:$C$7</c:f>
              <c:numCache/>
            </c:numRef>
          </c:val>
        </c:ser>
        <c:ser>
          <c:idx val="1"/>
          <c:order val="1"/>
          <c:tx>
            <c:strRef>
              <c:f>'Presupuesto de ventas'!$E$4:$E$5</c:f>
            </c:strRef>
          </c:tx>
          <c:spPr>
            <a:solidFill>
              <a:schemeClr val="accent2"/>
            </a:solidFill>
          </c:spPr>
          <c:cat>
            <c:strRef>
              <c:f>'Presupuesto de ventas'!$B$6:$B$7</c:f>
            </c:strRef>
          </c:cat>
          <c:val>
            <c:numRef>
              <c:f>'Presupuesto de ventas'!$E$6:$E$7</c:f>
              <c:numCache/>
            </c:numRef>
          </c:val>
        </c:ser>
        <c:axId val="1385180123"/>
        <c:axId val="1164591869"/>
      </c:bar3DChart>
      <c:catAx>
        <c:axId val="13851801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4591869"/>
      </c:catAx>
      <c:valAx>
        <c:axId val="11645918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51801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	Costo de Insumos a 5 Años</a:t>
            </a:r>
          </a:p>
        </c:rich>
      </c:tx>
      <c:layout>
        <c:manualLayout>
          <c:xMode val="edge"/>
          <c:yMode val="edge"/>
          <c:x val="0.08593744531933507"/>
          <c:y val="0.009506831257113749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Costos Año 1</c:v>
          </c:tx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'Presupuesto de compras y ventas'!$D$14</c:f>
              <c:numCache/>
            </c:numRef>
          </c:val>
        </c:ser>
        <c:ser>
          <c:idx val="1"/>
          <c:order val="1"/>
          <c:tx>
            <c:v>Costos año 2</c:v>
          </c:tx>
          <c:spPr>
            <a:solidFill>
              <a:schemeClr val="accent2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'Presupuesto de compras y ventas'!$G$14</c:f>
              <c:numCache/>
            </c:numRef>
          </c:val>
        </c:ser>
        <c:ser>
          <c:idx val="2"/>
          <c:order val="2"/>
          <c:tx>
            <c:v>Costos Año 3</c:v>
          </c:tx>
          <c:spPr>
            <a:solidFill>
              <a:schemeClr val="accent3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'Presupuesto de compras y ventas'!$J$14</c:f>
              <c:numCache/>
            </c:numRef>
          </c:val>
        </c:ser>
        <c:ser>
          <c:idx val="3"/>
          <c:order val="3"/>
          <c:tx>
            <c:v>Costos Año 4</c:v>
          </c:tx>
          <c:spPr>
            <a:solidFill>
              <a:schemeClr val="accent4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'Presupuesto de compras y ventas'!$M$14</c:f>
              <c:numCache/>
            </c:numRef>
          </c:val>
        </c:ser>
        <c:ser>
          <c:idx val="4"/>
          <c:order val="4"/>
          <c:tx>
            <c:v>Costos Año 5</c:v>
          </c:tx>
          <c:spPr>
            <a:solidFill>
              <a:schemeClr val="accent5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'Presupuesto de compras y ventas'!$P$14</c:f>
              <c:numCache/>
            </c:numRef>
          </c:val>
        </c:ser>
        <c:axId val="747285544"/>
        <c:axId val="1018372548"/>
      </c:barChart>
      <c:catAx>
        <c:axId val="747285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18372548"/>
      </c:catAx>
      <c:valAx>
        <c:axId val="10183725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47285544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Presupuesto de ingreso a 5 Años</a:t>
            </a:r>
          </a:p>
        </c:rich>
      </c:tx>
      <c:layout>
        <c:manualLayout>
          <c:xMode val="edge"/>
          <c:yMode val="edge"/>
          <c:x val="0.37611789151356084"/>
          <c:y val="0.027777777777777776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Ventas año 1</c:v>
          </c:tx>
          <c:spPr>
            <a:solidFill>
              <a:schemeClr val="accent1"/>
            </a:solidFill>
          </c:spPr>
          <c:dPt>
            <c:idx val="0"/>
          </c:dPt>
          <c:dLbls>
            <c:dLbl>
              <c:idx val="0"/>
              <c:tx>
                <c:rich>
                  <a:bodyPr/>
                  <a:lstStyle/>
                  <a:p>
                    <a:pPr lvl="0">
                      <a:defRPr b="0" sz="900">
                        <a:solidFill>
                          <a:srgbClr val="000000"/>
                        </a:solidFill>
                        <a:latin typeface="+mn-lt"/>
                      </a:defRPr>
                    </a:pPr>
                    <a:r>
                      <a:rPr b="0" sz="900">
                        <a:solidFill>
                          <a:srgbClr val="000000"/>
                        </a:solidFill>
                        <a:latin typeface="+mn-lt"/>
                      </a:rPr>
                      <a:t>º</a:t>
                    </a:r>
                  </a:p>
                </c:rich>
              </c:tx>
              <c:numFmt formatCode="General" sourceLinked="1"/>
              <c:txPr>
                <a:bodyPr/>
                <a:lstStyle/>
                <a:p>
                  <a:pPr lvl="0">
                    <a:defRPr b="0" i="0" sz="900">
                      <a:latin typeface="+mn-lt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'Presupuesto de compras y ventas'!$E$14</c:f>
              <c:numCache/>
            </c:numRef>
          </c:val>
        </c:ser>
        <c:ser>
          <c:idx val="1"/>
          <c:order val="1"/>
          <c:tx>
            <c:v>Ventas año 2</c:v>
          </c:tx>
          <c:spPr>
            <a:solidFill>
              <a:schemeClr val="accent2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'Presupuesto de compras y ventas'!$H$14</c:f>
              <c:numCache/>
            </c:numRef>
          </c:val>
        </c:ser>
        <c:ser>
          <c:idx val="2"/>
          <c:order val="2"/>
          <c:tx>
            <c:v>Ventas año 3</c:v>
          </c:tx>
          <c:spPr>
            <a:solidFill>
              <a:schemeClr val="accent3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'Presupuesto de compras y ventas'!$K$14</c:f>
              <c:numCache/>
            </c:numRef>
          </c:val>
        </c:ser>
        <c:ser>
          <c:idx val="3"/>
          <c:order val="3"/>
          <c:tx>
            <c:v>Ventas año 4</c:v>
          </c:tx>
          <c:spPr>
            <a:solidFill>
              <a:schemeClr val="accent4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'Presupuesto de compras y ventas'!$N$14</c:f>
              <c:numCache/>
            </c:numRef>
          </c:val>
        </c:ser>
        <c:ser>
          <c:idx val="4"/>
          <c:order val="4"/>
          <c:tx>
            <c:v>Ventas años 5</c:v>
          </c:tx>
          <c:spPr>
            <a:solidFill>
              <a:schemeClr val="accent5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'Presupuesto de compras y ventas'!$Q$14</c:f>
              <c:numCache/>
            </c:numRef>
          </c:val>
        </c:ser>
        <c:axId val="1457398376"/>
        <c:axId val="923790953"/>
      </c:barChart>
      <c:catAx>
        <c:axId val="1457398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23790953"/>
      </c:catAx>
      <c:valAx>
        <c:axId val="9237909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57398376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Ventas Anualizadas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Ventas año 1</c:v>
          </c:tx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'Presupuesto de compras y ventas'!$E$47</c:f>
              <c:numCache/>
            </c:numRef>
          </c:val>
        </c:ser>
        <c:ser>
          <c:idx val="1"/>
          <c:order val="1"/>
          <c:tx>
            <c:v>Ventas año 2</c:v>
          </c:tx>
          <c:spPr>
            <a:solidFill>
              <a:schemeClr val="accent2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'Presupuesto de compras y ventas'!$H$47</c:f>
              <c:numCache/>
            </c:numRef>
          </c:val>
        </c:ser>
        <c:ser>
          <c:idx val="2"/>
          <c:order val="2"/>
          <c:tx>
            <c:v>Ventas año 3</c:v>
          </c:tx>
          <c:spPr>
            <a:solidFill>
              <a:schemeClr val="accent3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'Presupuesto de compras y ventas'!$K$47</c:f>
              <c:numCache/>
            </c:numRef>
          </c:val>
        </c:ser>
        <c:ser>
          <c:idx val="3"/>
          <c:order val="3"/>
          <c:tx>
            <c:v>Ventas año 4</c:v>
          </c:tx>
          <c:spPr>
            <a:solidFill>
              <a:schemeClr val="accent4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'Presupuesto de compras y ventas'!$N$47</c:f>
              <c:numCache/>
            </c:numRef>
          </c:val>
        </c:ser>
        <c:ser>
          <c:idx val="4"/>
          <c:order val="4"/>
          <c:tx>
            <c:v>Ventas año 5</c:v>
          </c:tx>
          <c:spPr>
            <a:solidFill>
              <a:schemeClr val="accent5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'Presupuesto de compras y ventas'!$Q$47</c:f>
              <c:numCache/>
            </c:numRef>
          </c:val>
        </c:ser>
        <c:axId val="1542495345"/>
        <c:axId val="1828137635"/>
      </c:barChart>
      <c:catAx>
        <c:axId val="15424953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28137635"/>
      </c:catAx>
      <c:valAx>
        <c:axId val="18281376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42495345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Presupuestos de Costos y Gastos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Costos</c:v>
          </c:tx>
          <c:spPr>
            <a:solidFill>
              <a:schemeClr val="accent2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'Presupuesto de Costos y G año 1'!$D$13:$H$13</c:f>
              <c:numCache/>
            </c:numRef>
          </c:val>
        </c:ser>
        <c:ser>
          <c:idx val="1"/>
          <c:order val="1"/>
          <c:tx>
            <c:v>Administracion</c:v>
          </c:tx>
          <c:spPr>
            <a:solidFill>
              <a:schemeClr val="accent4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'Presupuesto de Costos y G año 1'!$D$24:$H$24</c:f>
              <c:numCache/>
            </c:numRef>
          </c:val>
        </c:ser>
        <c:ser>
          <c:idx val="2"/>
          <c:order val="2"/>
          <c:tx>
            <c:v>Ventas</c:v>
          </c:tx>
          <c:spPr>
            <a:solidFill>
              <a:schemeClr val="accent6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'Presupuesto de Costos y G año 1'!$D$35:$H$35</c:f>
              <c:numCache/>
            </c:numRef>
          </c:val>
        </c:ser>
        <c:ser>
          <c:idx val="3"/>
          <c:order val="3"/>
          <c:tx>
            <c:v>Otros Gastos</c:v>
          </c:tx>
          <c:spPr>
            <a:solidFill>
              <a:schemeClr val="accent2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'Presupuesto de Costos y G año 1'!$D$43:$H$43</c:f>
              <c:numCache/>
            </c:numRef>
          </c:val>
        </c:ser>
        <c:axId val="140508638"/>
        <c:axId val="1755956641"/>
      </c:barChart>
      <c:catAx>
        <c:axId val="1405086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55956641"/>
      </c:catAx>
      <c:valAx>
        <c:axId val="17559566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0508638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838200</xdr:colOff>
      <xdr:row>12</xdr:row>
      <xdr:rowOff>47625</xdr:rowOff>
    </xdr:from>
    <xdr:ext cx="5372100" cy="3314700"/>
    <xdr:graphicFrame>
      <xdr:nvGraphicFramePr>
        <xdr:cNvPr id="281549626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619125</xdr:colOff>
      <xdr:row>14</xdr:row>
      <xdr:rowOff>180975</xdr:rowOff>
    </xdr:from>
    <xdr:ext cx="6057900" cy="2819400"/>
    <xdr:graphicFrame>
      <xdr:nvGraphicFramePr>
        <xdr:cNvPr id="160124690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381000</xdr:colOff>
      <xdr:row>14</xdr:row>
      <xdr:rowOff>180975</xdr:rowOff>
    </xdr:from>
    <xdr:ext cx="6353175" cy="2828925"/>
    <xdr:graphicFrame>
      <xdr:nvGraphicFramePr>
        <xdr:cNvPr id="1088418859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752475</xdr:colOff>
      <xdr:row>50</xdr:row>
      <xdr:rowOff>0</xdr:rowOff>
    </xdr:from>
    <xdr:ext cx="7467600" cy="2800350"/>
    <xdr:graphicFrame>
      <xdr:nvGraphicFramePr>
        <xdr:cNvPr id="1310268977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209550</xdr:colOff>
      <xdr:row>18</xdr:row>
      <xdr:rowOff>47625</xdr:rowOff>
    </xdr:from>
    <xdr:ext cx="8362950" cy="5200650"/>
    <xdr:graphicFrame>
      <xdr:nvGraphicFramePr>
        <xdr:cNvPr id="210563829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Plan%20de%20Inversion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lan de Invers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8.63"/>
    <col customWidth="1" min="3" max="3" width="29.75"/>
    <col customWidth="1" min="4" max="4" width="20.25"/>
    <col customWidth="1" min="5" max="5" width="29.75"/>
    <col customWidth="1" min="6" max="6" width="21.75"/>
    <col customWidth="1" min="7" max="7" width="24.25"/>
    <col customWidth="1" min="8" max="8" width="9.38"/>
    <col customWidth="1" min="9" max="9" width="9.25"/>
    <col customWidth="1" min="10" max="26" width="9.38"/>
  </cols>
  <sheetData>
    <row r="3">
      <c r="B3" s="1" t="s">
        <v>0</v>
      </c>
      <c r="C3" s="2"/>
      <c r="D3" s="2"/>
      <c r="E3" s="2"/>
      <c r="F3" s="2"/>
      <c r="G3" s="3"/>
    </row>
    <row r="4">
      <c r="B4" s="4" t="s">
        <v>1</v>
      </c>
      <c r="C4" s="2"/>
      <c r="D4" s="2"/>
      <c r="E4" s="2"/>
      <c r="F4" s="2"/>
      <c r="G4" s="3"/>
    </row>
    <row r="5">
      <c r="B5" s="5" t="s">
        <v>2</v>
      </c>
      <c r="C5" s="6" t="s">
        <v>3</v>
      </c>
      <c r="D5" s="5" t="s">
        <v>4</v>
      </c>
      <c r="E5" s="7" t="s">
        <v>5</v>
      </c>
      <c r="F5" s="5" t="s">
        <v>6</v>
      </c>
      <c r="G5" s="8">
        <v>1.000156962E9</v>
      </c>
      <c r="I5" s="9" t="s">
        <v>5</v>
      </c>
    </row>
    <row r="6">
      <c r="B6" s="5" t="s">
        <v>7</v>
      </c>
      <c r="C6" s="10" t="s">
        <v>8</v>
      </c>
      <c r="D6" s="5" t="s">
        <v>9</v>
      </c>
      <c r="E6" s="11">
        <v>0.0</v>
      </c>
      <c r="F6" s="5" t="s">
        <v>10</v>
      </c>
      <c r="G6" s="12">
        <v>37153.0</v>
      </c>
      <c r="I6" s="9" t="s">
        <v>11</v>
      </c>
    </row>
    <row r="7">
      <c r="B7" s="5" t="s">
        <v>12</v>
      </c>
      <c r="C7" s="7"/>
      <c r="D7" s="5" t="s">
        <v>13</v>
      </c>
      <c r="E7" s="7"/>
      <c r="F7" s="5" t="s">
        <v>14</v>
      </c>
      <c r="G7" s="13"/>
      <c r="I7" s="9" t="s">
        <v>15</v>
      </c>
    </row>
    <row r="8">
      <c r="B8" s="5" t="s">
        <v>16</v>
      </c>
      <c r="C8" s="7"/>
      <c r="D8" s="5" t="s">
        <v>17</v>
      </c>
      <c r="E8" s="7"/>
      <c r="F8" s="5" t="s">
        <v>18</v>
      </c>
      <c r="G8" s="14"/>
    </row>
    <row r="9">
      <c r="B9" s="5" t="s">
        <v>19</v>
      </c>
      <c r="C9" s="10" t="s">
        <v>20</v>
      </c>
      <c r="D9" s="5" t="s">
        <v>21</v>
      </c>
      <c r="E9" s="7"/>
      <c r="F9" s="5"/>
      <c r="G9" s="14"/>
    </row>
    <row r="10">
      <c r="B10" s="1" t="s">
        <v>22</v>
      </c>
      <c r="C10" s="2"/>
      <c r="D10" s="2"/>
      <c r="E10" s="2"/>
      <c r="F10" s="2"/>
      <c r="G10" s="3"/>
      <c r="I10" s="9" t="s">
        <v>23</v>
      </c>
    </row>
    <row r="11">
      <c r="B11" s="5" t="s">
        <v>24</v>
      </c>
      <c r="C11" s="10" t="s">
        <v>25</v>
      </c>
      <c r="D11" s="5" t="s">
        <v>26</v>
      </c>
      <c r="E11" s="7"/>
      <c r="F11" s="5" t="s">
        <v>27</v>
      </c>
      <c r="G11" s="7"/>
      <c r="I11" s="9" t="s">
        <v>20</v>
      </c>
    </row>
    <row r="12">
      <c r="B12" s="5" t="s">
        <v>28</v>
      </c>
      <c r="C12" s="7"/>
      <c r="D12" s="5" t="s">
        <v>29</v>
      </c>
      <c r="E12" s="7"/>
      <c r="F12" s="5"/>
      <c r="G12" s="7"/>
      <c r="I12" s="9" t="s">
        <v>30</v>
      </c>
    </row>
    <row r="13">
      <c r="B13" s="1" t="s">
        <v>31</v>
      </c>
      <c r="C13" s="2"/>
      <c r="D13" s="2"/>
      <c r="E13" s="2"/>
      <c r="F13" s="2"/>
      <c r="G13" s="3"/>
    </row>
    <row r="14">
      <c r="B14" s="5" t="s">
        <v>2</v>
      </c>
      <c r="C14" s="7"/>
      <c r="D14" s="5" t="s">
        <v>32</v>
      </c>
      <c r="E14" s="15"/>
      <c r="F14" s="5" t="s">
        <v>17</v>
      </c>
      <c r="G14" s="7"/>
    </row>
    <row r="15">
      <c r="B15" s="5" t="s">
        <v>2</v>
      </c>
      <c r="C15" s="7"/>
      <c r="D15" s="5" t="s">
        <v>32</v>
      </c>
      <c r="E15" s="7"/>
      <c r="F15" s="5" t="s">
        <v>17</v>
      </c>
      <c r="G15" s="7"/>
      <c r="I15" s="9" t="s">
        <v>25</v>
      </c>
    </row>
    <row r="16">
      <c r="B16" s="1" t="s">
        <v>33</v>
      </c>
      <c r="C16" s="2"/>
      <c r="D16" s="2"/>
      <c r="E16" s="2"/>
      <c r="F16" s="2"/>
      <c r="G16" s="3"/>
      <c r="I16" s="9" t="s">
        <v>34</v>
      </c>
    </row>
    <row r="17">
      <c r="B17" s="5" t="s">
        <v>35</v>
      </c>
      <c r="C17" s="7"/>
      <c r="D17" s="5" t="s">
        <v>36</v>
      </c>
      <c r="E17" s="16"/>
      <c r="F17" s="2"/>
      <c r="G17" s="3"/>
      <c r="I17" s="9" t="s">
        <v>37</v>
      </c>
    </row>
    <row r="18">
      <c r="B18" s="5" t="s">
        <v>38</v>
      </c>
      <c r="C18" s="7"/>
      <c r="D18" s="5" t="s">
        <v>39</v>
      </c>
      <c r="E18" s="16"/>
      <c r="F18" s="2"/>
      <c r="G18" s="3"/>
      <c r="I18" s="9" t="s">
        <v>30</v>
      </c>
    </row>
    <row r="19">
      <c r="B19" s="5" t="s">
        <v>40</v>
      </c>
      <c r="C19" s="7"/>
      <c r="D19" s="5" t="s">
        <v>39</v>
      </c>
      <c r="E19" s="16"/>
      <c r="F19" s="2"/>
      <c r="G19" s="3"/>
    </row>
    <row r="21" ht="15.75" customHeight="1">
      <c r="B21" s="1" t="s">
        <v>41</v>
      </c>
      <c r="C21" s="2"/>
      <c r="D21" s="2"/>
      <c r="E21" s="2"/>
      <c r="F21" s="2"/>
      <c r="G21" s="3"/>
      <c r="I21" s="9" t="s">
        <v>42</v>
      </c>
    </row>
    <row r="22" ht="15.75" customHeight="1">
      <c r="B22" s="5" t="s">
        <v>43</v>
      </c>
      <c r="C22" s="10" t="s">
        <v>44</v>
      </c>
      <c r="D22" s="5" t="s">
        <v>45</v>
      </c>
      <c r="E22" s="7"/>
      <c r="F22" s="5" t="s">
        <v>46</v>
      </c>
      <c r="G22" s="7"/>
      <c r="I22" s="9" t="s">
        <v>8</v>
      </c>
    </row>
    <row r="23" ht="15.75" customHeight="1">
      <c r="B23" s="5" t="s">
        <v>47</v>
      </c>
      <c r="C23" s="15" t="s">
        <v>48</v>
      </c>
      <c r="D23" s="5" t="s">
        <v>49</v>
      </c>
      <c r="E23" s="17"/>
      <c r="F23" s="5" t="s">
        <v>17</v>
      </c>
      <c r="G23" s="7"/>
      <c r="I23" s="9" t="s">
        <v>50</v>
      </c>
    </row>
    <row r="24" ht="15.75" customHeight="1">
      <c r="I24" s="9" t="s">
        <v>51</v>
      </c>
    </row>
    <row r="25" ht="15.75" customHeight="1">
      <c r="B25" s="1" t="s">
        <v>52</v>
      </c>
      <c r="C25" s="2"/>
      <c r="D25" s="2"/>
      <c r="E25" s="2"/>
      <c r="F25" s="2"/>
      <c r="G25" s="3"/>
    </row>
    <row r="26" ht="15.75" customHeight="1">
      <c r="B26" s="5" t="s">
        <v>53</v>
      </c>
      <c r="C26" s="7" t="s">
        <v>54</v>
      </c>
      <c r="D26" s="5" t="s">
        <v>55</v>
      </c>
      <c r="E26" s="7" t="s">
        <v>56</v>
      </c>
      <c r="F26" s="5" t="s">
        <v>57</v>
      </c>
      <c r="G26" s="7">
        <v>3.203159455E9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E19:G19"/>
    <mergeCell ref="B21:G21"/>
    <mergeCell ref="B25:G25"/>
    <mergeCell ref="B3:G3"/>
    <mergeCell ref="B4:G4"/>
    <mergeCell ref="B10:G10"/>
    <mergeCell ref="B13:G13"/>
    <mergeCell ref="B16:G16"/>
    <mergeCell ref="E17:G17"/>
    <mergeCell ref="E18:G18"/>
  </mergeCells>
  <dataValidations>
    <dataValidation type="list" allowBlank="1" showErrorMessage="1" sqref="C9">
      <formula1>$I$10:$I$12</formula1>
    </dataValidation>
    <dataValidation type="list" allowBlank="1" showErrorMessage="1" sqref="C11">
      <formula1>$I$15:$I$18</formula1>
    </dataValidation>
    <dataValidation type="list" allowBlank="1" showInputMessage="1" prompt="Seleccione el tipo de Documento" sqref="E5">
      <formula1>$I$5:$I$7</formula1>
    </dataValidation>
    <dataValidation type="list" allowBlank="1" showErrorMessage="1" sqref="C6">
      <formula1>$I$21:$I$24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6.13"/>
    <col customWidth="1" min="3" max="3" width="36.38"/>
    <col customWidth="1" min="4" max="4" width="27.5"/>
    <col customWidth="1" min="5" max="5" width="39.75"/>
    <col customWidth="1" min="6" max="6" width="39.0"/>
    <col customWidth="1" min="7" max="7" width="22.13"/>
    <col customWidth="1" min="8" max="8" width="23.38"/>
    <col customWidth="1" min="9" max="9" width="24.5"/>
    <col customWidth="1" min="10" max="10" width="14.5"/>
    <col customWidth="1" min="11" max="26" width="9.38"/>
  </cols>
  <sheetData>
    <row r="2">
      <c r="B2" s="5" t="s">
        <v>58</v>
      </c>
      <c r="C2" s="18" t="str">
        <f>'Datos Personales'!C22</f>
        <v>neo library</v>
      </c>
    </row>
    <row r="4">
      <c r="B4" s="1" t="s">
        <v>59</v>
      </c>
      <c r="C4" s="2"/>
      <c r="D4" s="2"/>
      <c r="E4" s="2"/>
      <c r="F4" s="2"/>
      <c r="G4" s="3"/>
      <c r="I4" s="7" t="s">
        <v>60</v>
      </c>
      <c r="J4" s="19">
        <f t="array" ref="J4">NPV(8%,'Flujo de Caja Mensual'!D69:N69)</f>
        <v>247815640.4</v>
      </c>
    </row>
    <row r="5">
      <c r="B5" s="20" t="s">
        <v>61</v>
      </c>
      <c r="C5" s="20" t="s">
        <v>62</v>
      </c>
      <c r="D5" s="20" t="s">
        <v>63</v>
      </c>
      <c r="E5" s="20" t="s">
        <v>64</v>
      </c>
      <c r="F5" s="20" t="s">
        <v>65</v>
      </c>
      <c r="G5" s="20" t="s">
        <v>66</v>
      </c>
      <c r="I5" s="7" t="s">
        <v>67</v>
      </c>
      <c r="J5" s="21">
        <f>IRR('Flujo de Caja Mensual'!C68:N68)</f>
        <v>1.775697705</v>
      </c>
    </row>
    <row r="6">
      <c r="B6" s="10" t="s">
        <v>44</v>
      </c>
      <c r="C6" s="8">
        <v>2000.0</v>
      </c>
      <c r="D6" s="7">
        <v>1.0</v>
      </c>
      <c r="E6" s="8">
        <v>100.0</v>
      </c>
      <c r="F6" s="22">
        <f>E6/(C6*D6)</f>
        <v>0.05</v>
      </c>
      <c r="G6" s="23">
        <f>E6/12</f>
        <v>8.333333333</v>
      </c>
      <c r="I6" s="7" t="s">
        <v>68</v>
      </c>
      <c r="J6" s="24">
        <f>'Indicadiores financieros'!H49</f>
        <v>82078815.43</v>
      </c>
    </row>
    <row r="7">
      <c r="B7" s="7"/>
      <c r="C7" s="24"/>
      <c r="D7" s="7"/>
      <c r="E7" s="8"/>
      <c r="F7" s="22"/>
      <c r="G7" s="23"/>
    </row>
    <row r="8">
      <c r="B8" s="7"/>
      <c r="C8" s="24"/>
      <c r="D8" s="7"/>
      <c r="E8" s="24"/>
      <c r="F8" s="22"/>
      <c r="G8" s="23"/>
    </row>
    <row r="9">
      <c r="B9" s="7"/>
      <c r="C9" s="24"/>
      <c r="D9" s="7"/>
      <c r="E9" s="24"/>
      <c r="F9" s="22"/>
      <c r="G9" s="23"/>
    </row>
    <row r="10">
      <c r="B10" s="7"/>
      <c r="C10" s="25">
        <f>+C8*0.57</f>
        <v>0</v>
      </c>
      <c r="D10" s="7"/>
      <c r="E10" s="24"/>
      <c r="F10" s="22"/>
      <c r="G10" s="24"/>
    </row>
    <row r="11">
      <c r="B11" s="7"/>
      <c r="C11" s="7"/>
      <c r="D11" s="7"/>
      <c r="E11" s="24"/>
      <c r="F11" s="22"/>
      <c r="G11" s="24"/>
    </row>
    <row r="12">
      <c r="B12" s="5" t="s">
        <v>69</v>
      </c>
      <c r="C12" s="26">
        <f>SUM(C6:C9)</f>
        <v>2000</v>
      </c>
      <c r="D12" s="5">
        <v>1.0</v>
      </c>
      <c r="E12" s="26">
        <f>SUM(E6:E11)</f>
        <v>100</v>
      </c>
      <c r="F12" s="27">
        <f>E12/(C12*D12)</f>
        <v>0.05</v>
      </c>
      <c r="G12" s="26">
        <f>SUM(G6:G11)</f>
        <v>8.333333333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>
      <c r="B31" s="1" t="s">
        <v>70</v>
      </c>
      <c r="C31" s="2"/>
      <c r="D31" s="2"/>
      <c r="E31" s="2"/>
      <c r="F31" s="2"/>
      <c r="G31" s="2"/>
      <c r="H31" s="3"/>
    </row>
    <row r="32" ht="15.75" customHeight="1">
      <c r="B32" s="5" t="s">
        <v>61</v>
      </c>
      <c r="C32" s="28" t="s">
        <v>71</v>
      </c>
      <c r="D32" s="28" t="s">
        <v>72</v>
      </c>
      <c r="E32" s="5" t="s">
        <v>73</v>
      </c>
      <c r="F32" s="28" t="s">
        <v>74</v>
      </c>
      <c r="G32" s="28" t="s">
        <v>75</v>
      </c>
      <c r="H32" s="28" t="s">
        <v>76</v>
      </c>
    </row>
    <row r="33" ht="15.75" customHeight="1">
      <c r="B33" s="29" t="str">
        <f>B6</f>
        <v>neo library</v>
      </c>
      <c r="C33" s="24">
        <v>1900.0</v>
      </c>
      <c r="D33" s="30">
        <f>(0.99*C50)/C33</f>
        <v>0.05210526316</v>
      </c>
      <c r="E33" s="31">
        <f>(C33*D33)</f>
        <v>99</v>
      </c>
      <c r="F33" s="21">
        <v>1.0</v>
      </c>
      <c r="G33" s="32">
        <f>E33*F33</f>
        <v>99</v>
      </c>
      <c r="H33" s="32">
        <f>E6</f>
        <v>100</v>
      </c>
    </row>
    <row r="34" ht="15.75" customHeight="1">
      <c r="B34" s="29"/>
      <c r="C34" s="24"/>
      <c r="D34" s="30"/>
      <c r="E34" s="31"/>
      <c r="F34" s="21"/>
      <c r="G34" s="32"/>
      <c r="H34" s="32"/>
    </row>
    <row r="35" ht="15.75" customHeight="1">
      <c r="B35" s="29"/>
      <c r="C35" s="24"/>
      <c r="D35" s="30"/>
      <c r="E35" s="31"/>
      <c r="F35" s="21"/>
      <c r="G35" s="32"/>
      <c r="H35" s="32"/>
    </row>
    <row r="36" ht="15.75" customHeight="1">
      <c r="B36" s="29"/>
      <c r="C36" s="24"/>
      <c r="D36" s="30"/>
      <c r="E36" s="31"/>
      <c r="F36" s="21"/>
      <c r="G36" s="32"/>
      <c r="H36" s="32"/>
    </row>
    <row r="37" ht="15.75" customHeight="1">
      <c r="B37" s="29"/>
      <c r="C37" s="7"/>
      <c r="D37" s="32"/>
      <c r="E37" s="30"/>
      <c r="F37" s="33"/>
      <c r="G37" s="32"/>
      <c r="H37" s="32"/>
    </row>
    <row r="38" ht="15.75" customHeight="1">
      <c r="B38" s="29"/>
      <c r="C38" s="7"/>
      <c r="D38" s="32"/>
      <c r="E38" s="30"/>
      <c r="F38" s="33"/>
      <c r="G38" s="32"/>
      <c r="H38" s="32"/>
    </row>
    <row r="39" ht="15.75" customHeight="1">
      <c r="B39" s="5" t="str">
        <f>B12</f>
        <v>Totales</v>
      </c>
      <c r="C39" s="5"/>
      <c r="D39" s="5"/>
      <c r="E39" s="34">
        <f>SUM(E33:E38)</f>
        <v>99</v>
      </c>
      <c r="F39" s="34"/>
      <c r="G39" s="26">
        <f t="shared" ref="G39:H39" si="1">SUM(G33:G38)</f>
        <v>99</v>
      </c>
      <c r="H39" s="26">
        <f t="shared" si="1"/>
        <v>100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>
      <c r="B48" s="1" t="s">
        <v>77</v>
      </c>
      <c r="C48" s="2"/>
      <c r="D48" s="2"/>
      <c r="E48" s="3"/>
    </row>
    <row r="49" ht="15.75" customHeight="1">
      <c r="B49" s="5" t="s">
        <v>61</v>
      </c>
      <c r="C49" s="28" t="s">
        <v>78</v>
      </c>
      <c r="D49" s="28" t="s">
        <v>79</v>
      </c>
      <c r="E49" s="28" t="s">
        <v>80</v>
      </c>
    </row>
    <row r="50" ht="15.75" customHeight="1">
      <c r="B50" s="29" t="str">
        <f>B33</f>
        <v>neo library</v>
      </c>
      <c r="C50" s="32">
        <f>E6</f>
        <v>100</v>
      </c>
      <c r="D50" s="8">
        <v>1500000.0</v>
      </c>
      <c r="E50" s="32">
        <f>(C50*D50)</f>
        <v>150000000</v>
      </c>
    </row>
    <row r="51" ht="15.75" customHeight="1">
      <c r="B51" s="29"/>
      <c r="C51" s="32"/>
      <c r="D51" s="35"/>
      <c r="E51" s="32"/>
    </row>
    <row r="52" ht="15.75" customHeight="1">
      <c r="B52" s="29"/>
      <c r="C52" s="32"/>
      <c r="D52" s="35"/>
      <c r="E52" s="32"/>
    </row>
    <row r="53" ht="15.75" customHeight="1">
      <c r="B53" s="29"/>
      <c r="C53" s="32"/>
      <c r="D53" s="35"/>
      <c r="E53" s="32"/>
    </row>
    <row r="54" ht="15.75" customHeight="1">
      <c r="B54" s="29"/>
      <c r="C54" s="29"/>
      <c r="D54" s="24"/>
      <c r="E54" s="32"/>
    </row>
    <row r="55" ht="15.75" customHeight="1">
      <c r="B55" s="29"/>
      <c r="C55" s="29"/>
      <c r="D55" s="24"/>
      <c r="E55" s="32"/>
    </row>
    <row r="56" ht="15.75" customHeight="1">
      <c r="B56" s="5" t="s">
        <v>69</v>
      </c>
      <c r="C56" s="26">
        <f t="shared" ref="C56:E56" si="2">SUM(C50:C55)</f>
        <v>100</v>
      </c>
      <c r="D56" s="26">
        <f t="shared" si="2"/>
        <v>1500000</v>
      </c>
      <c r="E56" s="26">
        <f t="shared" si="2"/>
        <v>150000000</v>
      </c>
    </row>
    <row r="57" ht="15.75" customHeight="1"/>
    <row r="58" ht="15.75" customHeight="1"/>
    <row r="59" ht="15.75" customHeight="1"/>
    <row r="60" ht="15.75" customHeight="1">
      <c r="B60" s="5" t="s">
        <v>81</v>
      </c>
      <c r="C60" s="20" t="s">
        <v>82</v>
      </c>
      <c r="D60" s="20" t="s">
        <v>83</v>
      </c>
    </row>
    <row r="61" ht="15.75" customHeight="1">
      <c r="B61" s="36" t="s">
        <v>84</v>
      </c>
      <c r="C61" s="21">
        <v>0.03</v>
      </c>
      <c r="D61" s="37">
        <f t="shared" ref="D61:D64" si="3">C61+1</f>
        <v>1.03</v>
      </c>
    </row>
    <row r="62" ht="15.75" customHeight="1">
      <c r="B62" s="36" t="s">
        <v>85</v>
      </c>
      <c r="C62" s="21">
        <v>0.03</v>
      </c>
      <c r="D62" s="37">
        <f t="shared" si="3"/>
        <v>1.03</v>
      </c>
    </row>
    <row r="63" ht="15.75" customHeight="1">
      <c r="B63" s="36" t="s">
        <v>86</v>
      </c>
      <c r="C63" s="21">
        <v>0.03</v>
      </c>
      <c r="D63" s="37">
        <f t="shared" si="3"/>
        <v>1.03</v>
      </c>
    </row>
    <row r="64" ht="15.75" customHeight="1">
      <c r="B64" s="36" t="s">
        <v>87</v>
      </c>
      <c r="C64" s="21">
        <v>0.03</v>
      </c>
      <c r="D64" s="37">
        <f t="shared" si="3"/>
        <v>1.03</v>
      </c>
    </row>
    <row r="65" ht="15.75" customHeight="1">
      <c r="B65" s="38"/>
      <c r="C65" s="38" t="s">
        <v>88</v>
      </c>
      <c r="D65" s="38"/>
    </row>
    <row r="66" ht="15.75" customHeight="1"/>
    <row r="67" ht="15.75" customHeight="1"/>
    <row r="68" ht="15.75" customHeight="1"/>
    <row r="69" ht="15.75" customHeight="1"/>
    <row r="70" ht="15.75" customHeight="1">
      <c r="B70" s="1" t="s">
        <v>89</v>
      </c>
      <c r="C70" s="3"/>
    </row>
    <row r="71" ht="15.75" customHeight="1"/>
    <row r="72" ht="15.75" customHeight="1">
      <c r="B72" s="5" t="s">
        <v>90</v>
      </c>
      <c r="C72" s="5" t="s">
        <v>91</v>
      </c>
    </row>
    <row r="73" ht="15.75" customHeight="1">
      <c r="B73" s="36" t="s">
        <v>92</v>
      </c>
      <c r="C73" s="29">
        <v>9.0</v>
      </c>
    </row>
    <row r="74" ht="15.75" customHeight="1">
      <c r="B74" s="36" t="s">
        <v>93</v>
      </c>
      <c r="C74" s="29">
        <v>7.0</v>
      </c>
    </row>
    <row r="75" ht="15.75" customHeight="1">
      <c r="B75" s="36" t="s">
        <v>94</v>
      </c>
      <c r="C75" s="29">
        <v>5.0</v>
      </c>
    </row>
    <row r="76" ht="15.75" customHeight="1">
      <c r="B76" s="36" t="s">
        <v>95</v>
      </c>
      <c r="C76" s="29">
        <v>3.0</v>
      </c>
    </row>
    <row r="77" ht="15.75" customHeight="1"/>
    <row r="78" ht="15.75" customHeight="1">
      <c r="B78" s="39" t="s">
        <v>96</v>
      </c>
      <c r="C78" s="40"/>
      <c r="D78" s="20" t="s">
        <v>97</v>
      </c>
      <c r="E78" s="20" t="s">
        <v>97</v>
      </c>
    </row>
    <row r="79" ht="15.75" customHeight="1">
      <c r="B79" s="41"/>
      <c r="C79" s="42"/>
      <c r="D79" s="20" t="s">
        <v>98</v>
      </c>
      <c r="E79" s="20" t="s">
        <v>99</v>
      </c>
    </row>
    <row r="80" ht="15.75" customHeight="1">
      <c r="B80" s="36" t="s">
        <v>100</v>
      </c>
      <c r="C80" s="7">
        <v>5.0</v>
      </c>
      <c r="D80" s="31">
        <f>IF(C92&gt;0,(C80/C92)*C56,)</f>
        <v>8.333333333</v>
      </c>
      <c r="E80" s="32">
        <f>IF(D92&gt;0,(E56*D80)/D92)</f>
        <v>12500000</v>
      </c>
    </row>
    <row r="81" ht="15.75" customHeight="1">
      <c r="B81" s="36" t="s">
        <v>101</v>
      </c>
      <c r="C81" s="7">
        <v>5.0</v>
      </c>
      <c r="D81" s="31">
        <f>IF(C92&gt;0,(C81/C92)*C56,)</f>
        <v>8.333333333</v>
      </c>
      <c r="E81" s="32">
        <f>IF(D92&gt;0,(E56*D81)/D92)</f>
        <v>12500000</v>
      </c>
    </row>
    <row r="82" ht="15.75" customHeight="1">
      <c r="B82" s="36" t="s">
        <v>102</v>
      </c>
      <c r="C82" s="7">
        <v>5.0</v>
      </c>
      <c r="D82" s="31">
        <f>IF(C92&gt;0,(C82/C92)*C56,)</f>
        <v>8.333333333</v>
      </c>
      <c r="E82" s="32">
        <f>IF(D92&gt;0,(E56*D82)/D92)</f>
        <v>12500000</v>
      </c>
    </row>
    <row r="83" ht="15.75" customHeight="1">
      <c r="B83" s="36" t="s">
        <v>103</v>
      </c>
      <c r="C83" s="7">
        <v>5.0</v>
      </c>
      <c r="D83" s="31">
        <f>IF(C92&gt;0,(C83/C92)*C56,)</f>
        <v>8.333333333</v>
      </c>
      <c r="E83" s="32">
        <f>IF(D92&gt;0,(E56*D83)/D92)</f>
        <v>12500000</v>
      </c>
    </row>
    <row r="84" ht="15.75" customHeight="1">
      <c r="B84" s="36" t="s">
        <v>104</v>
      </c>
      <c r="C84" s="7">
        <v>5.0</v>
      </c>
      <c r="D84" s="31">
        <f>IF(C92&gt;0,(C84/C92)*C56,)</f>
        <v>8.333333333</v>
      </c>
      <c r="E84" s="32">
        <f>IF(D92&gt;0,(E56*D84)/D92)</f>
        <v>12500000</v>
      </c>
    </row>
    <row r="85" ht="15.75" customHeight="1">
      <c r="B85" s="43" t="s">
        <v>105</v>
      </c>
      <c r="C85" s="43">
        <v>5.0</v>
      </c>
      <c r="D85" s="31">
        <f>IF(C92&gt;0,(C85/C92)*C56,)</f>
        <v>8.333333333</v>
      </c>
      <c r="E85" s="32">
        <f>IF(D92&gt;0,(E56*D85)/D92)</f>
        <v>12500000</v>
      </c>
    </row>
    <row r="86" ht="15.75" customHeight="1">
      <c r="B86" s="36" t="s">
        <v>106</v>
      </c>
      <c r="C86" s="7">
        <v>5.0</v>
      </c>
      <c r="D86" s="31">
        <f>IF(C92&gt;0,(C86/C92)*C56,)</f>
        <v>8.333333333</v>
      </c>
      <c r="E86" s="32">
        <f>IF(D92&gt;0,(E56*D86)/D92)</f>
        <v>12500000</v>
      </c>
    </row>
    <row r="87" ht="15.75" customHeight="1">
      <c r="B87" s="36" t="s">
        <v>107</v>
      </c>
      <c r="C87" s="7">
        <v>5.0</v>
      </c>
      <c r="D87" s="31">
        <f>IF(C92&gt;0,(C87/C92)*C56,)</f>
        <v>8.333333333</v>
      </c>
      <c r="E87" s="32">
        <f>IF(D92&gt;0,(E56*D87)/D92)</f>
        <v>12500000</v>
      </c>
    </row>
    <row r="88" ht="15.75" customHeight="1">
      <c r="B88" s="36" t="s">
        <v>108</v>
      </c>
      <c r="C88" s="7">
        <v>5.0</v>
      </c>
      <c r="D88" s="31">
        <f>IF(C92&gt;0,(C88/C92)*C56,)</f>
        <v>8.333333333</v>
      </c>
      <c r="E88" s="32">
        <f>IF(D92&gt;0,(E56*D88)/D92)</f>
        <v>12500000</v>
      </c>
    </row>
    <row r="89" ht="15.75" customHeight="1">
      <c r="B89" s="36" t="s">
        <v>109</v>
      </c>
      <c r="C89" s="7">
        <v>5.0</v>
      </c>
      <c r="D89" s="31">
        <f>IF(C92&gt;0,(C89/C92)*C56,)</f>
        <v>8.333333333</v>
      </c>
      <c r="E89" s="32">
        <f>IF(D92&gt;0,(E56*D89)/D92)</f>
        <v>12500000</v>
      </c>
    </row>
    <row r="90" ht="15.75" customHeight="1">
      <c r="B90" s="36" t="s">
        <v>110</v>
      </c>
      <c r="C90" s="7">
        <v>5.0</v>
      </c>
      <c r="D90" s="31">
        <f>IF(C92&gt;0,(C90/C92)*C56,)</f>
        <v>8.333333333</v>
      </c>
      <c r="E90" s="32">
        <f>IF(D92&gt;0,(E56*D90)/D92)</f>
        <v>12500000</v>
      </c>
    </row>
    <row r="91" ht="15.75" customHeight="1">
      <c r="B91" s="36" t="s">
        <v>111</v>
      </c>
      <c r="C91" s="7">
        <v>5.0</v>
      </c>
      <c r="D91" s="31">
        <f>IF(C92&gt;0,(C91/C92)*C56,)</f>
        <v>8.333333333</v>
      </c>
      <c r="E91" s="32">
        <f>IF(D92&gt;0,(E56*D91)/D92)</f>
        <v>12500000</v>
      </c>
    </row>
    <row r="92" ht="15.75" customHeight="1">
      <c r="B92" s="5" t="s">
        <v>112</v>
      </c>
      <c r="C92" s="5">
        <f t="shared" ref="C92:E92" si="4">SUM(C80:C91)</f>
        <v>60</v>
      </c>
      <c r="D92" s="34">
        <f t="shared" si="4"/>
        <v>100</v>
      </c>
      <c r="E92" s="26">
        <f t="shared" si="4"/>
        <v>150000000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4:G4"/>
    <mergeCell ref="B31:H31"/>
    <mergeCell ref="B48:E48"/>
    <mergeCell ref="B70:C70"/>
    <mergeCell ref="B78:C79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9.0"/>
    <col customWidth="1" min="3" max="3" width="31.5"/>
    <col customWidth="1" min="4" max="4" width="20.13"/>
    <col customWidth="1" min="5" max="5" width="21.88"/>
    <col customWidth="1" min="6" max="6" width="21.25"/>
    <col customWidth="1" min="7" max="7" width="9.38"/>
    <col customWidth="1" min="8" max="8" width="23.88"/>
    <col customWidth="1" min="9" max="9" width="19.38"/>
    <col customWidth="1" min="10" max="10" width="15.0"/>
    <col customWidth="1" min="11" max="11" width="21.88"/>
    <col customWidth="1" min="12" max="12" width="21.25"/>
    <col customWidth="1" min="13" max="26" width="9.38"/>
  </cols>
  <sheetData>
    <row r="5">
      <c r="B5" s="1" t="s">
        <v>113</v>
      </c>
      <c r="C5" s="2"/>
      <c r="D5" s="2"/>
      <c r="E5" s="2"/>
      <c r="F5" s="2"/>
      <c r="G5" s="2"/>
      <c r="H5" s="2"/>
      <c r="I5" s="2"/>
      <c r="J5" s="2"/>
      <c r="K5" s="2"/>
      <c r="L5" s="3"/>
    </row>
    <row r="7">
      <c r="B7" s="5" t="s">
        <v>114</v>
      </c>
      <c r="C7" s="44" t="str">
        <f>'Presupuesto de ventas'!B50</f>
        <v>neo library</v>
      </c>
      <c r="D7" s="2"/>
      <c r="E7" s="2"/>
      <c r="F7" s="3"/>
      <c r="H7" s="5" t="s">
        <v>115</v>
      </c>
      <c r="I7" s="44" t="str">
        <f>'Presupuesto de ventas'!B51</f>
        <v/>
      </c>
      <c r="J7" s="2"/>
      <c r="K7" s="2"/>
      <c r="L7" s="3"/>
    </row>
    <row r="8">
      <c r="B8" s="5" t="s">
        <v>116</v>
      </c>
      <c r="C8" s="16" t="s">
        <v>117</v>
      </c>
      <c r="D8" s="2"/>
      <c r="E8" s="2"/>
      <c r="F8" s="3"/>
      <c r="H8" s="5" t="s">
        <v>116</v>
      </c>
      <c r="I8" s="16" t="s">
        <v>117</v>
      </c>
      <c r="J8" s="2"/>
      <c r="K8" s="2"/>
      <c r="L8" s="3"/>
    </row>
    <row r="9">
      <c r="B9" s="5" t="s">
        <v>114</v>
      </c>
      <c r="C9" s="5" t="s">
        <v>118</v>
      </c>
      <c r="D9" s="5" t="s">
        <v>119</v>
      </c>
      <c r="E9" s="5" t="s">
        <v>120</v>
      </c>
      <c r="F9" s="5" t="s">
        <v>121</v>
      </c>
      <c r="H9" s="5" t="s">
        <v>122</v>
      </c>
      <c r="I9" s="5" t="s">
        <v>118</v>
      </c>
      <c r="J9" s="5" t="s">
        <v>119</v>
      </c>
      <c r="K9" s="5" t="s">
        <v>120</v>
      </c>
      <c r="L9" s="5" t="s">
        <v>121</v>
      </c>
    </row>
    <row r="10">
      <c r="B10" s="15" t="s">
        <v>123</v>
      </c>
      <c r="C10" s="45">
        <v>1.0</v>
      </c>
      <c r="D10" s="35">
        <v>0.0</v>
      </c>
      <c r="E10" s="33">
        <v>1.0</v>
      </c>
      <c r="F10" s="46">
        <f t="shared" ref="F10:F21" si="1">D10*E10</f>
        <v>0</v>
      </c>
      <c r="H10" s="7"/>
      <c r="I10" s="33"/>
      <c r="J10" s="35"/>
      <c r="K10" s="47"/>
      <c r="L10" s="46">
        <f t="shared" ref="L10:L21" si="2">J10*K10</f>
        <v>0</v>
      </c>
    </row>
    <row r="11">
      <c r="B11" s="15" t="s">
        <v>124</v>
      </c>
      <c r="C11" s="45">
        <v>1.0</v>
      </c>
      <c r="D11" s="35">
        <v>0.0</v>
      </c>
      <c r="E11" s="33">
        <v>1.0</v>
      </c>
      <c r="F11" s="46">
        <f t="shared" si="1"/>
        <v>0</v>
      </c>
      <c r="H11" s="7"/>
      <c r="I11" s="33"/>
      <c r="J11" s="35"/>
      <c r="K11" s="33"/>
      <c r="L11" s="46">
        <f t="shared" si="2"/>
        <v>0</v>
      </c>
    </row>
    <row r="12">
      <c r="B12" s="7" t="s">
        <v>125</v>
      </c>
      <c r="C12" s="33">
        <v>1.0</v>
      </c>
      <c r="D12" s="35">
        <v>0.0</v>
      </c>
      <c r="E12" s="33">
        <v>1.0</v>
      </c>
      <c r="F12" s="46">
        <f t="shared" si="1"/>
        <v>0</v>
      </c>
      <c r="H12" s="7"/>
      <c r="I12" s="33"/>
      <c r="J12" s="35"/>
      <c r="K12" s="33"/>
      <c r="L12" s="46">
        <f t="shared" si="2"/>
        <v>0</v>
      </c>
    </row>
    <row r="13">
      <c r="B13" s="7" t="s">
        <v>126</v>
      </c>
      <c r="C13" s="33">
        <v>1.0</v>
      </c>
      <c r="D13" s="35">
        <v>100000.0</v>
      </c>
      <c r="E13" s="33">
        <v>1.0</v>
      </c>
      <c r="F13" s="46">
        <f t="shared" si="1"/>
        <v>100000</v>
      </c>
      <c r="H13" s="7"/>
      <c r="I13" s="33"/>
      <c r="J13" s="35"/>
      <c r="K13" s="33"/>
      <c r="L13" s="46">
        <f t="shared" si="2"/>
        <v>0</v>
      </c>
    </row>
    <row r="14">
      <c r="B14" s="7"/>
      <c r="C14" s="33"/>
      <c r="D14" s="35"/>
      <c r="E14" s="33"/>
      <c r="F14" s="46">
        <f t="shared" si="1"/>
        <v>0</v>
      </c>
      <c r="H14" s="7"/>
      <c r="I14" s="33"/>
      <c r="J14" s="35"/>
      <c r="K14" s="33"/>
      <c r="L14" s="46">
        <f t="shared" si="2"/>
        <v>0</v>
      </c>
    </row>
    <row r="15">
      <c r="B15" s="7"/>
      <c r="C15" s="33"/>
      <c r="D15" s="35"/>
      <c r="E15" s="33"/>
      <c r="F15" s="46">
        <f t="shared" si="1"/>
        <v>0</v>
      </c>
      <c r="H15" s="7"/>
      <c r="I15" s="33"/>
      <c r="J15" s="35"/>
      <c r="K15" s="33"/>
      <c r="L15" s="46">
        <f t="shared" si="2"/>
        <v>0</v>
      </c>
    </row>
    <row r="16">
      <c r="B16" s="7"/>
      <c r="C16" s="33"/>
      <c r="D16" s="35"/>
      <c r="E16" s="33"/>
      <c r="F16" s="46">
        <f t="shared" si="1"/>
        <v>0</v>
      </c>
      <c r="H16" s="7"/>
      <c r="I16" s="33"/>
      <c r="J16" s="35"/>
      <c r="K16" s="33"/>
      <c r="L16" s="46">
        <f t="shared" si="2"/>
        <v>0</v>
      </c>
    </row>
    <row r="17">
      <c r="B17" s="7"/>
      <c r="C17" s="33"/>
      <c r="D17" s="35"/>
      <c r="E17" s="33"/>
      <c r="F17" s="46">
        <f t="shared" si="1"/>
        <v>0</v>
      </c>
      <c r="H17" s="7"/>
      <c r="I17" s="33"/>
      <c r="J17" s="35"/>
      <c r="K17" s="33"/>
      <c r="L17" s="46">
        <f t="shared" si="2"/>
        <v>0</v>
      </c>
    </row>
    <row r="18">
      <c r="B18" s="7"/>
      <c r="C18" s="33"/>
      <c r="D18" s="35"/>
      <c r="E18" s="33"/>
      <c r="F18" s="46">
        <f t="shared" si="1"/>
        <v>0</v>
      </c>
      <c r="H18" s="7"/>
      <c r="I18" s="33"/>
      <c r="J18" s="35"/>
      <c r="K18" s="33"/>
      <c r="L18" s="46">
        <f t="shared" si="2"/>
        <v>0</v>
      </c>
    </row>
    <row r="19">
      <c r="B19" s="7"/>
      <c r="C19" s="33"/>
      <c r="D19" s="35"/>
      <c r="E19" s="33"/>
      <c r="F19" s="46">
        <f t="shared" si="1"/>
        <v>0</v>
      </c>
      <c r="H19" s="7"/>
      <c r="I19" s="33"/>
      <c r="J19" s="35"/>
      <c r="K19" s="33"/>
      <c r="L19" s="46">
        <f t="shared" si="2"/>
        <v>0</v>
      </c>
    </row>
    <row r="20">
      <c r="B20" s="7"/>
      <c r="C20" s="33"/>
      <c r="D20" s="35"/>
      <c r="E20" s="33"/>
      <c r="F20" s="46">
        <f t="shared" si="1"/>
        <v>0</v>
      </c>
      <c r="H20" s="7"/>
      <c r="I20" s="33"/>
      <c r="J20" s="35"/>
      <c r="K20" s="33"/>
      <c r="L20" s="46">
        <f t="shared" si="2"/>
        <v>0</v>
      </c>
    </row>
    <row r="21" ht="15.75" customHeight="1">
      <c r="B21" s="7"/>
      <c r="C21" s="33"/>
      <c r="D21" s="35"/>
      <c r="E21" s="33"/>
      <c r="F21" s="46">
        <f t="shared" si="1"/>
        <v>0</v>
      </c>
      <c r="H21" s="7"/>
      <c r="I21" s="33"/>
      <c r="J21" s="35"/>
      <c r="K21" s="33"/>
      <c r="L21" s="46">
        <f t="shared" si="2"/>
        <v>0</v>
      </c>
    </row>
    <row r="22" ht="15.75" customHeight="1">
      <c r="B22" s="5" t="s">
        <v>127</v>
      </c>
      <c r="C22" s="5"/>
      <c r="D22" s="5"/>
      <c r="E22" s="5"/>
      <c r="F22" s="26">
        <f>SUM(F10:F21)</f>
        <v>100000</v>
      </c>
      <c r="H22" s="5" t="s">
        <v>127</v>
      </c>
      <c r="I22" s="5"/>
      <c r="J22" s="5"/>
      <c r="K22" s="5"/>
      <c r="L22" s="26">
        <f>SUM(L10:L21)</f>
        <v>0</v>
      </c>
    </row>
    <row r="23" ht="15.75" customHeight="1">
      <c r="B23" s="1" t="s">
        <v>128</v>
      </c>
      <c r="C23" s="2"/>
      <c r="D23" s="2"/>
      <c r="E23" s="2"/>
      <c r="F23" s="3"/>
      <c r="H23" s="1" t="s">
        <v>128</v>
      </c>
      <c r="I23" s="2"/>
      <c r="J23" s="2"/>
      <c r="K23" s="2"/>
      <c r="L23" s="3"/>
    </row>
    <row r="24" ht="15.75" customHeight="1">
      <c r="B24" s="7"/>
      <c r="C24" s="33"/>
      <c r="D24" s="24"/>
      <c r="E24" s="33"/>
      <c r="F24" s="46">
        <f t="shared" ref="F24:F28" si="3">D24*E24</f>
        <v>0</v>
      </c>
      <c r="H24" s="7"/>
      <c r="I24" s="33"/>
      <c r="J24" s="24"/>
      <c r="K24" s="33"/>
      <c r="L24" s="46">
        <f t="shared" ref="L24:L28" si="4">J24*K24</f>
        <v>0</v>
      </c>
    </row>
    <row r="25" ht="15.75" customHeight="1">
      <c r="B25" s="7"/>
      <c r="C25" s="33"/>
      <c r="D25" s="24"/>
      <c r="E25" s="33"/>
      <c r="F25" s="46">
        <f t="shared" si="3"/>
        <v>0</v>
      </c>
      <c r="H25" s="7"/>
      <c r="I25" s="33"/>
      <c r="J25" s="24"/>
      <c r="K25" s="33"/>
      <c r="L25" s="46">
        <f t="shared" si="4"/>
        <v>0</v>
      </c>
    </row>
    <row r="26" ht="15.75" customHeight="1">
      <c r="B26" s="7"/>
      <c r="C26" s="33"/>
      <c r="D26" s="24"/>
      <c r="E26" s="33"/>
      <c r="F26" s="46">
        <f t="shared" si="3"/>
        <v>0</v>
      </c>
      <c r="H26" s="7"/>
      <c r="I26" s="33"/>
      <c r="J26" s="24"/>
      <c r="K26" s="33"/>
      <c r="L26" s="46">
        <f t="shared" si="4"/>
        <v>0</v>
      </c>
    </row>
    <row r="27" ht="15.75" customHeight="1">
      <c r="B27" s="7"/>
      <c r="C27" s="33"/>
      <c r="D27" s="24"/>
      <c r="E27" s="33"/>
      <c r="F27" s="46">
        <f t="shared" si="3"/>
        <v>0</v>
      </c>
      <c r="H27" s="7"/>
      <c r="I27" s="33"/>
      <c r="J27" s="24"/>
      <c r="K27" s="33"/>
      <c r="L27" s="46">
        <f t="shared" si="4"/>
        <v>0</v>
      </c>
    </row>
    <row r="28" ht="15.75" customHeight="1">
      <c r="B28" s="7"/>
      <c r="C28" s="33"/>
      <c r="D28" s="24"/>
      <c r="E28" s="33"/>
      <c r="F28" s="46">
        <f t="shared" si="3"/>
        <v>0</v>
      </c>
      <c r="H28" s="7"/>
      <c r="I28" s="33"/>
      <c r="J28" s="24"/>
      <c r="K28" s="33"/>
      <c r="L28" s="46">
        <f t="shared" si="4"/>
        <v>0</v>
      </c>
    </row>
    <row r="29" ht="15.75" customHeight="1">
      <c r="B29" s="5" t="s">
        <v>127</v>
      </c>
      <c r="C29" s="5"/>
      <c r="D29" s="5"/>
      <c r="E29" s="5"/>
      <c r="F29" s="26">
        <f>SUM(F24:F28)</f>
        <v>0</v>
      </c>
      <c r="H29" s="5" t="s">
        <v>127</v>
      </c>
      <c r="I29" s="5"/>
      <c r="J29" s="5"/>
      <c r="K29" s="5"/>
      <c r="L29" s="26">
        <f>SUM(L24:L28)</f>
        <v>0</v>
      </c>
    </row>
    <row r="30" ht="15.75" customHeight="1">
      <c r="B30" s="5" t="s">
        <v>112</v>
      </c>
      <c r="C30" s="5"/>
      <c r="D30" s="5"/>
      <c r="E30" s="5"/>
      <c r="F30" s="26">
        <f>SUM(F22+F29)</f>
        <v>100000</v>
      </c>
      <c r="H30" s="5" t="s">
        <v>112</v>
      </c>
      <c r="I30" s="5"/>
      <c r="J30" s="5"/>
      <c r="K30" s="5"/>
      <c r="L30" s="26">
        <f>SUM(L22+L29)</f>
        <v>0</v>
      </c>
    </row>
    <row r="31" ht="15.75" customHeight="1"/>
    <row r="32" ht="15.75" customHeight="1"/>
    <row r="33" ht="15.75" customHeight="1"/>
    <row r="34" ht="15.75" customHeight="1">
      <c r="B34" s="5" t="s">
        <v>129</v>
      </c>
      <c r="C34" s="44" t="str">
        <f>'Presupuesto de ventas'!B52</f>
        <v/>
      </c>
      <c r="D34" s="2"/>
      <c r="E34" s="2"/>
      <c r="F34" s="3"/>
      <c r="H34" s="5" t="s">
        <v>130</v>
      </c>
      <c r="I34" s="44" t="str">
        <f>'Presupuesto de ventas'!B53</f>
        <v/>
      </c>
      <c r="J34" s="2"/>
      <c r="K34" s="2"/>
      <c r="L34" s="3"/>
    </row>
    <row r="35" ht="15.75" customHeight="1">
      <c r="B35" s="5" t="s">
        <v>116</v>
      </c>
      <c r="C35" s="16" t="s">
        <v>117</v>
      </c>
      <c r="D35" s="2"/>
      <c r="E35" s="2"/>
      <c r="F35" s="3"/>
      <c r="H35" s="5" t="s">
        <v>116</v>
      </c>
      <c r="I35" s="16" t="s">
        <v>117</v>
      </c>
      <c r="J35" s="2"/>
      <c r="K35" s="2"/>
      <c r="L35" s="3"/>
    </row>
    <row r="36" ht="15.75" customHeight="1">
      <c r="B36" s="5" t="s">
        <v>122</v>
      </c>
      <c r="C36" s="5" t="s">
        <v>118</v>
      </c>
      <c r="D36" s="5" t="s">
        <v>119</v>
      </c>
      <c r="E36" s="5" t="s">
        <v>120</v>
      </c>
      <c r="F36" s="5" t="s">
        <v>121</v>
      </c>
      <c r="H36" s="5" t="s">
        <v>122</v>
      </c>
      <c r="I36" s="5" t="s">
        <v>118</v>
      </c>
      <c r="J36" s="5" t="s">
        <v>119</v>
      </c>
      <c r="K36" s="5" t="s">
        <v>120</v>
      </c>
      <c r="L36" s="5" t="s">
        <v>121</v>
      </c>
    </row>
    <row r="37" ht="15.75" customHeight="1">
      <c r="B37" s="7"/>
      <c r="C37" s="33"/>
      <c r="D37" s="35"/>
      <c r="E37" s="33"/>
      <c r="F37" s="46">
        <f t="shared" ref="F37:F48" si="5">D37*E37</f>
        <v>0</v>
      </c>
      <c r="H37" s="7"/>
      <c r="I37" s="33"/>
      <c r="J37" s="35"/>
      <c r="K37" s="33"/>
      <c r="L37" s="32">
        <f t="shared" ref="L37:L41" si="6">J37*K37</f>
        <v>0</v>
      </c>
    </row>
    <row r="38" ht="15.75" customHeight="1">
      <c r="B38" s="7"/>
      <c r="C38" s="33"/>
      <c r="D38" s="35"/>
      <c r="E38" s="33"/>
      <c r="F38" s="46">
        <f t="shared" si="5"/>
        <v>0</v>
      </c>
      <c r="H38" s="7"/>
      <c r="I38" s="33"/>
      <c r="J38" s="35"/>
      <c r="K38" s="33"/>
      <c r="L38" s="32">
        <f t="shared" si="6"/>
        <v>0</v>
      </c>
    </row>
    <row r="39" ht="15.75" customHeight="1">
      <c r="B39" s="7"/>
      <c r="C39" s="33"/>
      <c r="D39" s="35"/>
      <c r="E39" s="33"/>
      <c r="F39" s="46">
        <f t="shared" si="5"/>
        <v>0</v>
      </c>
      <c r="H39" s="7"/>
      <c r="I39" s="33"/>
      <c r="J39" s="35"/>
      <c r="K39" s="33"/>
      <c r="L39" s="32">
        <f t="shared" si="6"/>
        <v>0</v>
      </c>
    </row>
    <row r="40" ht="15.75" customHeight="1">
      <c r="B40" s="7"/>
      <c r="C40" s="33"/>
      <c r="D40" s="35"/>
      <c r="E40" s="33"/>
      <c r="F40" s="46">
        <f t="shared" si="5"/>
        <v>0</v>
      </c>
      <c r="H40" s="7"/>
      <c r="I40" s="33"/>
      <c r="J40" s="35"/>
      <c r="K40" s="33"/>
      <c r="L40" s="32">
        <f t="shared" si="6"/>
        <v>0</v>
      </c>
    </row>
    <row r="41" ht="15.75" customHeight="1">
      <c r="B41" s="7"/>
      <c r="C41" s="33"/>
      <c r="D41" s="35"/>
      <c r="E41" s="33"/>
      <c r="F41" s="46">
        <f t="shared" si="5"/>
        <v>0</v>
      </c>
      <c r="H41" s="7"/>
      <c r="I41" s="33"/>
      <c r="J41" s="35"/>
      <c r="K41" s="33"/>
      <c r="L41" s="32">
        <f t="shared" si="6"/>
        <v>0</v>
      </c>
    </row>
    <row r="42" ht="15.75" customHeight="1">
      <c r="B42" s="7"/>
      <c r="C42" s="33"/>
      <c r="D42" s="35"/>
      <c r="E42" s="33"/>
      <c r="F42" s="46">
        <f t="shared" si="5"/>
        <v>0</v>
      </c>
      <c r="H42" s="7"/>
      <c r="I42" s="33"/>
      <c r="J42" s="35"/>
      <c r="K42" s="33"/>
      <c r="L42" s="32"/>
    </row>
    <row r="43" ht="15.75" customHeight="1">
      <c r="B43" s="7"/>
      <c r="C43" s="33"/>
      <c r="D43" s="35"/>
      <c r="E43" s="33"/>
      <c r="F43" s="46">
        <f t="shared" si="5"/>
        <v>0</v>
      </c>
      <c r="H43" s="7"/>
      <c r="I43" s="33"/>
      <c r="J43" s="35"/>
      <c r="K43" s="33"/>
      <c r="L43" s="32"/>
    </row>
    <row r="44" ht="15.75" customHeight="1">
      <c r="B44" s="7"/>
      <c r="C44" s="33"/>
      <c r="D44" s="35"/>
      <c r="E44" s="33"/>
      <c r="F44" s="46">
        <f t="shared" si="5"/>
        <v>0</v>
      </c>
      <c r="H44" s="7"/>
      <c r="I44" s="33"/>
      <c r="J44" s="35"/>
      <c r="K44" s="33"/>
      <c r="L44" s="32">
        <f t="shared" ref="L44:L48" si="7">J44*K44</f>
        <v>0</v>
      </c>
    </row>
    <row r="45" ht="15.75" customHeight="1">
      <c r="B45" s="7"/>
      <c r="C45" s="33"/>
      <c r="D45" s="35"/>
      <c r="E45" s="33"/>
      <c r="F45" s="46">
        <f t="shared" si="5"/>
        <v>0</v>
      </c>
      <c r="H45" s="7"/>
      <c r="I45" s="33"/>
      <c r="J45" s="35"/>
      <c r="K45" s="33"/>
      <c r="L45" s="32">
        <f t="shared" si="7"/>
        <v>0</v>
      </c>
    </row>
    <row r="46" ht="15.75" customHeight="1">
      <c r="B46" s="7"/>
      <c r="C46" s="33"/>
      <c r="D46" s="35"/>
      <c r="E46" s="33"/>
      <c r="F46" s="46">
        <f t="shared" si="5"/>
        <v>0</v>
      </c>
      <c r="H46" s="7"/>
      <c r="I46" s="33"/>
      <c r="J46" s="35"/>
      <c r="K46" s="33"/>
      <c r="L46" s="32">
        <f t="shared" si="7"/>
        <v>0</v>
      </c>
    </row>
    <row r="47" ht="15.75" customHeight="1">
      <c r="B47" s="7"/>
      <c r="C47" s="33"/>
      <c r="D47" s="35"/>
      <c r="E47" s="33"/>
      <c r="F47" s="46">
        <f t="shared" si="5"/>
        <v>0</v>
      </c>
      <c r="H47" s="7"/>
      <c r="I47" s="33"/>
      <c r="J47" s="35"/>
      <c r="K47" s="33"/>
      <c r="L47" s="32">
        <f t="shared" si="7"/>
        <v>0</v>
      </c>
    </row>
    <row r="48" ht="15.75" customHeight="1">
      <c r="B48" s="7"/>
      <c r="C48" s="33"/>
      <c r="D48" s="35"/>
      <c r="E48" s="33"/>
      <c r="F48" s="46">
        <f t="shared" si="5"/>
        <v>0</v>
      </c>
      <c r="H48" s="7"/>
      <c r="I48" s="33"/>
      <c r="J48" s="35"/>
      <c r="K48" s="33"/>
      <c r="L48" s="32">
        <f t="shared" si="7"/>
        <v>0</v>
      </c>
    </row>
    <row r="49" ht="15.75" customHeight="1">
      <c r="B49" s="5" t="s">
        <v>127</v>
      </c>
      <c r="C49" s="5"/>
      <c r="D49" s="5"/>
      <c r="E49" s="5"/>
      <c r="F49" s="26">
        <f>SUM(F37:F48)</f>
        <v>0</v>
      </c>
      <c r="H49" s="5" t="s">
        <v>127</v>
      </c>
      <c r="I49" s="5"/>
      <c r="J49" s="5"/>
      <c r="K49" s="5"/>
      <c r="L49" s="26">
        <f>SUM(L37:L48)</f>
        <v>0</v>
      </c>
    </row>
    <row r="50" ht="15.75" customHeight="1">
      <c r="B50" s="1" t="s">
        <v>128</v>
      </c>
      <c r="C50" s="2"/>
      <c r="D50" s="2"/>
      <c r="E50" s="2"/>
      <c r="F50" s="3"/>
      <c r="H50" s="1" t="s">
        <v>128</v>
      </c>
      <c r="I50" s="2"/>
      <c r="J50" s="2"/>
      <c r="K50" s="2"/>
      <c r="L50" s="3"/>
    </row>
    <row r="51" ht="15.75" customHeight="1">
      <c r="B51" s="7"/>
      <c r="C51" s="33"/>
      <c r="D51" s="24"/>
      <c r="E51" s="33"/>
      <c r="F51" s="46">
        <f t="shared" ref="F51:F55" si="8">D51*E51</f>
        <v>0</v>
      </c>
      <c r="H51" s="7"/>
      <c r="I51" s="33"/>
      <c r="J51" s="24"/>
      <c r="K51" s="33"/>
      <c r="L51" s="32">
        <f t="shared" ref="L51:L55" si="9">J51*K51</f>
        <v>0</v>
      </c>
    </row>
    <row r="52" ht="15.75" customHeight="1">
      <c r="B52" s="7"/>
      <c r="C52" s="33"/>
      <c r="D52" s="24"/>
      <c r="E52" s="33"/>
      <c r="F52" s="46">
        <f t="shared" si="8"/>
        <v>0</v>
      </c>
      <c r="H52" s="7"/>
      <c r="I52" s="33"/>
      <c r="J52" s="24"/>
      <c r="K52" s="33"/>
      <c r="L52" s="32">
        <f t="shared" si="9"/>
        <v>0</v>
      </c>
    </row>
    <row r="53" ht="15.75" customHeight="1">
      <c r="B53" s="7"/>
      <c r="C53" s="33"/>
      <c r="D53" s="24"/>
      <c r="E53" s="33"/>
      <c r="F53" s="46">
        <f t="shared" si="8"/>
        <v>0</v>
      </c>
      <c r="H53" s="7"/>
      <c r="I53" s="33"/>
      <c r="J53" s="24"/>
      <c r="K53" s="33"/>
      <c r="L53" s="32">
        <f t="shared" si="9"/>
        <v>0</v>
      </c>
    </row>
    <row r="54" ht="15.75" customHeight="1">
      <c r="B54" s="7"/>
      <c r="C54" s="33"/>
      <c r="D54" s="24"/>
      <c r="E54" s="33"/>
      <c r="F54" s="46">
        <f t="shared" si="8"/>
        <v>0</v>
      </c>
      <c r="H54" s="7"/>
      <c r="I54" s="33"/>
      <c r="J54" s="24"/>
      <c r="K54" s="33"/>
      <c r="L54" s="32">
        <f t="shared" si="9"/>
        <v>0</v>
      </c>
    </row>
    <row r="55" ht="15.75" customHeight="1">
      <c r="B55" s="7"/>
      <c r="C55" s="33"/>
      <c r="D55" s="24"/>
      <c r="E55" s="33"/>
      <c r="F55" s="46">
        <f t="shared" si="8"/>
        <v>0</v>
      </c>
      <c r="H55" s="7"/>
      <c r="I55" s="33"/>
      <c r="J55" s="24"/>
      <c r="K55" s="33"/>
      <c r="L55" s="32">
        <f t="shared" si="9"/>
        <v>0</v>
      </c>
    </row>
    <row r="56" ht="15.75" customHeight="1">
      <c r="B56" s="5" t="s">
        <v>127</v>
      </c>
      <c r="C56" s="5"/>
      <c r="D56" s="5"/>
      <c r="E56" s="5"/>
      <c r="F56" s="26">
        <f>SUM(F51:F55)</f>
        <v>0</v>
      </c>
      <c r="H56" s="5" t="s">
        <v>127</v>
      </c>
      <c r="I56" s="5"/>
      <c r="J56" s="5"/>
      <c r="K56" s="5"/>
      <c r="L56" s="26">
        <f>SUM(L51:L55)</f>
        <v>0</v>
      </c>
    </row>
    <row r="57" ht="15.75" customHeight="1">
      <c r="B57" s="5" t="s">
        <v>112</v>
      </c>
      <c r="C57" s="5"/>
      <c r="D57" s="5"/>
      <c r="E57" s="5"/>
      <c r="F57" s="26">
        <f>SUM(F49+F56)</f>
        <v>0</v>
      </c>
      <c r="H57" s="5" t="s">
        <v>112</v>
      </c>
      <c r="I57" s="5"/>
      <c r="J57" s="5"/>
      <c r="K57" s="5"/>
      <c r="L57" s="26">
        <f>SUM(L49+L56)</f>
        <v>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>
      <c r="B63" s="1" t="s">
        <v>131</v>
      </c>
      <c r="C63" s="2"/>
      <c r="D63" s="2"/>
      <c r="E63" s="3"/>
    </row>
    <row r="64" ht="15.75" customHeight="1">
      <c r="B64" s="5" t="s">
        <v>61</v>
      </c>
      <c r="C64" s="5" t="s">
        <v>132</v>
      </c>
      <c r="D64" s="5" t="s">
        <v>133</v>
      </c>
      <c r="E64" s="5" t="s">
        <v>134</v>
      </c>
    </row>
    <row r="65" ht="15.75" customHeight="1">
      <c r="B65" s="29" t="str">
        <f>C7</f>
        <v>neo library</v>
      </c>
      <c r="C65" s="32">
        <f>'Presupuesto de ventas'!E6</f>
        <v>100</v>
      </c>
      <c r="D65" s="32">
        <f>F30</f>
        <v>100000</v>
      </c>
      <c r="E65" s="32">
        <f t="shared" ref="E65:E68" si="10">(C65*D65)</f>
        <v>10000000</v>
      </c>
    </row>
    <row r="66" ht="15.75" customHeight="1">
      <c r="B66" s="29" t="str">
        <f>I7</f>
        <v/>
      </c>
      <c r="C66" s="32" t="str">
        <f>'Presupuesto de ventas'!E7</f>
        <v/>
      </c>
      <c r="D66" s="32">
        <f>L30</f>
        <v>0</v>
      </c>
      <c r="E66" s="32">
        <f t="shared" si="10"/>
        <v>0</v>
      </c>
    </row>
    <row r="67" ht="15.75" customHeight="1">
      <c r="B67" s="29" t="str">
        <f>C34</f>
        <v/>
      </c>
      <c r="C67" s="32" t="str">
        <f>'Presupuesto de ventas'!E8</f>
        <v/>
      </c>
      <c r="D67" s="32">
        <f>F57</f>
        <v>0</v>
      </c>
      <c r="E67" s="32">
        <f t="shared" si="10"/>
        <v>0</v>
      </c>
    </row>
    <row r="68" ht="15.75" customHeight="1">
      <c r="B68" s="29" t="str">
        <f>+I34</f>
        <v/>
      </c>
      <c r="C68" s="32" t="str">
        <f>+'Presupuesto de ventas'!E9</f>
        <v/>
      </c>
      <c r="D68" s="32">
        <f>+L57</f>
        <v>0</v>
      </c>
      <c r="E68" s="32">
        <f t="shared" si="10"/>
        <v>0</v>
      </c>
    </row>
    <row r="69" ht="15.75" customHeight="1">
      <c r="B69" s="29"/>
      <c r="C69" s="29"/>
      <c r="D69" s="32"/>
      <c r="E69" s="32"/>
    </row>
    <row r="70" ht="15.75" customHeight="1">
      <c r="B70" s="29"/>
      <c r="C70" s="29"/>
      <c r="D70" s="32"/>
      <c r="E70" s="32"/>
    </row>
    <row r="71" ht="15.75" customHeight="1">
      <c r="B71" s="5" t="s">
        <v>112</v>
      </c>
      <c r="C71" s="26">
        <f>SUM(C65:C70)</f>
        <v>100</v>
      </c>
      <c r="D71" s="5"/>
      <c r="E71" s="26">
        <f>SUM(E65:E70)</f>
        <v>10000000</v>
      </c>
    </row>
    <row r="72" ht="15.75" customHeight="1"/>
    <row r="73" ht="15.75" customHeight="1"/>
    <row r="74" ht="15.75" customHeight="1"/>
    <row r="75" ht="15.75" customHeight="1">
      <c r="B75" s="5" t="s">
        <v>81</v>
      </c>
      <c r="C75" s="5" t="s">
        <v>135</v>
      </c>
      <c r="D75" s="5" t="s">
        <v>83</v>
      </c>
    </row>
    <row r="76" ht="15.75" customHeight="1">
      <c r="B76" s="36" t="s">
        <v>84</v>
      </c>
      <c r="C76" s="21">
        <v>0.04</v>
      </c>
      <c r="D76" s="37">
        <f t="shared" ref="D76:D79" si="11">C76+1</f>
        <v>1.04</v>
      </c>
    </row>
    <row r="77" ht="15.75" customHeight="1">
      <c r="B77" s="36" t="s">
        <v>85</v>
      </c>
      <c r="C77" s="21">
        <v>0.04</v>
      </c>
      <c r="D77" s="37">
        <f t="shared" si="11"/>
        <v>1.04</v>
      </c>
    </row>
    <row r="78" ht="15.75" customHeight="1">
      <c r="B78" s="36" t="s">
        <v>86</v>
      </c>
      <c r="C78" s="21">
        <v>0.04</v>
      </c>
      <c r="D78" s="37">
        <f t="shared" si="11"/>
        <v>1.04</v>
      </c>
    </row>
    <row r="79" ht="15.75" customHeight="1">
      <c r="B79" s="36" t="s">
        <v>87</v>
      </c>
      <c r="C79" s="21">
        <v>0.04</v>
      </c>
      <c r="D79" s="37">
        <f t="shared" si="11"/>
        <v>1.04</v>
      </c>
    </row>
    <row r="80" ht="15.75" customHeight="1">
      <c r="C80" s="9" t="s">
        <v>136</v>
      </c>
    </row>
    <row r="81" ht="15.75" customHeight="1"/>
    <row r="82" ht="15.75" customHeight="1"/>
    <row r="83" ht="15.75" customHeight="1"/>
    <row r="84" ht="15.75" customHeight="1">
      <c r="B84" s="48" t="s">
        <v>137</v>
      </c>
      <c r="C84" s="28" t="s">
        <v>91</v>
      </c>
    </row>
    <row r="85" ht="15.75" customHeight="1">
      <c r="B85" s="5" t="s">
        <v>138</v>
      </c>
      <c r="C85" s="29">
        <v>9.0</v>
      </c>
    </row>
    <row r="86" ht="15.75" customHeight="1">
      <c r="B86" s="5" t="s">
        <v>93</v>
      </c>
      <c r="C86" s="29">
        <v>7.0</v>
      </c>
    </row>
    <row r="87" ht="15.75" customHeight="1">
      <c r="B87" s="5" t="s">
        <v>94</v>
      </c>
      <c r="C87" s="29">
        <v>5.0</v>
      </c>
    </row>
    <row r="88" ht="15.75" customHeight="1">
      <c r="B88" s="5" t="s">
        <v>95</v>
      </c>
      <c r="C88" s="29">
        <v>3.0</v>
      </c>
    </row>
    <row r="89" ht="15.75" customHeight="1"/>
    <row r="90" ht="15.75" customHeight="1"/>
    <row r="91" ht="15.75" customHeight="1">
      <c r="B91" s="20" t="s">
        <v>139</v>
      </c>
      <c r="C91" s="20" t="s">
        <v>91</v>
      </c>
      <c r="D91" s="20" t="s">
        <v>140</v>
      </c>
      <c r="E91" s="20" t="s">
        <v>141</v>
      </c>
    </row>
    <row r="92" ht="15.75" customHeight="1">
      <c r="B92" s="36" t="s">
        <v>100</v>
      </c>
      <c r="C92" s="31">
        <f>+'Presupuesto de ventas'!C80</f>
        <v>5</v>
      </c>
      <c r="D92" s="31">
        <f t="shared" ref="D92:D103" si="12">IF($C$104&gt;0,(C92/$C$104)*$C$71,0)</f>
        <v>8.333333333</v>
      </c>
      <c r="E92" s="32">
        <f>IF(C71&gt;0,(E71*D92)/C71,0)</f>
        <v>833333.3333</v>
      </c>
    </row>
    <row r="93" ht="15.75" customHeight="1">
      <c r="B93" s="36" t="s">
        <v>101</v>
      </c>
      <c r="C93" s="31">
        <f>+'Presupuesto de ventas'!C81</f>
        <v>5</v>
      </c>
      <c r="D93" s="31">
        <f t="shared" si="12"/>
        <v>8.333333333</v>
      </c>
      <c r="E93" s="32">
        <f>IF(C71&gt;0,(E71*D93)/C71,0)</f>
        <v>833333.3333</v>
      </c>
    </row>
    <row r="94" ht="15.75" customHeight="1">
      <c r="B94" s="36" t="s">
        <v>102</v>
      </c>
      <c r="C94" s="31">
        <f>+'Presupuesto de ventas'!C82</f>
        <v>5</v>
      </c>
      <c r="D94" s="31">
        <f t="shared" si="12"/>
        <v>8.333333333</v>
      </c>
      <c r="E94" s="32">
        <f>IF(C71&gt;0,(E71*D94)/C71,0)</f>
        <v>833333.3333</v>
      </c>
    </row>
    <row r="95" ht="15.75" customHeight="1">
      <c r="B95" s="36" t="s">
        <v>142</v>
      </c>
      <c r="C95" s="31">
        <f>+'Presupuesto de ventas'!C83</f>
        <v>5</v>
      </c>
      <c r="D95" s="31">
        <f t="shared" si="12"/>
        <v>8.333333333</v>
      </c>
      <c r="E95" s="32">
        <f>IF(C71&gt;0,(E71*D95)/C71,0)</f>
        <v>833333.3333</v>
      </c>
    </row>
    <row r="96" ht="15.75" customHeight="1">
      <c r="B96" s="36" t="s">
        <v>104</v>
      </c>
      <c r="C96" s="31">
        <f>+'Presupuesto de ventas'!C84</f>
        <v>5</v>
      </c>
      <c r="D96" s="31">
        <f t="shared" si="12"/>
        <v>8.333333333</v>
      </c>
      <c r="E96" s="32">
        <f>IF(C71&gt;0,(E71*D96)/C71,0)</f>
        <v>833333.3333</v>
      </c>
    </row>
    <row r="97" ht="15.75" customHeight="1">
      <c r="B97" s="36" t="s">
        <v>105</v>
      </c>
      <c r="C97" s="31">
        <f>+'Presupuesto de ventas'!C85</f>
        <v>5</v>
      </c>
      <c r="D97" s="31">
        <f t="shared" si="12"/>
        <v>8.333333333</v>
      </c>
      <c r="E97" s="32">
        <f>IF(C71&gt;0,(E71*D97)/C71,0)</f>
        <v>833333.3333</v>
      </c>
    </row>
    <row r="98" ht="15.75" customHeight="1">
      <c r="B98" s="36" t="s">
        <v>106</v>
      </c>
      <c r="C98" s="31">
        <f>+'Presupuesto de ventas'!C86</f>
        <v>5</v>
      </c>
      <c r="D98" s="31">
        <f t="shared" si="12"/>
        <v>8.333333333</v>
      </c>
      <c r="E98" s="32">
        <f>IF(C71&gt;0,(E71*D98)/C71,0)</f>
        <v>833333.3333</v>
      </c>
    </row>
    <row r="99" ht="15.75" customHeight="1">
      <c r="B99" s="36" t="s">
        <v>107</v>
      </c>
      <c r="C99" s="31">
        <f>+'Presupuesto de ventas'!C87</f>
        <v>5</v>
      </c>
      <c r="D99" s="31">
        <f t="shared" si="12"/>
        <v>8.333333333</v>
      </c>
      <c r="E99" s="32">
        <f>IF(C71&gt;0,(E71*D99)/C71,0)</f>
        <v>833333.3333</v>
      </c>
    </row>
    <row r="100" ht="15.75" customHeight="1">
      <c r="B100" s="36" t="s">
        <v>108</v>
      </c>
      <c r="C100" s="31">
        <f>+'Presupuesto de ventas'!C88</f>
        <v>5</v>
      </c>
      <c r="D100" s="31">
        <f t="shared" si="12"/>
        <v>8.333333333</v>
      </c>
      <c r="E100" s="32">
        <f>IF(C71&gt;0,(E71*D100)/C71,0)</f>
        <v>833333.3333</v>
      </c>
    </row>
    <row r="101" ht="15.75" customHeight="1">
      <c r="B101" s="36" t="s">
        <v>143</v>
      </c>
      <c r="C101" s="31">
        <f>+'Presupuesto de ventas'!C89</f>
        <v>5</v>
      </c>
      <c r="D101" s="31">
        <f t="shared" si="12"/>
        <v>8.333333333</v>
      </c>
      <c r="E101" s="32">
        <f>IF(C71&gt;0,(E71*D101)/C71,0)</f>
        <v>833333.3333</v>
      </c>
    </row>
    <row r="102" ht="15.75" customHeight="1">
      <c r="B102" s="36" t="s">
        <v>110</v>
      </c>
      <c r="C102" s="31">
        <f>+'Presupuesto de ventas'!C90</f>
        <v>5</v>
      </c>
      <c r="D102" s="31">
        <f t="shared" si="12"/>
        <v>8.333333333</v>
      </c>
      <c r="E102" s="32">
        <f>IF(C71&gt;0,(E71*D102)/C71,0)</f>
        <v>833333.3333</v>
      </c>
    </row>
    <row r="103" ht="15.75" customHeight="1">
      <c r="B103" s="36" t="s">
        <v>111</v>
      </c>
      <c r="C103" s="31">
        <f>+'Presupuesto de ventas'!C91</f>
        <v>5</v>
      </c>
      <c r="D103" s="31">
        <f t="shared" si="12"/>
        <v>8.333333333</v>
      </c>
      <c r="E103" s="32">
        <f>IF(C71&gt;0,(E71*D103)/C71,0)</f>
        <v>833333.3333</v>
      </c>
    </row>
    <row r="104" ht="15.75" customHeight="1">
      <c r="B104" s="5" t="s">
        <v>112</v>
      </c>
      <c r="C104" s="34">
        <f t="shared" ref="C104:E104" si="13">SUM(C92:C103)</f>
        <v>60</v>
      </c>
      <c r="D104" s="34">
        <f t="shared" si="13"/>
        <v>100</v>
      </c>
      <c r="E104" s="26">
        <f t="shared" si="13"/>
        <v>10000000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34:F34"/>
    <mergeCell ref="I34:L34"/>
    <mergeCell ref="C35:F35"/>
    <mergeCell ref="I35:L35"/>
    <mergeCell ref="B50:F50"/>
    <mergeCell ref="H50:L50"/>
    <mergeCell ref="B63:E63"/>
    <mergeCell ref="B5:L5"/>
    <mergeCell ref="C7:F7"/>
    <mergeCell ref="I7:L7"/>
    <mergeCell ref="C8:F8"/>
    <mergeCell ref="I8:L8"/>
    <mergeCell ref="B23:F23"/>
    <mergeCell ref="H23:L2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8.5"/>
    <col customWidth="1" min="3" max="3" width="13.25"/>
    <col customWidth="1" min="4" max="4" width="19.38"/>
    <col customWidth="1" min="5" max="5" width="23.5"/>
    <col customWidth="1" min="6" max="6" width="17.25"/>
    <col customWidth="1" min="7" max="7" width="40.5"/>
    <col customWidth="1" min="8" max="8" width="25.25"/>
    <col customWidth="1" min="9" max="9" width="17.25"/>
    <col customWidth="1" min="10" max="10" width="14.25"/>
    <col customWidth="1" min="11" max="11" width="15.25"/>
    <col customWidth="1" min="12" max="12" width="24.25"/>
    <col customWidth="1" min="13" max="13" width="21.5"/>
    <col customWidth="1" min="14" max="14" width="10.25"/>
    <col customWidth="1" min="15" max="26" width="9.38"/>
  </cols>
  <sheetData>
    <row r="2">
      <c r="B2" s="1" t="s">
        <v>144</v>
      </c>
      <c r="C2" s="2"/>
      <c r="D2" s="2"/>
      <c r="E2" s="2"/>
      <c r="F2" s="2"/>
      <c r="G2" s="2"/>
      <c r="H2" s="2"/>
      <c r="I2" s="2"/>
      <c r="J2" s="3"/>
    </row>
    <row r="4">
      <c r="B4" s="1" t="s">
        <v>145</v>
      </c>
      <c r="C4" s="2"/>
      <c r="D4" s="3"/>
      <c r="E4" s="1" t="s">
        <v>146</v>
      </c>
      <c r="F4" s="2"/>
      <c r="G4" s="3"/>
      <c r="H4" s="1" t="s">
        <v>147</v>
      </c>
      <c r="I4" s="2"/>
      <c r="J4" s="3"/>
      <c r="L4" s="28" t="s">
        <v>148</v>
      </c>
      <c r="M4" s="28" t="s">
        <v>149</v>
      </c>
      <c r="N4" s="28" t="s">
        <v>150</v>
      </c>
    </row>
    <row r="5">
      <c r="B5" s="20" t="s">
        <v>151</v>
      </c>
      <c r="C5" s="20" t="s">
        <v>28</v>
      </c>
      <c r="D5" s="20" t="s">
        <v>152</v>
      </c>
      <c r="E5" s="20" t="s">
        <v>151</v>
      </c>
      <c r="F5" s="20" t="s">
        <v>28</v>
      </c>
      <c r="G5" s="20" t="s">
        <v>152</v>
      </c>
      <c r="H5" s="20" t="s">
        <v>151</v>
      </c>
      <c r="I5" s="20" t="s">
        <v>28</v>
      </c>
      <c r="J5" s="20" t="s">
        <v>152</v>
      </c>
      <c r="L5" s="32">
        <f>SUM(C16+F16+I16)</f>
        <v>3600000</v>
      </c>
      <c r="M5" s="32">
        <f>L5*12</f>
        <v>43200000</v>
      </c>
      <c r="N5" s="32">
        <f>L5/30</f>
        <v>120000</v>
      </c>
    </row>
    <row r="6">
      <c r="B6" s="7" t="s">
        <v>153</v>
      </c>
      <c r="C6" s="24">
        <v>1200000.0</v>
      </c>
      <c r="D6" s="32">
        <f t="shared" ref="D6:D15" si="1">(C6*12)</f>
        <v>14400000</v>
      </c>
      <c r="E6" s="7" t="s">
        <v>154</v>
      </c>
      <c r="F6" s="24">
        <v>1200000.0</v>
      </c>
      <c r="G6" s="32">
        <f t="shared" ref="G6:G15" si="2">F6*12</f>
        <v>14400000</v>
      </c>
      <c r="H6" s="7" t="s">
        <v>155</v>
      </c>
      <c r="I6" s="24">
        <v>1200000.0</v>
      </c>
      <c r="J6" s="32">
        <f t="shared" ref="J6:J15" si="3">I6*12</f>
        <v>14400000</v>
      </c>
    </row>
    <row r="7">
      <c r="B7" s="7"/>
      <c r="C7" s="24"/>
      <c r="D7" s="32">
        <f t="shared" si="1"/>
        <v>0</v>
      </c>
      <c r="E7" s="7"/>
      <c r="F7" s="24"/>
      <c r="G7" s="32">
        <f t="shared" si="2"/>
        <v>0</v>
      </c>
      <c r="H7" s="7"/>
      <c r="I7" s="24"/>
      <c r="J7" s="32">
        <f t="shared" si="3"/>
        <v>0</v>
      </c>
    </row>
    <row r="8">
      <c r="B8" s="7"/>
      <c r="C8" s="24"/>
      <c r="D8" s="32">
        <f t="shared" si="1"/>
        <v>0</v>
      </c>
      <c r="E8" s="7"/>
      <c r="F8" s="24"/>
      <c r="G8" s="32">
        <f t="shared" si="2"/>
        <v>0</v>
      </c>
      <c r="H8" s="7"/>
      <c r="I8" s="24"/>
      <c r="J8" s="32">
        <f t="shared" si="3"/>
        <v>0</v>
      </c>
    </row>
    <row r="9">
      <c r="B9" s="7"/>
      <c r="C9" s="24"/>
      <c r="D9" s="32">
        <f t="shared" si="1"/>
        <v>0</v>
      </c>
      <c r="E9" s="7"/>
      <c r="F9" s="24"/>
      <c r="G9" s="32">
        <f t="shared" si="2"/>
        <v>0</v>
      </c>
      <c r="H9" s="7"/>
      <c r="I9" s="24"/>
      <c r="J9" s="32">
        <f t="shared" si="3"/>
        <v>0</v>
      </c>
    </row>
    <row r="10">
      <c r="B10" s="7"/>
      <c r="C10" s="24"/>
      <c r="D10" s="32">
        <f t="shared" si="1"/>
        <v>0</v>
      </c>
      <c r="E10" s="7"/>
      <c r="F10" s="24"/>
      <c r="G10" s="32">
        <f t="shared" si="2"/>
        <v>0</v>
      </c>
      <c r="H10" s="7"/>
      <c r="I10" s="24"/>
      <c r="J10" s="32">
        <f t="shared" si="3"/>
        <v>0</v>
      </c>
    </row>
    <row r="11">
      <c r="B11" s="7"/>
      <c r="C11" s="24"/>
      <c r="D11" s="32">
        <f t="shared" si="1"/>
        <v>0</v>
      </c>
      <c r="E11" s="7"/>
      <c r="F11" s="24"/>
      <c r="G11" s="32">
        <f t="shared" si="2"/>
        <v>0</v>
      </c>
      <c r="H11" s="7"/>
      <c r="I11" s="24"/>
      <c r="J11" s="32">
        <f t="shared" si="3"/>
        <v>0</v>
      </c>
    </row>
    <row r="12">
      <c r="B12" s="7"/>
      <c r="C12" s="24"/>
      <c r="D12" s="32">
        <f t="shared" si="1"/>
        <v>0</v>
      </c>
      <c r="E12" s="7"/>
      <c r="F12" s="24"/>
      <c r="G12" s="32">
        <f t="shared" si="2"/>
        <v>0</v>
      </c>
      <c r="H12" s="7"/>
      <c r="I12" s="24"/>
      <c r="J12" s="32">
        <f t="shared" si="3"/>
        <v>0</v>
      </c>
    </row>
    <row r="13">
      <c r="B13" s="7"/>
      <c r="C13" s="24"/>
      <c r="D13" s="32">
        <f t="shared" si="1"/>
        <v>0</v>
      </c>
      <c r="E13" s="7"/>
      <c r="F13" s="24"/>
      <c r="G13" s="32">
        <f t="shared" si="2"/>
        <v>0</v>
      </c>
      <c r="H13" s="7"/>
      <c r="I13" s="24"/>
      <c r="J13" s="32">
        <f t="shared" si="3"/>
        <v>0</v>
      </c>
    </row>
    <row r="14">
      <c r="B14" s="7"/>
      <c r="C14" s="24"/>
      <c r="D14" s="32">
        <f t="shared" si="1"/>
        <v>0</v>
      </c>
      <c r="E14" s="7"/>
      <c r="F14" s="24"/>
      <c r="G14" s="32">
        <f t="shared" si="2"/>
        <v>0</v>
      </c>
      <c r="H14" s="7"/>
      <c r="I14" s="24"/>
      <c r="J14" s="32">
        <f t="shared" si="3"/>
        <v>0</v>
      </c>
    </row>
    <row r="15">
      <c r="B15" s="7"/>
      <c r="C15" s="24"/>
      <c r="D15" s="32">
        <f t="shared" si="1"/>
        <v>0</v>
      </c>
      <c r="E15" s="7"/>
      <c r="F15" s="24"/>
      <c r="G15" s="32">
        <f t="shared" si="2"/>
        <v>0</v>
      </c>
      <c r="H15" s="7"/>
      <c r="I15" s="24"/>
      <c r="J15" s="32">
        <f t="shared" si="3"/>
        <v>0</v>
      </c>
    </row>
    <row r="16">
      <c r="B16" s="5" t="s">
        <v>127</v>
      </c>
      <c r="C16" s="26">
        <f t="shared" ref="C16:D16" si="4">SUM(C6:C15)</f>
        <v>1200000</v>
      </c>
      <c r="D16" s="26">
        <f t="shared" si="4"/>
        <v>14400000</v>
      </c>
      <c r="E16" s="5" t="s">
        <v>127</v>
      </c>
      <c r="F16" s="26">
        <f t="shared" ref="F16:G16" si="5">SUM(F6:F15)</f>
        <v>1200000</v>
      </c>
      <c r="G16" s="26">
        <f t="shared" si="5"/>
        <v>14400000</v>
      </c>
      <c r="H16" s="5" t="s">
        <v>127</v>
      </c>
      <c r="I16" s="26">
        <f t="shared" ref="I16:J16" si="6">SUM(I6:I15)</f>
        <v>1200000</v>
      </c>
      <c r="J16" s="26">
        <f t="shared" si="6"/>
        <v>14400000</v>
      </c>
    </row>
    <row r="17">
      <c r="B17" s="36" t="s">
        <v>156</v>
      </c>
      <c r="C17" s="32">
        <f>C16*D27</f>
        <v>108000</v>
      </c>
      <c r="D17" s="32">
        <f>D16*D27</f>
        <v>1296000</v>
      </c>
      <c r="E17" s="36" t="s">
        <v>156</v>
      </c>
      <c r="F17" s="32">
        <f>F16*D27</f>
        <v>108000</v>
      </c>
      <c r="G17" s="32">
        <f>G16*D27</f>
        <v>1296000</v>
      </c>
      <c r="H17" s="36" t="s">
        <v>156</v>
      </c>
      <c r="I17" s="32">
        <f>I16*D27</f>
        <v>108000</v>
      </c>
      <c r="J17" s="32">
        <f>J16*D27</f>
        <v>1296000</v>
      </c>
    </row>
    <row r="18">
      <c r="B18" s="36" t="s">
        <v>157</v>
      </c>
      <c r="C18" s="32">
        <f>C16*D28</f>
        <v>252000</v>
      </c>
      <c r="D18" s="32">
        <f>D16*D28</f>
        <v>3024000</v>
      </c>
      <c r="E18" s="36" t="s">
        <v>157</v>
      </c>
      <c r="F18" s="32">
        <f>F16*D28</f>
        <v>252000</v>
      </c>
      <c r="G18" s="32">
        <f>G16*D28</f>
        <v>3024000</v>
      </c>
      <c r="H18" s="36" t="s">
        <v>157</v>
      </c>
      <c r="I18" s="32">
        <f>I16*D28</f>
        <v>252000</v>
      </c>
      <c r="J18" s="32">
        <f>J16*D28</f>
        <v>3024000</v>
      </c>
    </row>
    <row r="19">
      <c r="B19" s="36" t="s">
        <v>158</v>
      </c>
      <c r="C19" s="32">
        <f t="shared" ref="C19:D19" si="7">C16*C29</f>
        <v>99960</v>
      </c>
      <c r="D19" s="32">
        <f t="shared" si="7"/>
        <v>1199520</v>
      </c>
      <c r="E19" s="36" t="s">
        <v>158</v>
      </c>
      <c r="F19" s="32">
        <f>F6*D29</f>
        <v>99960</v>
      </c>
      <c r="G19" s="32">
        <f>G16*D29</f>
        <v>1199520</v>
      </c>
      <c r="H19" s="36" t="s">
        <v>158</v>
      </c>
      <c r="I19" s="32">
        <f>I16*D29</f>
        <v>99960</v>
      </c>
      <c r="J19" s="32">
        <f>J16*D29</f>
        <v>1199520</v>
      </c>
    </row>
    <row r="20">
      <c r="B20" s="36" t="s">
        <v>159</v>
      </c>
      <c r="C20" s="32">
        <f>C19*C30</f>
        <v>999.6</v>
      </c>
      <c r="D20" s="32">
        <f>D19*C30</f>
        <v>11995.2</v>
      </c>
      <c r="E20" s="36" t="s">
        <v>159</v>
      </c>
      <c r="F20" s="32">
        <f>F19*C30</f>
        <v>999.6</v>
      </c>
      <c r="G20" s="32">
        <f>G19*C30</f>
        <v>11995.2</v>
      </c>
      <c r="H20" s="36" t="s">
        <v>159</v>
      </c>
      <c r="I20" s="32">
        <f>I19*C30</f>
        <v>999.6</v>
      </c>
      <c r="J20" s="32">
        <f>J19*C30</f>
        <v>11995.2</v>
      </c>
    </row>
    <row r="21" ht="15.75" customHeight="1">
      <c r="B21" s="36" t="s">
        <v>160</v>
      </c>
      <c r="C21" s="32">
        <f t="shared" ref="C21:D21" si="8">C16*C31</f>
        <v>99960</v>
      </c>
      <c r="D21" s="32">
        <f t="shared" si="8"/>
        <v>1199520</v>
      </c>
      <c r="E21" s="36" t="s">
        <v>160</v>
      </c>
      <c r="F21" s="32">
        <f>F16*D31</f>
        <v>99960</v>
      </c>
      <c r="G21" s="32">
        <f>G16*D31</f>
        <v>1199520</v>
      </c>
      <c r="H21" s="36" t="s">
        <v>160</v>
      </c>
      <c r="I21" s="32">
        <f>I16*D31</f>
        <v>99960</v>
      </c>
      <c r="J21" s="32">
        <f>J16*D31</f>
        <v>1199520</v>
      </c>
    </row>
    <row r="22" ht="15.75" customHeight="1">
      <c r="B22" s="36" t="s">
        <v>161</v>
      </c>
      <c r="C22" s="32">
        <f t="shared" ref="C22:D22" si="9">C16*C32</f>
        <v>50040</v>
      </c>
      <c r="D22" s="32">
        <f t="shared" si="9"/>
        <v>600480</v>
      </c>
      <c r="E22" s="36" t="s">
        <v>161</v>
      </c>
      <c r="F22" s="32">
        <f>F16*D32</f>
        <v>50040</v>
      </c>
      <c r="G22" s="32">
        <f>G16*D32</f>
        <v>600480</v>
      </c>
      <c r="H22" s="36" t="s">
        <v>161</v>
      </c>
      <c r="I22" s="32">
        <f>I16*D32</f>
        <v>50040</v>
      </c>
      <c r="J22" s="32">
        <f>J16*D32</f>
        <v>600480</v>
      </c>
    </row>
    <row r="23" ht="15.75" customHeight="1">
      <c r="B23" s="5" t="s">
        <v>162</v>
      </c>
      <c r="C23" s="26">
        <f t="shared" ref="C23:D23" si="10">SUM(C16:C22)</f>
        <v>1810959.6</v>
      </c>
      <c r="D23" s="26">
        <f t="shared" si="10"/>
        <v>21731515.2</v>
      </c>
      <c r="E23" s="5"/>
      <c r="F23" s="26">
        <f t="shared" ref="F23:G23" si="11">SUM(F16:F22)</f>
        <v>1810959.6</v>
      </c>
      <c r="G23" s="26">
        <f t="shared" si="11"/>
        <v>21731515.2</v>
      </c>
      <c r="H23" s="5"/>
      <c r="I23" s="26">
        <f t="shared" ref="I23:J23" si="12">SUM(I16:I22)</f>
        <v>1810959.6</v>
      </c>
      <c r="J23" s="26">
        <f t="shared" si="12"/>
        <v>21731515.2</v>
      </c>
    </row>
    <row r="24" ht="15.75" customHeight="1"/>
    <row r="25" ht="15.75" customHeight="1"/>
    <row r="26" ht="15.75" customHeight="1">
      <c r="B26" s="5" t="s">
        <v>163</v>
      </c>
      <c r="C26" s="20" t="s">
        <v>164</v>
      </c>
      <c r="D26" s="20" t="s">
        <v>164</v>
      </c>
      <c r="F26" s="28" t="s">
        <v>81</v>
      </c>
      <c r="G26" s="28" t="s">
        <v>165</v>
      </c>
      <c r="H26" s="28" t="s">
        <v>83</v>
      </c>
    </row>
    <row r="27" ht="15.75" customHeight="1">
      <c r="B27" s="36" t="s">
        <v>156</v>
      </c>
      <c r="C27" s="22">
        <v>0.09</v>
      </c>
      <c r="D27" s="22">
        <f t="shared" ref="D27:D33" si="13">C27</f>
        <v>0.09</v>
      </c>
      <c r="F27" s="36" t="s">
        <v>84</v>
      </c>
      <c r="G27" s="21">
        <v>0.03</v>
      </c>
      <c r="H27" s="37">
        <f t="shared" ref="H27:H30" si="14">G27+1</f>
        <v>1.03</v>
      </c>
    </row>
    <row r="28" ht="15.75" customHeight="1">
      <c r="B28" s="36" t="s">
        <v>157</v>
      </c>
      <c r="C28" s="22">
        <v>0.21</v>
      </c>
      <c r="D28" s="22">
        <f t="shared" si="13"/>
        <v>0.21</v>
      </c>
      <c r="F28" s="36" t="s">
        <v>85</v>
      </c>
      <c r="G28" s="21">
        <v>0.05</v>
      </c>
      <c r="H28" s="37">
        <f t="shared" si="14"/>
        <v>1.05</v>
      </c>
    </row>
    <row r="29" ht="15.75" customHeight="1">
      <c r="B29" s="36" t="s">
        <v>158</v>
      </c>
      <c r="C29" s="22">
        <v>0.0833</v>
      </c>
      <c r="D29" s="22">
        <f t="shared" si="13"/>
        <v>0.0833</v>
      </c>
      <c r="F29" s="36" t="s">
        <v>86</v>
      </c>
      <c r="G29" s="21">
        <v>0.05</v>
      </c>
      <c r="H29" s="37">
        <f t="shared" si="14"/>
        <v>1.05</v>
      </c>
    </row>
    <row r="30" ht="15.75" customHeight="1">
      <c r="B30" s="36" t="s">
        <v>166</v>
      </c>
      <c r="C30" s="22">
        <v>0.01</v>
      </c>
      <c r="D30" s="22">
        <f t="shared" si="13"/>
        <v>0.01</v>
      </c>
      <c r="F30" s="36" t="s">
        <v>87</v>
      </c>
      <c r="G30" s="21">
        <v>0.05</v>
      </c>
      <c r="H30" s="37">
        <f t="shared" si="14"/>
        <v>1.05</v>
      </c>
    </row>
    <row r="31" ht="15.75" customHeight="1">
      <c r="B31" s="36" t="s">
        <v>160</v>
      </c>
      <c r="C31" s="22">
        <v>0.0833</v>
      </c>
      <c r="D31" s="22">
        <f t="shared" si="13"/>
        <v>0.0833</v>
      </c>
      <c r="F31" s="49"/>
      <c r="G31" s="9" t="s">
        <v>167</v>
      </c>
    </row>
    <row r="32" ht="15.75" customHeight="1">
      <c r="B32" s="36" t="s">
        <v>161</v>
      </c>
      <c r="C32" s="22">
        <v>0.0417</v>
      </c>
      <c r="D32" s="22">
        <f t="shared" si="13"/>
        <v>0.0417</v>
      </c>
    </row>
    <row r="33" ht="15.75" customHeight="1">
      <c r="B33" s="5" t="s">
        <v>112</v>
      </c>
      <c r="C33" s="50">
        <f>SUM(C27:C32)</f>
        <v>0.5183</v>
      </c>
      <c r="D33" s="50">
        <f t="shared" si="13"/>
        <v>0.5183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>
      <c r="B39" s="1" t="s">
        <v>168</v>
      </c>
      <c r="C39" s="2"/>
      <c r="D39" s="2"/>
      <c r="E39" s="2"/>
      <c r="F39" s="2"/>
      <c r="G39" s="2"/>
      <c r="H39" s="2"/>
      <c r="I39" s="2"/>
      <c r="J39" s="2"/>
      <c r="K39" s="2"/>
      <c r="L39" s="3"/>
    </row>
    <row r="40" ht="15.75" customHeight="1">
      <c r="B40" s="1" t="s">
        <v>169</v>
      </c>
      <c r="C40" s="2"/>
      <c r="D40" s="3"/>
      <c r="E40" s="1" t="s">
        <v>170</v>
      </c>
      <c r="F40" s="2"/>
      <c r="G40" s="3"/>
      <c r="H40" s="1" t="s">
        <v>171</v>
      </c>
      <c r="I40" s="2"/>
      <c r="J40" s="3"/>
      <c r="K40" s="1" t="s">
        <v>172</v>
      </c>
      <c r="L40" s="3"/>
    </row>
    <row r="41" ht="15.75" customHeight="1">
      <c r="B41" s="20" t="s">
        <v>173</v>
      </c>
      <c r="C41" s="20" t="s">
        <v>66</v>
      </c>
      <c r="D41" s="20" t="s">
        <v>174</v>
      </c>
      <c r="E41" s="20" t="s">
        <v>175</v>
      </c>
      <c r="F41" s="20" t="s">
        <v>66</v>
      </c>
      <c r="G41" s="20" t="s">
        <v>97</v>
      </c>
      <c r="H41" s="20" t="s">
        <v>175</v>
      </c>
      <c r="I41" s="20" t="s">
        <v>66</v>
      </c>
      <c r="J41" s="20" t="s">
        <v>97</v>
      </c>
      <c r="K41" s="20" t="s">
        <v>176</v>
      </c>
      <c r="L41" s="20" t="s">
        <v>177</v>
      </c>
      <c r="M41" s="51" t="s">
        <v>178</v>
      </c>
    </row>
    <row r="42" ht="15.75" customHeight="1">
      <c r="B42" s="36" t="s">
        <v>179</v>
      </c>
      <c r="C42" s="52"/>
      <c r="D42" s="32">
        <f t="shared" ref="D42:D51" si="15">C42*12</f>
        <v>0</v>
      </c>
      <c r="E42" s="36" t="s">
        <v>179</v>
      </c>
      <c r="F42" s="52"/>
      <c r="G42" s="32">
        <f t="shared" ref="G42:G51" si="16">F42*12</f>
        <v>0</v>
      </c>
      <c r="H42" s="36" t="s">
        <v>179</v>
      </c>
      <c r="I42" s="52"/>
      <c r="J42" s="53"/>
      <c r="K42" s="32">
        <f t="shared" ref="K42:K51" si="17">C42+F42+I42</f>
        <v>0</v>
      </c>
      <c r="L42" s="32">
        <f>+K42*12</f>
        <v>0</v>
      </c>
    </row>
    <row r="43" ht="15.75" customHeight="1">
      <c r="B43" s="36" t="s">
        <v>180</v>
      </c>
      <c r="C43" s="24">
        <v>200000.0</v>
      </c>
      <c r="D43" s="32">
        <f t="shared" si="15"/>
        <v>2400000</v>
      </c>
      <c r="E43" s="36" t="s">
        <v>180</v>
      </c>
      <c r="F43" s="24">
        <v>200000.0</v>
      </c>
      <c r="G43" s="32">
        <f t="shared" si="16"/>
        <v>2400000</v>
      </c>
      <c r="H43" s="36" t="s">
        <v>180</v>
      </c>
      <c r="I43" s="24">
        <v>200000.0</v>
      </c>
      <c r="J43" s="32">
        <f t="shared" ref="J43:J49" si="18">I43*12</f>
        <v>2400000</v>
      </c>
      <c r="K43" s="32">
        <f t="shared" si="17"/>
        <v>600000</v>
      </c>
      <c r="L43" s="32">
        <f t="shared" ref="L43:L51" si="19">D43+G43+J43</f>
        <v>7200000</v>
      </c>
    </row>
    <row r="44" ht="15.75" customHeight="1">
      <c r="B44" s="36" t="s">
        <v>181</v>
      </c>
      <c r="C44" s="24">
        <v>25000.0</v>
      </c>
      <c r="D44" s="32">
        <f t="shared" si="15"/>
        <v>300000</v>
      </c>
      <c r="E44" s="36" t="s">
        <v>181</v>
      </c>
      <c r="F44" s="24">
        <v>10000.0</v>
      </c>
      <c r="G44" s="32">
        <f t="shared" si="16"/>
        <v>120000</v>
      </c>
      <c r="H44" s="36" t="s">
        <v>181</v>
      </c>
      <c r="I44" s="24">
        <v>10000.0</v>
      </c>
      <c r="J44" s="32">
        <f t="shared" si="18"/>
        <v>120000</v>
      </c>
      <c r="K44" s="32">
        <f t="shared" si="17"/>
        <v>45000</v>
      </c>
      <c r="L44" s="32">
        <f t="shared" si="19"/>
        <v>540000</v>
      </c>
    </row>
    <row r="45" ht="15.75" customHeight="1">
      <c r="B45" s="36" t="s">
        <v>17</v>
      </c>
      <c r="C45" s="24">
        <v>25000.0</v>
      </c>
      <c r="D45" s="32">
        <f t="shared" si="15"/>
        <v>300000</v>
      </c>
      <c r="E45" s="36" t="s">
        <v>17</v>
      </c>
      <c r="F45" s="24">
        <v>25000.0</v>
      </c>
      <c r="G45" s="32">
        <f t="shared" si="16"/>
        <v>300000</v>
      </c>
      <c r="H45" s="36" t="s">
        <v>17</v>
      </c>
      <c r="I45" s="24">
        <v>25000.0</v>
      </c>
      <c r="J45" s="32">
        <f t="shared" si="18"/>
        <v>300000</v>
      </c>
      <c r="K45" s="32">
        <f t="shared" si="17"/>
        <v>75000</v>
      </c>
      <c r="L45" s="32">
        <f t="shared" si="19"/>
        <v>900000</v>
      </c>
    </row>
    <row r="46" ht="15.75" customHeight="1">
      <c r="B46" s="36" t="s">
        <v>182</v>
      </c>
      <c r="C46" s="24"/>
      <c r="D46" s="32">
        <f t="shared" si="15"/>
        <v>0</v>
      </c>
      <c r="E46" s="36" t="s">
        <v>182</v>
      </c>
      <c r="F46" s="24">
        <v>30000.0</v>
      </c>
      <c r="G46" s="32">
        <f t="shared" si="16"/>
        <v>360000</v>
      </c>
      <c r="H46" s="36" t="s">
        <v>182</v>
      </c>
      <c r="I46" s="24">
        <v>10000.0</v>
      </c>
      <c r="J46" s="32">
        <f t="shared" si="18"/>
        <v>120000</v>
      </c>
      <c r="K46" s="32">
        <f t="shared" si="17"/>
        <v>40000</v>
      </c>
      <c r="L46" s="32">
        <f t="shared" si="19"/>
        <v>480000</v>
      </c>
    </row>
    <row r="47" ht="15.75" customHeight="1">
      <c r="B47" s="36" t="s">
        <v>183</v>
      </c>
      <c r="C47" s="24"/>
      <c r="D47" s="32">
        <f t="shared" si="15"/>
        <v>0</v>
      </c>
      <c r="E47" s="36" t="s">
        <v>184</v>
      </c>
      <c r="F47" s="24"/>
      <c r="G47" s="32">
        <f t="shared" si="16"/>
        <v>0</v>
      </c>
      <c r="H47" s="36" t="s">
        <v>185</v>
      </c>
      <c r="I47" s="24">
        <v>50000.0</v>
      </c>
      <c r="J47" s="32">
        <f t="shared" si="18"/>
        <v>600000</v>
      </c>
      <c r="K47" s="32">
        <f t="shared" si="17"/>
        <v>50000</v>
      </c>
      <c r="L47" s="32">
        <f t="shared" si="19"/>
        <v>600000</v>
      </c>
    </row>
    <row r="48" ht="15.75" customHeight="1">
      <c r="B48" s="36" t="s">
        <v>186</v>
      </c>
      <c r="C48" s="24">
        <v>88200.0</v>
      </c>
      <c r="D48" s="32">
        <f t="shared" si="15"/>
        <v>1058400</v>
      </c>
      <c r="E48" s="36" t="s">
        <v>186</v>
      </c>
      <c r="F48" s="24">
        <v>88200.0</v>
      </c>
      <c r="G48" s="32">
        <f t="shared" si="16"/>
        <v>1058400</v>
      </c>
      <c r="H48" s="36" t="s">
        <v>186</v>
      </c>
      <c r="I48" s="24">
        <v>88200.0</v>
      </c>
      <c r="J48" s="32">
        <f t="shared" si="18"/>
        <v>1058400</v>
      </c>
      <c r="K48" s="32">
        <f t="shared" si="17"/>
        <v>264600</v>
      </c>
      <c r="L48" s="32">
        <f t="shared" si="19"/>
        <v>3175200</v>
      </c>
    </row>
    <row r="49" ht="15.75" customHeight="1">
      <c r="B49" s="36" t="s">
        <v>187</v>
      </c>
      <c r="C49" s="24"/>
      <c r="D49" s="32">
        <f t="shared" si="15"/>
        <v>0</v>
      </c>
      <c r="E49" s="36"/>
      <c r="F49" s="24"/>
      <c r="G49" s="32">
        <f t="shared" si="16"/>
        <v>0</v>
      </c>
      <c r="H49" s="36" t="s">
        <v>187</v>
      </c>
      <c r="I49" s="24"/>
      <c r="J49" s="32">
        <f t="shared" si="18"/>
        <v>0</v>
      </c>
      <c r="K49" s="32">
        <f t="shared" si="17"/>
        <v>0</v>
      </c>
      <c r="L49" s="32">
        <f t="shared" si="19"/>
        <v>0</v>
      </c>
    </row>
    <row r="50" ht="15.75" customHeight="1">
      <c r="B50" s="36" t="s">
        <v>188</v>
      </c>
      <c r="C50" s="24"/>
      <c r="D50" s="32">
        <f t="shared" si="15"/>
        <v>0</v>
      </c>
      <c r="E50" s="36"/>
      <c r="F50" s="24"/>
      <c r="G50" s="32">
        <f t="shared" si="16"/>
        <v>0</v>
      </c>
      <c r="H50" s="36"/>
      <c r="I50" s="24"/>
      <c r="J50" s="32"/>
      <c r="K50" s="32">
        <f t="shared" si="17"/>
        <v>0</v>
      </c>
      <c r="L50" s="32">
        <f t="shared" si="19"/>
        <v>0</v>
      </c>
    </row>
    <row r="51" ht="15.75" customHeight="1">
      <c r="B51" s="36" t="s">
        <v>185</v>
      </c>
      <c r="C51" s="24"/>
      <c r="D51" s="32">
        <f t="shared" si="15"/>
        <v>0</v>
      </c>
      <c r="E51" s="36"/>
      <c r="F51" s="24"/>
      <c r="G51" s="32">
        <f t="shared" si="16"/>
        <v>0</v>
      </c>
      <c r="H51" s="36"/>
      <c r="I51" s="24"/>
      <c r="J51" s="32"/>
      <c r="K51" s="32">
        <f t="shared" si="17"/>
        <v>0</v>
      </c>
      <c r="L51" s="32">
        <f t="shared" si="19"/>
        <v>0</v>
      </c>
    </row>
    <row r="52" ht="15.75" customHeight="1">
      <c r="B52" s="5" t="s">
        <v>127</v>
      </c>
      <c r="C52" s="26">
        <f t="shared" ref="C52:D52" si="20">SUM(C42:C51)</f>
        <v>338200</v>
      </c>
      <c r="D52" s="26">
        <f t="shared" si="20"/>
        <v>4058400</v>
      </c>
      <c r="E52" s="5" t="s">
        <v>127</v>
      </c>
      <c r="F52" s="26">
        <f t="shared" ref="F52:G52" si="21">SUM(F42:F51)</f>
        <v>353200</v>
      </c>
      <c r="G52" s="26">
        <f t="shared" si="21"/>
        <v>4238400</v>
      </c>
      <c r="H52" s="5" t="s">
        <v>127</v>
      </c>
      <c r="I52" s="26">
        <f t="shared" ref="I52:L52" si="22">SUM(I42:I51)</f>
        <v>383200</v>
      </c>
      <c r="J52" s="26">
        <f t="shared" si="22"/>
        <v>4598400</v>
      </c>
      <c r="K52" s="26">
        <f t="shared" si="22"/>
        <v>1074600</v>
      </c>
      <c r="L52" s="26">
        <f t="shared" si="22"/>
        <v>12895200</v>
      </c>
      <c r="M52" s="54">
        <f>K52/30</f>
        <v>35820</v>
      </c>
    </row>
    <row r="53" ht="15.75" customHeight="1"/>
    <row r="54" ht="15.75" customHeight="1"/>
    <row r="55" ht="15.75" customHeight="1">
      <c r="B55" s="5" t="s">
        <v>81</v>
      </c>
      <c r="C55" s="5" t="s">
        <v>165</v>
      </c>
      <c r="D55" s="5" t="s">
        <v>189</v>
      </c>
    </row>
    <row r="56" ht="15.75" customHeight="1">
      <c r="B56" s="36" t="s">
        <v>84</v>
      </c>
      <c r="C56" s="21">
        <v>0.04</v>
      </c>
      <c r="D56" s="37">
        <f t="shared" ref="D56:D59" si="23">C56+1</f>
        <v>1.04</v>
      </c>
    </row>
    <row r="57" ht="15.75" customHeight="1">
      <c r="B57" s="36" t="s">
        <v>85</v>
      </c>
      <c r="C57" s="21">
        <v>0.04</v>
      </c>
      <c r="D57" s="37">
        <f t="shared" si="23"/>
        <v>1.04</v>
      </c>
    </row>
    <row r="58" ht="15.75" customHeight="1">
      <c r="B58" s="36" t="s">
        <v>86</v>
      </c>
      <c r="C58" s="21">
        <v>0.04</v>
      </c>
      <c r="D58" s="37">
        <f t="shared" si="23"/>
        <v>1.04</v>
      </c>
    </row>
    <row r="59" ht="15.75" customHeight="1">
      <c r="B59" s="36" t="s">
        <v>87</v>
      </c>
      <c r="C59" s="21">
        <v>0.04</v>
      </c>
      <c r="D59" s="37">
        <f t="shared" si="23"/>
        <v>1.04</v>
      </c>
    </row>
    <row r="60" ht="15.75" customHeight="1">
      <c r="C60" s="9" t="s">
        <v>190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H40:J40"/>
    <mergeCell ref="K40:L40"/>
    <mergeCell ref="B2:J2"/>
    <mergeCell ref="B4:D4"/>
    <mergeCell ref="E4:G4"/>
    <mergeCell ref="H4:J4"/>
    <mergeCell ref="B39:L39"/>
    <mergeCell ref="B40:D40"/>
    <mergeCell ref="E40:G40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C1130"/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4.63"/>
    <col customWidth="1" min="3" max="3" width="19.25"/>
    <col customWidth="1" min="4" max="4" width="21.75"/>
    <col customWidth="1" min="5" max="5" width="12.0"/>
    <col customWidth="1" min="6" max="6" width="26.0"/>
    <col customWidth="1" min="7" max="7" width="20.63"/>
    <col customWidth="1" min="8" max="8" width="16.88"/>
    <col customWidth="1" min="9" max="9" width="17.0"/>
    <col customWidth="1" min="10" max="26" width="9.38"/>
  </cols>
  <sheetData>
    <row r="3">
      <c r="B3" s="1" t="s">
        <v>191</v>
      </c>
      <c r="C3" s="2"/>
      <c r="D3" s="2"/>
      <c r="E3" s="2"/>
      <c r="F3" s="2"/>
      <c r="G3" s="2"/>
      <c r="H3" s="2"/>
      <c r="I3" s="3"/>
    </row>
    <row r="5">
      <c r="B5" s="55" t="s">
        <v>192</v>
      </c>
      <c r="C5" s="55" t="s">
        <v>193</v>
      </c>
      <c r="D5" s="55" t="s">
        <v>194</v>
      </c>
      <c r="E5" s="1" t="s">
        <v>195</v>
      </c>
      <c r="F5" s="2"/>
      <c r="G5" s="2"/>
      <c r="H5" s="2"/>
      <c r="I5" s="3"/>
    </row>
    <row r="6">
      <c r="B6" s="56"/>
      <c r="C6" s="56"/>
      <c r="D6" s="56"/>
      <c r="E6" s="20" t="s">
        <v>97</v>
      </c>
      <c r="F6" s="20" t="s">
        <v>84</v>
      </c>
      <c r="G6" s="20" t="s">
        <v>85</v>
      </c>
      <c r="H6" s="20" t="s">
        <v>86</v>
      </c>
      <c r="I6" s="20" t="s">
        <v>87</v>
      </c>
    </row>
    <row r="7">
      <c r="B7" s="36" t="s">
        <v>196</v>
      </c>
      <c r="C7" s="33">
        <v>30.0</v>
      </c>
      <c r="D7" s="29" t="s">
        <v>197</v>
      </c>
      <c r="E7" s="32">
        <f>('Presupuesto de Costos y G año 1'!D7+'Presupuesto de Costos y G año 1'!D18+'Presupuesto de Costos y G año 1'!D29)*C7/360</f>
        <v>3600000</v>
      </c>
      <c r="F7" s="57"/>
      <c r="G7" s="57"/>
      <c r="H7" s="57"/>
      <c r="I7" s="57"/>
    </row>
    <row r="8">
      <c r="B8" s="36" t="s">
        <v>198</v>
      </c>
      <c r="C8" s="7">
        <v>30.0</v>
      </c>
      <c r="D8" s="29" t="s">
        <v>199</v>
      </c>
      <c r="E8" s="32">
        <f>('Estados de Resultados'!D12+'Estados de Resultados'!D17+'Estados de Resultados'!D19)*'Plan de Inversión'!C8/360</f>
        <v>1074600</v>
      </c>
      <c r="F8" s="57"/>
      <c r="G8" s="57"/>
      <c r="H8" s="57"/>
      <c r="I8" s="57"/>
    </row>
    <row r="9">
      <c r="B9" s="36" t="s">
        <v>200</v>
      </c>
      <c r="C9" s="7">
        <v>0.0</v>
      </c>
      <c r="D9" s="29" t="s">
        <v>201</v>
      </c>
      <c r="E9" s="32">
        <f>('Estados de Resultados'!D10)*$C$9/360</f>
        <v>0</v>
      </c>
      <c r="F9" s="32">
        <f>('Estados de Resultados'!E10)*$C$9/360</f>
        <v>0</v>
      </c>
      <c r="G9" s="32">
        <f>('Estados de Resultados'!F10)*$C$9/360</f>
        <v>0</v>
      </c>
      <c r="H9" s="32">
        <f>('Estados de Resultados'!G10)*$C$9/360</f>
        <v>0</v>
      </c>
      <c r="I9" s="32">
        <f>('Estados de Resultados'!H10)*$C$9/360</f>
        <v>0</v>
      </c>
    </row>
    <row r="10">
      <c r="B10" s="36" t="s">
        <v>202</v>
      </c>
      <c r="C10" s="7">
        <v>0.0</v>
      </c>
      <c r="D10" s="29" t="s">
        <v>203</v>
      </c>
      <c r="E10" s="32">
        <f>('Estados de Resultados'!D14)*C10/360</f>
        <v>0</v>
      </c>
      <c r="F10" s="32">
        <f>('Estados de Resultados'!E14)*C10/360</f>
        <v>0</v>
      </c>
      <c r="G10" s="32">
        <f>('Estados de Resultados'!F14)*C10/360</f>
        <v>0</v>
      </c>
      <c r="H10" s="32">
        <f>('Estados de Resultados'!G14)*C10/360</f>
        <v>0</v>
      </c>
      <c r="I10" s="32">
        <f>('Estados de Resultados'!H14)*C10/360</f>
        <v>0</v>
      </c>
    </row>
    <row r="11">
      <c r="B11" s="36" t="s">
        <v>204</v>
      </c>
      <c r="C11" s="7">
        <v>0.0</v>
      </c>
      <c r="D11" s="29" t="s">
        <v>205</v>
      </c>
      <c r="E11" s="32">
        <f>('Estados de Resultados'!D14)*C11/360</f>
        <v>0</v>
      </c>
      <c r="F11" s="32">
        <f>('Estados de Resultados'!E14)*C11/360</f>
        <v>0</v>
      </c>
      <c r="G11" s="32">
        <f>('Estados de Resultados'!F14)*C11/360</f>
        <v>0</v>
      </c>
      <c r="H11" s="32">
        <f>('Estados de Resultados'!G14)*C11/360</f>
        <v>0</v>
      </c>
      <c r="I11" s="32">
        <f>('Estados de Resultados'!H14)*C11/360</f>
        <v>0</v>
      </c>
    </row>
    <row r="12">
      <c r="B12" s="36" t="s">
        <v>206</v>
      </c>
      <c r="C12" s="7">
        <v>1.0</v>
      </c>
      <c r="D12" s="29" t="s">
        <v>207</v>
      </c>
      <c r="E12" s="32">
        <f>'Flujo de Caja Mensual'!N12</f>
        <v>416666.6667</v>
      </c>
      <c r="F12" s="32">
        <f>('Estados de Resultados'!E9)*C12/360</f>
        <v>429166.6667</v>
      </c>
      <c r="G12" s="32">
        <f>('Estados de Resultados'!F9)*C12/360</f>
        <v>442041.6667</v>
      </c>
      <c r="H12" s="32">
        <f>('Estados de Resultados'!G9)*C12/360</f>
        <v>455302.9167</v>
      </c>
      <c r="I12" s="32">
        <f>('Estados de Resultados'!H9)*C12/360</f>
        <v>468962.0042</v>
      </c>
    </row>
    <row r="13">
      <c r="B13" s="5" t="s">
        <v>112</v>
      </c>
      <c r="C13" s="5"/>
      <c r="D13" s="5"/>
      <c r="E13" s="26">
        <f>SUM(E7:E12)</f>
        <v>5091266.667</v>
      </c>
      <c r="F13" s="26">
        <f t="shared" ref="F13:I13" si="1">SUM(F9:F12)</f>
        <v>429166.6667</v>
      </c>
      <c r="G13" s="26">
        <f t="shared" si="1"/>
        <v>442041.6667</v>
      </c>
      <c r="H13" s="26">
        <f t="shared" si="1"/>
        <v>455302.9167</v>
      </c>
      <c r="I13" s="26">
        <f t="shared" si="1"/>
        <v>468962.0042</v>
      </c>
    </row>
    <row r="16">
      <c r="B16" s="1" t="s">
        <v>208</v>
      </c>
      <c r="C16" s="2"/>
      <c r="D16" s="2"/>
      <c r="E16" s="2"/>
      <c r="F16" s="3"/>
    </row>
    <row r="17">
      <c r="B17" s="5" t="s">
        <v>208</v>
      </c>
      <c r="C17" s="5" t="s">
        <v>209</v>
      </c>
      <c r="D17" s="5"/>
      <c r="E17" s="5" t="s">
        <v>97</v>
      </c>
      <c r="F17" s="5" t="s">
        <v>210</v>
      </c>
    </row>
    <row r="18">
      <c r="B18" s="7"/>
      <c r="C18" s="24"/>
      <c r="D18" s="58"/>
      <c r="E18" s="32" t="str">
        <f t="shared" ref="E18:E24" si="2">C18</f>
        <v/>
      </c>
      <c r="F18" s="59"/>
    </row>
    <row r="19">
      <c r="B19" s="7"/>
      <c r="C19" s="24"/>
      <c r="D19" s="60"/>
      <c r="E19" s="32" t="str">
        <f t="shared" si="2"/>
        <v/>
      </c>
      <c r="F19" s="60"/>
    </row>
    <row r="20">
      <c r="B20" s="7"/>
      <c r="C20" s="24"/>
      <c r="D20" s="60"/>
      <c r="E20" s="32" t="str">
        <f t="shared" si="2"/>
        <v/>
      </c>
      <c r="F20" s="60"/>
    </row>
    <row r="21" ht="15.75" customHeight="1">
      <c r="B21" s="7"/>
      <c r="C21" s="24"/>
      <c r="D21" s="60"/>
      <c r="E21" s="32" t="str">
        <f t="shared" si="2"/>
        <v/>
      </c>
      <c r="F21" s="60"/>
    </row>
    <row r="22" ht="15.75" customHeight="1">
      <c r="B22" s="61"/>
      <c r="C22" s="24"/>
      <c r="D22" s="60"/>
      <c r="E22" s="32" t="str">
        <f t="shared" si="2"/>
        <v/>
      </c>
      <c r="F22" s="60"/>
    </row>
    <row r="23" ht="15.75" customHeight="1">
      <c r="B23" s="7"/>
      <c r="C23" s="24"/>
      <c r="D23" s="60"/>
      <c r="E23" s="32" t="str">
        <f t="shared" si="2"/>
        <v/>
      </c>
      <c r="F23" s="60"/>
    </row>
    <row r="24" ht="15.75" customHeight="1">
      <c r="B24" s="7"/>
      <c r="C24" s="24"/>
      <c r="D24" s="56"/>
      <c r="E24" s="32" t="str">
        <f t="shared" si="2"/>
        <v/>
      </c>
      <c r="F24" s="56"/>
    </row>
    <row r="25" ht="15.75" customHeight="1">
      <c r="B25" s="5" t="s">
        <v>112</v>
      </c>
      <c r="C25" s="26">
        <f>SUM(C18:C24)</f>
        <v>0</v>
      </c>
      <c r="D25" s="5" t="s">
        <v>211</v>
      </c>
      <c r="E25" s="26">
        <f>SUM(E18:E24)</f>
        <v>0</v>
      </c>
      <c r="F25" s="26">
        <v>5.0</v>
      </c>
    </row>
    <row r="26" ht="15.75" customHeight="1"/>
    <row r="27" ht="15.75" customHeight="1">
      <c r="B27" s="1" t="s">
        <v>212</v>
      </c>
      <c r="C27" s="2"/>
      <c r="D27" s="2"/>
      <c r="E27" s="2"/>
      <c r="F27" s="2"/>
      <c r="G27" s="2"/>
      <c r="H27" s="2"/>
      <c r="I27" s="3"/>
    </row>
    <row r="28" ht="15.75" customHeight="1">
      <c r="B28" s="5" t="s">
        <v>213</v>
      </c>
      <c r="C28" s="5"/>
      <c r="D28" s="5"/>
      <c r="E28" s="5" t="s">
        <v>97</v>
      </c>
      <c r="F28" s="5" t="s">
        <v>84</v>
      </c>
      <c r="G28" s="5" t="s">
        <v>85</v>
      </c>
      <c r="H28" s="5" t="s">
        <v>86</v>
      </c>
      <c r="I28" s="5" t="s">
        <v>87</v>
      </c>
    </row>
    <row r="29" ht="15.75" customHeight="1">
      <c r="B29" s="36" t="s">
        <v>214</v>
      </c>
      <c r="C29" s="7">
        <v>1.0</v>
      </c>
      <c r="D29" s="29"/>
      <c r="E29" s="32">
        <f>('Presupuesto de compras y ventas'!D14)*C29/360</f>
        <v>27777.77778</v>
      </c>
      <c r="F29" s="32">
        <f>('Presupuesto de compras y ventas'!G14)*C29/360</f>
        <v>28888.88889</v>
      </c>
      <c r="G29" s="32">
        <f>('Presupuesto de compras y ventas'!J14)*C29/360</f>
        <v>30044.44444</v>
      </c>
      <c r="H29" s="32">
        <f>('Presupuesto de compras y ventas'!M14)*C29/360</f>
        <v>31246.22222</v>
      </c>
      <c r="I29" s="32">
        <f>('Presupuesto de compras y ventas'!P14)*C29/360</f>
        <v>32496.07111</v>
      </c>
    </row>
    <row r="30" ht="15.75" customHeight="1"/>
    <row r="31" ht="15.75" customHeight="1"/>
    <row r="32" ht="15.75" customHeight="1">
      <c r="B32" s="1" t="s">
        <v>215</v>
      </c>
      <c r="C32" s="2"/>
      <c r="D32" s="2"/>
      <c r="E32" s="2"/>
      <c r="F32" s="2"/>
      <c r="G32" s="2"/>
      <c r="H32" s="2"/>
      <c r="I32" s="3"/>
    </row>
    <row r="33" ht="15.75" customHeight="1"/>
    <row r="34" ht="15.75" customHeight="1">
      <c r="B34" s="20" t="s">
        <v>192</v>
      </c>
      <c r="C34" s="20" t="s">
        <v>216</v>
      </c>
      <c r="D34" s="20" t="s">
        <v>214</v>
      </c>
      <c r="E34" s="20" t="s">
        <v>213</v>
      </c>
      <c r="F34" s="20" t="s">
        <v>217</v>
      </c>
      <c r="G34" s="20" t="s">
        <v>112</v>
      </c>
    </row>
    <row r="35" ht="15.75" customHeight="1">
      <c r="B35" s="36" t="s">
        <v>218</v>
      </c>
      <c r="C35" s="32">
        <f t="shared" ref="C35:C40" si="3">G35-F35-E35-D35</f>
        <v>-27777.77778</v>
      </c>
      <c r="D35" s="32">
        <f>E29</f>
        <v>27777.77778</v>
      </c>
      <c r="E35" s="29"/>
      <c r="F35" s="7"/>
      <c r="G35" s="32">
        <f t="shared" ref="G35:G38" si="4">E9</f>
        <v>0</v>
      </c>
    </row>
    <row r="36" ht="15.75" customHeight="1">
      <c r="B36" s="36" t="s">
        <v>219</v>
      </c>
      <c r="C36" s="32">
        <f t="shared" si="3"/>
        <v>0</v>
      </c>
      <c r="D36" s="29"/>
      <c r="E36" s="29"/>
      <c r="F36" s="7"/>
      <c r="G36" s="32">
        <f t="shared" si="4"/>
        <v>0</v>
      </c>
    </row>
    <row r="37" ht="15.75" customHeight="1">
      <c r="B37" s="36" t="s">
        <v>204</v>
      </c>
      <c r="C37" s="32">
        <f t="shared" si="3"/>
        <v>0</v>
      </c>
      <c r="D37" s="29"/>
      <c r="E37" s="29"/>
      <c r="F37" s="7"/>
      <c r="G37" s="32">
        <f t="shared" si="4"/>
        <v>0</v>
      </c>
    </row>
    <row r="38" ht="15.75" customHeight="1">
      <c r="B38" s="36" t="s">
        <v>206</v>
      </c>
      <c r="C38" s="32">
        <f t="shared" si="3"/>
        <v>416666.6667</v>
      </c>
      <c r="D38" s="29"/>
      <c r="E38" s="29"/>
      <c r="F38" s="7"/>
      <c r="G38" s="32">
        <f t="shared" si="4"/>
        <v>416666.6667</v>
      </c>
    </row>
    <row r="39" ht="15.75" customHeight="1">
      <c r="B39" s="36" t="s">
        <v>220</v>
      </c>
      <c r="C39" s="32">
        <f t="shared" si="3"/>
        <v>0</v>
      </c>
      <c r="D39" s="29"/>
      <c r="E39" s="29"/>
      <c r="F39" s="7"/>
      <c r="G39" s="32">
        <f>E25</f>
        <v>0</v>
      </c>
    </row>
    <row r="40" ht="15.75" customHeight="1">
      <c r="B40" s="36" t="s">
        <v>221</v>
      </c>
      <c r="C40" s="32">
        <f t="shared" si="3"/>
        <v>4674600</v>
      </c>
      <c r="D40" s="29"/>
      <c r="E40" s="29"/>
      <c r="F40" s="7"/>
      <c r="G40" s="32">
        <f>E7+E8</f>
        <v>4674600</v>
      </c>
    </row>
    <row r="41" ht="15.75" customHeight="1">
      <c r="B41" s="5" t="s">
        <v>222</v>
      </c>
      <c r="C41" s="26">
        <f t="shared" ref="C41:G41" si="5">SUM(C35:C40)</f>
        <v>5063488.889</v>
      </c>
      <c r="D41" s="26">
        <f t="shared" si="5"/>
        <v>27777.77778</v>
      </c>
      <c r="E41" s="5">
        <f t="shared" si="5"/>
        <v>0</v>
      </c>
      <c r="F41" s="5">
        <f t="shared" si="5"/>
        <v>0</v>
      </c>
      <c r="G41" s="26">
        <f t="shared" si="5"/>
        <v>5091266.667</v>
      </c>
    </row>
    <row r="42" ht="15.75" customHeight="1"/>
    <row r="43" ht="15.75" customHeight="1"/>
    <row r="44" ht="15.75" customHeight="1"/>
    <row r="45" ht="15.75" customHeight="1">
      <c r="B45" s="20" t="s">
        <v>223</v>
      </c>
      <c r="C45" s="20" t="s">
        <v>216</v>
      </c>
      <c r="D45" s="20" t="s">
        <v>214</v>
      </c>
      <c r="E45" s="20" t="s">
        <v>213</v>
      </c>
      <c r="F45" s="20" t="s">
        <v>217</v>
      </c>
      <c r="G45" s="20" t="s">
        <v>224</v>
      </c>
      <c r="H45" s="20" t="s">
        <v>225</v>
      </c>
      <c r="I45" s="20" t="s">
        <v>226</v>
      </c>
    </row>
    <row r="46" ht="15.75" customHeight="1">
      <c r="B46" s="36" t="s">
        <v>227</v>
      </c>
      <c r="C46" s="32">
        <f>SUM(G46-F46-E46)</f>
        <v>0</v>
      </c>
      <c r="D46" s="29"/>
      <c r="E46" s="29"/>
      <c r="F46" s="24">
        <v>0.0</v>
      </c>
      <c r="G46" s="24">
        <v>0.0</v>
      </c>
      <c r="H46" s="29"/>
      <c r="I46" s="32"/>
    </row>
    <row r="47" ht="15.75" customHeight="1">
      <c r="B47" s="36" t="s">
        <v>228</v>
      </c>
      <c r="C47" s="32">
        <f>G47-F47-E47</f>
        <v>0</v>
      </c>
      <c r="D47" s="29"/>
      <c r="E47" s="29"/>
      <c r="F47" s="24">
        <v>0.0</v>
      </c>
      <c r="G47" s="24">
        <v>0.0</v>
      </c>
      <c r="H47" s="32">
        <v>5.0</v>
      </c>
      <c r="I47" s="26">
        <f>G47/H47</f>
        <v>0</v>
      </c>
    </row>
    <row r="48" ht="15.75" customHeight="1">
      <c r="B48" s="5" t="s">
        <v>229</v>
      </c>
      <c r="C48" s="26">
        <f>SUM(C49:C53)</f>
        <v>3000000</v>
      </c>
      <c r="D48" s="32"/>
      <c r="E48" s="32"/>
      <c r="F48" s="26">
        <f t="shared" ref="F48:G48" si="6">SUM(F49:F53)</f>
        <v>0</v>
      </c>
      <c r="G48" s="26">
        <f t="shared" si="6"/>
        <v>3000000</v>
      </c>
      <c r="H48" s="32">
        <v>10.0</v>
      </c>
      <c r="I48" s="26">
        <f>C48/H48</f>
        <v>300000</v>
      </c>
    </row>
    <row r="49" ht="15.75" customHeight="1">
      <c r="B49" s="7" t="s">
        <v>230</v>
      </c>
      <c r="C49" s="32">
        <f t="shared" ref="C49:C53" si="7">G49-F49-E49-D49</f>
        <v>2000000</v>
      </c>
      <c r="D49" s="32"/>
      <c r="E49" s="32"/>
      <c r="F49" s="24"/>
      <c r="G49" s="24">
        <v>2000000.0</v>
      </c>
      <c r="H49" s="29"/>
      <c r="I49" s="29"/>
    </row>
    <row r="50" ht="15.75" customHeight="1">
      <c r="B50" s="7" t="s">
        <v>231</v>
      </c>
      <c r="C50" s="32">
        <f t="shared" si="7"/>
        <v>300000</v>
      </c>
      <c r="D50" s="32"/>
      <c r="E50" s="32"/>
      <c r="F50" s="24"/>
      <c r="G50" s="24">
        <v>300000.0</v>
      </c>
      <c r="H50" s="29"/>
      <c r="I50" s="29"/>
    </row>
    <row r="51" ht="15.75" customHeight="1">
      <c r="B51" s="7" t="s">
        <v>232</v>
      </c>
      <c r="C51" s="32">
        <f t="shared" si="7"/>
        <v>100000</v>
      </c>
      <c r="D51" s="32"/>
      <c r="E51" s="32"/>
      <c r="F51" s="24"/>
      <c r="G51" s="24">
        <v>100000.0</v>
      </c>
      <c r="H51" s="29"/>
      <c r="I51" s="29"/>
    </row>
    <row r="52" ht="15.75" customHeight="1">
      <c r="B52" s="7" t="s">
        <v>233</v>
      </c>
      <c r="C52" s="32">
        <f t="shared" si="7"/>
        <v>600000</v>
      </c>
      <c r="D52" s="32"/>
      <c r="E52" s="32"/>
      <c r="F52" s="24"/>
      <c r="G52" s="24">
        <v>600000.0</v>
      </c>
      <c r="H52" s="29"/>
      <c r="I52" s="29"/>
    </row>
    <row r="53" ht="15.75" customHeight="1">
      <c r="B53" s="7"/>
      <c r="C53" s="32">
        <f t="shared" si="7"/>
        <v>0</v>
      </c>
      <c r="D53" s="32"/>
      <c r="E53" s="32"/>
      <c r="F53" s="24"/>
      <c r="G53" s="24"/>
      <c r="H53" s="29"/>
      <c r="I53" s="29"/>
    </row>
    <row r="54" ht="15.75" customHeight="1">
      <c r="B54" s="36" t="s">
        <v>234</v>
      </c>
      <c r="C54" s="26">
        <f>SUM(C55:C63)</f>
        <v>700000</v>
      </c>
      <c r="D54" s="32"/>
      <c r="E54" s="32"/>
      <c r="F54" s="26">
        <f t="shared" ref="F54:G54" si="8">SUM(F55:F63)</f>
        <v>0</v>
      </c>
      <c r="G54" s="26">
        <f t="shared" si="8"/>
        <v>700000</v>
      </c>
      <c r="H54" s="29">
        <v>5.0</v>
      </c>
      <c r="I54" s="26">
        <f>C54/H54</f>
        <v>140000</v>
      </c>
    </row>
    <row r="55" ht="15.75" customHeight="1">
      <c r="B55" s="7" t="s">
        <v>235</v>
      </c>
      <c r="C55" s="32">
        <f t="shared" ref="C55:C63" si="9">G55-F55-E55-D55</f>
        <v>400000</v>
      </c>
      <c r="D55" s="32"/>
      <c r="E55" s="32"/>
      <c r="F55" s="24"/>
      <c r="G55" s="24">
        <v>400000.0</v>
      </c>
      <c r="H55" s="29"/>
      <c r="I55" s="29"/>
    </row>
    <row r="56" ht="15.75" customHeight="1">
      <c r="B56" s="7" t="s">
        <v>236</v>
      </c>
      <c r="C56" s="32">
        <f t="shared" si="9"/>
        <v>300000</v>
      </c>
      <c r="D56" s="32"/>
      <c r="E56" s="32"/>
      <c r="F56" s="24"/>
      <c r="G56" s="24">
        <v>300000.0</v>
      </c>
      <c r="H56" s="29"/>
      <c r="I56" s="29"/>
    </row>
    <row r="57" ht="15.75" customHeight="1">
      <c r="B57" s="7"/>
      <c r="C57" s="32">
        <f t="shared" si="9"/>
        <v>0</v>
      </c>
      <c r="D57" s="32"/>
      <c r="E57" s="32"/>
      <c r="F57" s="24"/>
      <c r="G57" s="24"/>
      <c r="H57" s="29"/>
      <c r="I57" s="29"/>
    </row>
    <row r="58" ht="15.75" customHeight="1">
      <c r="B58" s="7"/>
      <c r="C58" s="32">
        <f t="shared" si="9"/>
        <v>0</v>
      </c>
      <c r="D58" s="32"/>
      <c r="E58" s="32"/>
      <c r="F58" s="24"/>
      <c r="G58" s="24"/>
      <c r="H58" s="29"/>
      <c r="I58" s="29"/>
    </row>
    <row r="59" ht="15.75" hidden="1" customHeight="1">
      <c r="B59" s="7"/>
      <c r="C59" s="32">
        <f t="shared" si="9"/>
        <v>0</v>
      </c>
      <c r="D59" s="32"/>
      <c r="E59" s="32"/>
      <c r="F59" s="24"/>
      <c r="G59" s="24"/>
      <c r="H59" s="29"/>
      <c r="I59" s="29"/>
    </row>
    <row r="60" ht="15.75" hidden="1" customHeight="1">
      <c r="B60" s="7"/>
      <c r="C60" s="32">
        <f t="shared" si="9"/>
        <v>0</v>
      </c>
      <c r="D60" s="32"/>
      <c r="E60" s="32"/>
      <c r="F60" s="24"/>
      <c r="G60" s="24"/>
      <c r="H60" s="29"/>
      <c r="I60" s="29"/>
    </row>
    <row r="61" ht="15.75" hidden="1" customHeight="1">
      <c r="B61" s="7"/>
      <c r="C61" s="32">
        <f t="shared" si="9"/>
        <v>0</v>
      </c>
      <c r="D61" s="32"/>
      <c r="E61" s="32"/>
      <c r="F61" s="24"/>
      <c r="G61" s="24"/>
      <c r="H61" s="29"/>
      <c r="I61" s="29"/>
    </row>
    <row r="62" ht="15.75" hidden="1" customHeight="1">
      <c r="B62" s="7"/>
      <c r="C62" s="32">
        <f t="shared" si="9"/>
        <v>0</v>
      </c>
      <c r="D62" s="32"/>
      <c r="E62" s="32"/>
      <c r="F62" s="24"/>
      <c r="G62" s="24"/>
      <c r="H62" s="29"/>
      <c r="I62" s="29"/>
    </row>
    <row r="63" ht="15.75" hidden="1" customHeight="1">
      <c r="B63" s="7"/>
      <c r="C63" s="32">
        <f t="shared" si="9"/>
        <v>0</v>
      </c>
      <c r="D63" s="32"/>
      <c r="E63" s="32"/>
      <c r="F63" s="24"/>
      <c r="G63" s="24"/>
      <c r="H63" s="29"/>
      <c r="I63" s="29"/>
    </row>
    <row r="64" ht="15.75" hidden="1" customHeight="1">
      <c r="B64" s="5" t="s">
        <v>237</v>
      </c>
      <c r="C64" s="26">
        <f>SUM(C65:C72)</f>
        <v>0</v>
      </c>
      <c r="D64" s="32"/>
      <c r="E64" s="32"/>
      <c r="F64" s="26">
        <f t="shared" ref="F64:G64" si="10">SUM(F65:F72)</f>
        <v>0</v>
      </c>
      <c r="G64" s="26">
        <f t="shared" si="10"/>
        <v>0</v>
      </c>
      <c r="H64" s="32">
        <v>1.0</v>
      </c>
      <c r="I64" s="26">
        <f>C64/H64</f>
        <v>0</v>
      </c>
    </row>
    <row r="65" ht="15.75" hidden="1" customHeight="1">
      <c r="B65" s="7"/>
      <c r="C65" s="32">
        <f t="shared" ref="C65:C72" si="11">G65-F65-E65</f>
        <v>0</v>
      </c>
      <c r="D65" s="32"/>
      <c r="E65" s="32"/>
      <c r="F65" s="24"/>
      <c r="G65" s="24"/>
      <c r="H65" s="32"/>
      <c r="I65" s="32"/>
    </row>
    <row r="66" ht="15.75" hidden="1" customHeight="1">
      <c r="B66" s="7"/>
      <c r="C66" s="32">
        <f t="shared" si="11"/>
        <v>0</v>
      </c>
      <c r="D66" s="32"/>
      <c r="E66" s="32"/>
      <c r="F66" s="24"/>
      <c r="G66" s="24"/>
      <c r="H66" s="32"/>
      <c r="I66" s="32"/>
    </row>
    <row r="67" ht="15.75" hidden="1" customHeight="1">
      <c r="B67" s="7"/>
      <c r="C67" s="32">
        <f t="shared" si="11"/>
        <v>0</v>
      </c>
      <c r="D67" s="32"/>
      <c r="E67" s="32"/>
      <c r="F67" s="24"/>
      <c r="G67" s="24"/>
      <c r="H67" s="32"/>
      <c r="I67" s="32"/>
    </row>
    <row r="68" ht="15.75" hidden="1" customHeight="1">
      <c r="B68" s="7"/>
      <c r="C68" s="32">
        <f t="shared" si="11"/>
        <v>0</v>
      </c>
      <c r="D68" s="32"/>
      <c r="E68" s="32"/>
      <c r="F68" s="24"/>
      <c r="G68" s="24"/>
      <c r="H68" s="32"/>
      <c r="I68" s="32"/>
    </row>
    <row r="69" ht="15.75" hidden="1" customHeight="1">
      <c r="B69" s="7"/>
      <c r="C69" s="32">
        <f t="shared" si="11"/>
        <v>0</v>
      </c>
      <c r="D69" s="32"/>
      <c r="E69" s="32"/>
      <c r="F69" s="24"/>
      <c r="G69" s="24"/>
      <c r="H69" s="32"/>
      <c r="I69" s="32"/>
    </row>
    <row r="70" ht="15.75" hidden="1" customHeight="1">
      <c r="B70" s="7"/>
      <c r="C70" s="32">
        <f t="shared" si="11"/>
        <v>0</v>
      </c>
      <c r="D70" s="32"/>
      <c r="E70" s="32"/>
      <c r="F70" s="24"/>
      <c r="G70" s="24"/>
      <c r="H70" s="32"/>
      <c r="I70" s="32"/>
    </row>
    <row r="71" ht="15.75" hidden="1" customHeight="1">
      <c r="B71" s="7"/>
      <c r="C71" s="32">
        <f t="shared" si="11"/>
        <v>0</v>
      </c>
      <c r="D71" s="32"/>
      <c r="E71" s="32"/>
      <c r="F71" s="24"/>
      <c r="G71" s="24"/>
      <c r="H71" s="32"/>
      <c r="I71" s="32"/>
    </row>
    <row r="72" ht="15.75" hidden="1" customHeight="1">
      <c r="B72" s="7"/>
      <c r="C72" s="32">
        <f t="shared" si="11"/>
        <v>0</v>
      </c>
      <c r="D72" s="32"/>
      <c r="E72" s="32"/>
      <c r="F72" s="24"/>
      <c r="G72" s="24"/>
      <c r="H72" s="32"/>
      <c r="I72" s="32"/>
    </row>
    <row r="73" ht="15.75" customHeight="1">
      <c r="B73" s="5" t="s">
        <v>238</v>
      </c>
      <c r="C73" s="62">
        <f>SUM(C48+C54+C64+C47+C46)</f>
        <v>3700000</v>
      </c>
      <c r="D73" s="5"/>
      <c r="E73" s="5"/>
      <c r="F73" s="26">
        <f t="shared" ref="F73:G73" si="12">SUM(F46+F47+F48+F54+F64)</f>
        <v>0</v>
      </c>
      <c r="G73" s="26">
        <f t="shared" si="12"/>
        <v>3700000</v>
      </c>
      <c r="H73" s="26">
        <f t="shared" ref="H73:I73" si="13">SUM(H47+H48+H54+H64)</f>
        <v>21</v>
      </c>
      <c r="I73" s="26">
        <f t="shared" si="13"/>
        <v>440000</v>
      </c>
    </row>
    <row r="74" ht="15.75" customHeight="1">
      <c r="B74" s="5" t="s">
        <v>239</v>
      </c>
      <c r="C74" s="62">
        <f>+C73+C41</f>
        <v>8763488.889</v>
      </c>
      <c r="D74" s="5"/>
      <c r="E74" s="5"/>
      <c r="F74" s="26">
        <f t="shared" ref="F74:G74" si="14">F73+F41</f>
        <v>0</v>
      </c>
      <c r="G74" s="26">
        <f t="shared" si="14"/>
        <v>8791266.667</v>
      </c>
      <c r="H74" s="26">
        <f t="shared" ref="H74:I74" si="15">H73</f>
        <v>21</v>
      </c>
      <c r="I74" s="26">
        <f t="shared" si="15"/>
        <v>440000</v>
      </c>
    </row>
    <row r="75" ht="15.75" customHeight="1">
      <c r="B75" s="5" t="s">
        <v>240</v>
      </c>
      <c r="C75" s="63">
        <f>C74/G74</f>
        <v>0.9968402986</v>
      </c>
      <c r="D75" s="5"/>
      <c r="E75" s="5"/>
      <c r="F75" s="64">
        <f>F74/G74</f>
        <v>0</v>
      </c>
      <c r="G75" s="64">
        <f>G74/G74</f>
        <v>1</v>
      </c>
      <c r="H75" s="5"/>
      <c r="I75" s="5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F18:F24"/>
    <mergeCell ref="B27:I27"/>
    <mergeCell ref="B32:I32"/>
    <mergeCell ref="B3:I3"/>
    <mergeCell ref="B5:B6"/>
    <mergeCell ref="C5:C6"/>
    <mergeCell ref="D5:D6"/>
    <mergeCell ref="E5:I5"/>
    <mergeCell ref="B16:F16"/>
    <mergeCell ref="D18:D24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6.75"/>
    <col customWidth="1" min="3" max="4" width="12.38"/>
    <col customWidth="1" min="5" max="5" width="14.25"/>
    <col customWidth="1" min="6" max="6" width="19.88"/>
    <col customWidth="1" min="7" max="7" width="14.88"/>
    <col customWidth="1" min="8" max="8" width="10.88"/>
    <col customWidth="1" min="9" max="9" width="12.5"/>
    <col customWidth="1" min="10" max="10" width="10.88"/>
    <col customWidth="1" min="11" max="11" width="13.38"/>
    <col customWidth="1" min="12" max="12" width="15.63"/>
    <col customWidth="1" min="13" max="13" width="13.5"/>
    <col customWidth="1" min="14" max="14" width="16.25"/>
    <col customWidth="1" min="15" max="15" width="12.5"/>
    <col customWidth="1" min="16" max="16" width="10.5"/>
    <col customWidth="1" min="17" max="17" width="10.38"/>
    <col customWidth="1" min="18" max="26" width="9.38"/>
  </cols>
  <sheetData>
    <row r="3">
      <c r="B3" s="1" t="s">
        <v>241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5">
      <c r="B5" s="65" t="s">
        <v>61</v>
      </c>
      <c r="C5" s="1" t="s">
        <v>97</v>
      </c>
      <c r="D5" s="2"/>
      <c r="E5" s="3"/>
      <c r="F5" s="1" t="s">
        <v>84</v>
      </c>
      <c r="G5" s="2"/>
      <c r="H5" s="3"/>
      <c r="I5" s="1" t="s">
        <v>85</v>
      </c>
      <c r="J5" s="2"/>
      <c r="K5" s="3"/>
      <c r="L5" s="1" t="s">
        <v>86</v>
      </c>
      <c r="M5" s="2"/>
      <c r="N5" s="3"/>
      <c r="O5" s="1" t="s">
        <v>87</v>
      </c>
      <c r="P5" s="2"/>
      <c r="Q5" s="3"/>
    </row>
    <row r="6">
      <c r="B6" s="56"/>
      <c r="C6" s="5" t="s">
        <v>242</v>
      </c>
      <c r="D6" s="5" t="s">
        <v>243</v>
      </c>
      <c r="E6" s="5" t="s">
        <v>244</v>
      </c>
      <c r="F6" s="5" t="s">
        <v>242</v>
      </c>
      <c r="G6" s="5" t="s">
        <v>243</v>
      </c>
      <c r="H6" s="5" t="s">
        <v>244</v>
      </c>
      <c r="I6" s="5" t="s">
        <v>242</v>
      </c>
      <c r="J6" s="5" t="s">
        <v>243</v>
      </c>
      <c r="K6" s="5" t="s">
        <v>244</v>
      </c>
      <c r="L6" s="5" t="s">
        <v>242</v>
      </c>
      <c r="M6" s="5" t="s">
        <v>243</v>
      </c>
      <c r="N6" s="5" t="s">
        <v>244</v>
      </c>
      <c r="O6" s="5" t="s">
        <v>242</v>
      </c>
      <c r="P6" s="5" t="s">
        <v>243</v>
      </c>
      <c r="Q6" s="5" t="s">
        <v>244</v>
      </c>
    </row>
    <row r="7">
      <c r="B7" s="5" t="str">
        <f>'Presupuesto de Compras '!B65</f>
        <v>neo library</v>
      </c>
      <c r="C7" s="32">
        <f>'Presupuesto de Compras '!C65</f>
        <v>100</v>
      </c>
      <c r="D7" s="32">
        <f>'Presupuesto de Compras '!E65</f>
        <v>10000000</v>
      </c>
      <c r="E7" s="32">
        <f>'Presupuesto de ventas'!E50</f>
        <v>150000000</v>
      </c>
      <c r="F7" s="32">
        <f t="shared" ref="F7:F9" si="1">C7</f>
        <v>100</v>
      </c>
      <c r="G7" s="32">
        <f>D7*'Presupuesto de Compras '!D76</f>
        <v>10400000</v>
      </c>
      <c r="H7" s="32">
        <f>E7*'Presupuesto de ventas'!D61</f>
        <v>154500000</v>
      </c>
      <c r="I7" s="32">
        <f t="shared" ref="I7:I9" si="2">C7</f>
        <v>100</v>
      </c>
      <c r="J7" s="32">
        <f>G7*'Presupuesto de Compras '!D77</f>
        <v>10816000</v>
      </c>
      <c r="K7" s="32">
        <f>H7*'Presupuesto de ventas'!D62</f>
        <v>159135000</v>
      </c>
      <c r="L7" s="32">
        <f t="shared" ref="L7:L9" si="3">C7</f>
        <v>100</v>
      </c>
      <c r="M7" s="32">
        <f>J7*'Presupuesto de Compras '!D78</f>
        <v>11248640</v>
      </c>
      <c r="N7" s="32">
        <f>K7*'Presupuesto de ventas'!D63</f>
        <v>163909050</v>
      </c>
      <c r="O7" s="32">
        <f t="shared" ref="O7:O9" si="4">L7</f>
        <v>100</v>
      </c>
      <c r="P7" s="32">
        <f>M7*'Presupuesto de Compras '!D79</f>
        <v>11698585.6</v>
      </c>
      <c r="Q7" s="32">
        <f>N7*'Presupuesto de ventas'!D64</f>
        <v>168826321.5</v>
      </c>
    </row>
    <row r="8">
      <c r="B8" s="5" t="str">
        <f>'Presupuesto de Compras '!B66</f>
        <v/>
      </c>
      <c r="C8" s="32" t="str">
        <f>'Presupuesto de Compras '!C66</f>
        <v/>
      </c>
      <c r="D8" s="32">
        <f>'Presupuesto de Compras '!E66</f>
        <v>0</v>
      </c>
      <c r="E8" s="32" t="str">
        <f>'Presupuesto de ventas'!E51</f>
        <v/>
      </c>
      <c r="F8" s="32" t="str">
        <f t="shared" si="1"/>
        <v/>
      </c>
      <c r="G8" s="32">
        <f>D8*'Presupuesto de Compras '!D77</f>
        <v>0</v>
      </c>
      <c r="H8" s="32">
        <f>E8*'Presupuesto de ventas'!D62</f>
        <v>0</v>
      </c>
      <c r="I8" s="32" t="str">
        <f t="shared" si="2"/>
        <v/>
      </c>
      <c r="J8" s="32">
        <f>G8*'Presupuesto de Compras '!D78</f>
        <v>0</v>
      </c>
      <c r="K8" s="32">
        <f>H8*'Presupuesto de ventas'!D63</f>
        <v>0</v>
      </c>
      <c r="L8" s="32" t="str">
        <f t="shared" si="3"/>
        <v/>
      </c>
      <c r="M8" s="32">
        <f>J8*'Presupuesto de Compras '!D79</f>
        <v>0</v>
      </c>
      <c r="N8" s="32">
        <f>K8*'Presupuesto de ventas'!D64</f>
        <v>0</v>
      </c>
      <c r="O8" s="32" t="str">
        <f t="shared" si="4"/>
        <v/>
      </c>
      <c r="P8" s="32">
        <f>M8*'Presupuesto de Compras '!D80</f>
        <v>0</v>
      </c>
      <c r="Q8" s="32">
        <f>N8*'Presupuesto de ventas'!D65</f>
        <v>0</v>
      </c>
    </row>
    <row r="9">
      <c r="B9" s="5" t="str">
        <f>'Presupuesto de Compras '!B67</f>
        <v/>
      </c>
      <c r="C9" s="32" t="str">
        <f>'Presupuesto de Compras '!C67</f>
        <v/>
      </c>
      <c r="D9" s="32">
        <f>'Presupuesto de Compras '!E67</f>
        <v>0</v>
      </c>
      <c r="E9" s="32" t="str">
        <f>'Presupuesto de ventas'!E52</f>
        <v/>
      </c>
      <c r="F9" s="32" t="str">
        <f t="shared" si="1"/>
        <v/>
      </c>
      <c r="G9" s="32">
        <f>D9*'Presupuesto de Compras '!D78</f>
        <v>0</v>
      </c>
      <c r="H9" s="32">
        <f>E9*'Presupuesto de ventas'!D63</f>
        <v>0</v>
      </c>
      <c r="I9" s="32" t="str">
        <f t="shared" si="2"/>
        <v/>
      </c>
      <c r="J9" s="32">
        <f>G9*'Presupuesto de Compras '!D79</f>
        <v>0</v>
      </c>
      <c r="K9" s="32">
        <f>H9*'Presupuesto de ventas'!D64</f>
        <v>0</v>
      </c>
      <c r="L9" s="32" t="str">
        <f t="shared" si="3"/>
        <v/>
      </c>
      <c r="M9" s="32">
        <f>J9*'Presupuesto de Compras '!D80</f>
        <v>0</v>
      </c>
      <c r="N9" s="32">
        <f>K9*'Presupuesto de ventas'!D65</f>
        <v>0</v>
      </c>
      <c r="O9" s="32" t="str">
        <f t="shared" si="4"/>
        <v/>
      </c>
      <c r="P9" s="32">
        <f>M9*'Presupuesto de Compras '!D81</f>
        <v>0</v>
      </c>
      <c r="Q9" s="32">
        <f>N9*'Presupuesto de ventas'!D66</f>
        <v>0</v>
      </c>
    </row>
    <row r="10">
      <c r="B10" s="5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</row>
    <row r="11">
      <c r="B11" s="5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</row>
    <row r="12">
      <c r="B12" s="5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>
      <c r="B13" s="5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>
      <c r="B14" s="5" t="s">
        <v>69</v>
      </c>
      <c r="C14" s="26">
        <f t="shared" ref="C14:Q14" si="5">SUM(C7:C13)</f>
        <v>100</v>
      </c>
      <c r="D14" s="26">
        <f t="shared" si="5"/>
        <v>10000000</v>
      </c>
      <c r="E14" s="26">
        <f t="shared" si="5"/>
        <v>150000000</v>
      </c>
      <c r="F14" s="26">
        <f t="shared" si="5"/>
        <v>100</v>
      </c>
      <c r="G14" s="26">
        <f t="shared" si="5"/>
        <v>10400000</v>
      </c>
      <c r="H14" s="26">
        <f t="shared" si="5"/>
        <v>154500000</v>
      </c>
      <c r="I14" s="26">
        <f t="shared" si="5"/>
        <v>100</v>
      </c>
      <c r="J14" s="26">
        <f t="shared" si="5"/>
        <v>10816000</v>
      </c>
      <c r="K14" s="26">
        <f t="shared" si="5"/>
        <v>159135000</v>
      </c>
      <c r="L14" s="26">
        <f t="shared" si="5"/>
        <v>100</v>
      </c>
      <c r="M14" s="26">
        <f t="shared" si="5"/>
        <v>11248640</v>
      </c>
      <c r="N14" s="26">
        <f t="shared" si="5"/>
        <v>163909050</v>
      </c>
      <c r="O14" s="26">
        <f t="shared" si="5"/>
        <v>100</v>
      </c>
      <c r="P14" s="26">
        <f t="shared" si="5"/>
        <v>11698585.6</v>
      </c>
      <c r="Q14" s="26">
        <f t="shared" si="5"/>
        <v>168826321.5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>
      <c r="B31" s="1" t="s">
        <v>245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</row>
    <row r="32" ht="15.75" customHeight="1"/>
    <row r="33" ht="15.75" customHeight="1">
      <c r="A33" s="66"/>
      <c r="B33" s="55" t="s">
        <v>139</v>
      </c>
      <c r="C33" s="1" t="s">
        <v>97</v>
      </c>
      <c r="D33" s="2"/>
      <c r="E33" s="3"/>
      <c r="F33" s="1" t="s">
        <v>84</v>
      </c>
      <c r="G33" s="2"/>
      <c r="H33" s="3"/>
      <c r="I33" s="1" t="s">
        <v>85</v>
      </c>
      <c r="J33" s="2"/>
      <c r="K33" s="3"/>
      <c r="L33" s="1" t="s">
        <v>86</v>
      </c>
      <c r="M33" s="2"/>
      <c r="N33" s="3"/>
      <c r="O33" s="1" t="s">
        <v>87</v>
      </c>
      <c r="P33" s="2"/>
      <c r="Q33" s="3"/>
    </row>
    <row r="34" ht="15.75" customHeight="1">
      <c r="A34" s="66"/>
      <c r="B34" s="56"/>
      <c r="C34" s="20" t="s">
        <v>246</v>
      </c>
      <c r="D34" s="20" t="s">
        <v>98</v>
      </c>
      <c r="E34" s="20" t="s">
        <v>147</v>
      </c>
      <c r="F34" s="20" t="s">
        <v>246</v>
      </c>
      <c r="G34" s="20" t="s">
        <v>98</v>
      </c>
      <c r="H34" s="20" t="s">
        <v>147</v>
      </c>
      <c r="I34" s="20" t="s">
        <v>246</v>
      </c>
      <c r="J34" s="20" t="s">
        <v>98</v>
      </c>
      <c r="K34" s="20" t="s">
        <v>147</v>
      </c>
      <c r="L34" s="20" t="s">
        <v>246</v>
      </c>
      <c r="M34" s="20" t="s">
        <v>98</v>
      </c>
      <c r="N34" s="20" t="s">
        <v>147</v>
      </c>
      <c r="O34" s="20" t="s">
        <v>246</v>
      </c>
      <c r="P34" s="20" t="s">
        <v>98</v>
      </c>
      <c r="Q34" s="20" t="s">
        <v>147</v>
      </c>
    </row>
    <row r="35" ht="15.75" customHeight="1">
      <c r="B35" s="67" t="s">
        <v>100</v>
      </c>
      <c r="C35" s="29">
        <f>'Presupuesto de ventas'!C80</f>
        <v>5</v>
      </c>
      <c r="D35" s="31">
        <f>'Presupuesto de ventas'!D80</f>
        <v>8.333333333</v>
      </c>
      <c r="E35" s="32">
        <f>'Presupuesto de ventas'!E80</f>
        <v>12500000</v>
      </c>
      <c r="F35" s="29">
        <f>'Presupuesto de ventas'!C80</f>
        <v>5</v>
      </c>
      <c r="G35" s="31">
        <f>IF(F47&gt;0,(F35/F47)*F14,)</f>
        <v>8.333333333</v>
      </c>
      <c r="H35" s="32">
        <f>IF(F14&gt;0,(H14*G35)/F14,)</f>
        <v>12875000</v>
      </c>
      <c r="I35" s="29">
        <f>'Presupuesto de ventas'!C80</f>
        <v>5</v>
      </c>
      <c r="J35" s="31">
        <f>IF(I47&gt;0,(I35/I47)*I14)</f>
        <v>8.333333333</v>
      </c>
      <c r="K35" s="32">
        <f>IF(I14&gt;0,(K14*J35)/I14,)</f>
        <v>13261250</v>
      </c>
      <c r="L35" s="29">
        <f>'Presupuesto de ventas'!C80</f>
        <v>5</v>
      </c>
      <c r="M35" s="31">
        <f>IF(L47&gt;0,(L35/L47)*L14)</f>
        <v>8.333333333</v>
      </c>
      <c r="N35" s="32">
        <f>IF(L14&gt;0,(N14*M35)/L14,)</f>
        <v>13659087.5</v>
      </c>
      <c r="O35" s="29">
        <f>'Presupuesto de ventas'!C80</f>
        <v>5</v>
      </c>
      <c r="P35" s="31">
        <f>IF(O47&gt;0,(O35/O47)*O14)</f>
        <v>8.333333333</v>
      </c>
      <c r="Q35" s="32">
        <f>IF(O14&gt;0,(Q14*P35)/O14,)</f>
        <v>14068860.13</v>
      </c>
    </row>
    <row r="36" ht="15.75" customHeight="1">
      <c r="B36" s="67" t="s">
        <v>101</v>
      </c>
      <c r="C36" s="29">
        <f>'Presupuesto de ventas'!C81</f>
        <v>5</v>
      </c>
      <c r="D36" s="31">
        <f>'Presupuesto de ventas'!D81</f>
        <v>8.333333333</v>
      </c>
      <c r="E36" s="32">
        <f>'Presupuesto de ventas'!E81</f>
        <v>12500000</v>
      </c>
      <c r="F36" s="29">
        <f>'Presupuesto de ventas'!C81</f>
        <v>5</v>
      </c>
      <c r="G36" s="31">
        <f>IF(F47&gt;0,(F36/F47)*F14,)</f>
        <v>8.333333333</v>
      </c>
      <c r="H36" s="32">
        <f>IF(F14&gt;0,(H14*G36)/F14,)</f>
        <v>12875000</v>
      </c>
      <c r="I36" s="29">
        <f>'Presupuesto de ventas'!C81</f>
        <v>5</v>
      </c>
      <c r="J36" s="31">
        <f>IF(I47&gt;0,(I36/I47)*I14)</f>
        <v>8.333333333</v>
      </c>
      <c r="K36" s="32">
        <f>IF(I14&gt;0,(K14*J36)/I14,)</f>
        <v>13261250</v>
      </c>
      <c r="L36" s="29">
        <f>'Presupuesto de ventas'!C81</f>
        <v>5</v>
      </c>
      <c r="M36" s="31">
        <f>IF(L47&gt;0,(L36/L47)*L14)</f>
        <v>8.333333333</v>
      </c>
      <c r="N36" s="32">
        <f>IF(L14&gt;0,(N14*M36)/L14,)</f>
        <v>13659087.5</v>
      </c>
      <c r="O36" s="29">
        <f>'Presupuesto de ventas'!C81</f>
        <v>5</v>
      </c>
      <c r="P36" s="31">
        <f>IF(O47&gt;0,(O36/O47)*O14)</f>
        <v>8.333333333</v>
      </c>
      <c r="Q36" s="32">
        <f>IF(O14&gt;0,(Q14*P36)/O14,)</f>
        <v>14068860.13</v>
      </c>
    </row>
    <row r="37" ht="15.75" customHeight="1">
      <c r="B37" s="67" t="s">
        <v>102</v>
      </c>
      <c r="C37" s="29">
        <f>'Presupuesto de ventas'!C82</f>
        <v>5</v>
      </c>
      <c r="D37" s="31">
        <f>'Presupuesto de ventas'!D82</f>
        <v>8.333333333</v>
      </c>
      <c r="E37" s="32">
        <f>'Presupuesto de ventas'!E82</f>
        <v>12500000</v>
      </c>
      <c r="F37" s="29">
        <f>'Presupuesto de ventas'!C82</f>
        <v>5</v>
      </c>
      <c r="G37" s="31">
        <f>IF(F47&gt;0,(F37/F47)*F14,)</f>
        <v>8.333333333</v>
      </c>
      <c r="H37" s="32">
        <f>IF(F14&gt;0,(H14*G37)/F14,)</f>
        <v>12875000</v>
      </c>
      <c r="I37" s="29">
        <f>'Presupuesto de ventas'!C82</f>
        <v>5</v>
      </c>
      <c r="J37" s="31">
        <f>IF(I47&gt;0,(I37/I47)*I14)</f>
        <v>8.333333333</v>
      </c>
      <c r="K37" s="32">
        <f>IF(I14&gt;0,(K14*J37)/I14,)</f>
        <v>13261250</v>
      </c>
      <c r="L37" s="29">
        <f>'Presupuesto de ventas'!C82</f>
        <v>5</v>
      </c>
      <c r="M37" s="31">
        <f>IF(L47&gt;0,(L37/L47)*L14)</f>
        <v>8.333333333</v>
      </c>
      <c r="N37" s="32">
        <f>IF(L14&gt;0,(N14*M37)/L14,)</f>
        <v>13659087.5</v>
      </c>
      <c r="O37" s="29">
        <f>'Presupuesto de ventas'!C82</f>
        <v>5</v>
      </c>
      <c r="P37" s="31">
        <f>IF(O47&gt;0,(O37/O47)*O14)</f>
        <v>8.333333333</v>
      </c>
      <c r="Q37" s="32">
        <f>IF(O14&gt;0,(Q14*P37)/O14,)</f>
        <v>14068860.13</v>
      </c>
    </row>
    <row r="38" ht="15.75" customHeight="1">
      <c r="B38" s="67" t="s">
        <v>142</v>
      </c>
      <c r="C38" s="29">
        <f>'Presupuesto de ventas'!C83</f>
        <v>5</v>
      </c>
      <c r="D38" s="31">
        <f>'Presupuesto de ventas'!D83</f>
        <v>8.333333333</v>
      </c>
      <c r="E38" s="32">
        <f>'Presupuesto de ventas'!E83</f>
        <v>12500000</v>
      </c>
      <c r="F38" s="29">
        <f>'Presupuesto de ventas'!C83</f>
        <v>5</v>
      </c>
      <c r="G38" s="31">
        <f>IF(F47&gt;0,(F38/F47)*F14,)</f>
        <v>8.333333333</v>
      </c>
      <c r="H38" s="32">
        <f>IF(F14&gt;0,(H14*G38)/F14,)</f>
        <v>12875000</v>
      </c>
      <c r="I38" s="29">
        <f>'Presupuesto de ventas'!C83</f>
        <v>5</v>
      </c>
      <c r="J38" s="31">
        <f>IF(I47&gt;0,(I38/I47)*I14)</f>
        <v>8.333333333</v>
      </c>
      <c r="K38" s="32">
        <f>IF(I14&gt;0,(K14*J38)/I14,)</f>
        <v>13261250</v>
      </c>
      <c r="L38" s="29">
        <f>'Presupuesto de ventas'!C83</f>
        <v>5</v>
      </c>
      <c r="M38" s="31">
        <f>IF(L47&gt;0,(L38/L47)*L14)</f>
        <v>8.333333333</v>
      </c>
      <c r="N38" s="32">
        <f>IF(L14&gt;0,(N14*M38)/L14,)</f>
        <v>13659087.5</v>
      </c>
      <c r="O38" s="29">
        <f>'Presupuesto de ventas'!C83</f>
        <v>5</v>
      </c>
      <c r="P38" s="31">
        <f>IF(O47&gt;0,(O38/O47)*O14)</f>
        <v>8.333333333</v>
      </c>
      <c r="Q38" s="32">
        <f>IF(O14&gt;0,(Q14*P38)/O14,)</f>
        <v>14068860.13</v>
      </c>
    </row>
    <row r="39" ht="15.75" customHeight="1">
      <c r="B39" s="67" t="s">
        <v>104</v>
      </c>
      <c r="C39" s="29">
        <f>'Presupuesto de ventas'!C84</f>
        <v>5</v>
      </c>
      <c r="D39" s="31">
        <f>'Presupuesto de ventas'!D84</f>
        <v>8.333333333</v>
      </c>
      <c r="E39" s="32">
        <f>'Presupuesto de ventas'!E84</f>
        <v>12500000</v>
      </c>
      <c r="F39" s="29">
        <f>'Presupuesto de ventas'!C84</f>
        <v>5</v>
      </c>
      <c r="G39" s="31">
        <f>IF(F47&gt;0,(F39/F47)*F14,)</f>
        <v>8.333333333</v>
      </c>
      <c r="H39" s="32">
        <f>IF(F14&gt;0,(H14*G39)/F14,)</f>
        <v>12875000</v>
      </c>
      <c r="I39" s="29">
        <f>'Presupuesto de ventas'!C84</f>
        <v>5</v>
      </c>
      <c r="J39" s="31">
        <f>IF(I47&gt;0,(I39/I47)*I14)</f>
        <v>8.333333333</v>
      </c>
      <c r="K39" s="32">
        <f>IF(I14&gt;0,(K14*J39)/I14,)</f>
        <v>13261250</v>
      </c>
      <c r="L39" s="29">
        <f>'Presupuesto de ventas'!C84</f>
        <v>5</v>
      </c>
      <c r="M39" s="31">
        <f>IF(L47&gt;0,(L39/L47)*L14)</f>
        <v>8.333333333</v>
      </c>
      <c r="N39" s="32">
        <f>IF(L14&gt;0,(N14*M39)/L14,)</f>
        <v>13659087.5</v>
      </c>
      <c r="O39" s="29">
        <f>'Presupuesto de ventas'!C84</f>
        <v>5</v>
      </c>
      <c r="P39" s="31">
        <f>IF(O47&gt;0,(O39/O47)*O14)</f>
        <v>8.333333333</v>
      </c>
      <c r="Q39" s="32">
        <f>IF(O14&gt;0,(Q14*P39)/O14,)</f>
        <v>14068860.13</v>
      </c>
    </row>
    <row r="40" ht="15.75" customHeight="1">
      <c r="B40" s="67" t="s">
        <v>105</v>
      </c>
      <c r="C40" s="29">
        <f>'Presupuesto de ventas'!C85</f>
        <v>5</v>
      </c>
      <c r="D40" s="31">
        <f>'Presupuesto de ventas'!D85</f>
        <v>8.333333333</v>
      </c>
      <c r="E40" s="32">
        <f>'Presupuesto de ventas'!E85</f>
        <v>12500000</v>
      </c>
      <c r="F40" s="29">
        <f>'Presupuesto de ventas'!C85</f>
        <v>5</v>
      </c>
      <c r="G40" s="31">
        <f>IF(F47&gt;0,(F40/F47)*F14,)</f>
        <v>8.333333333</v>
      </c>
      <c r="H40" s="32">
        <f>IF(F14&gt;0,(H14*G40)/F14,)</f>
        <v>12875000</v>
      </c>
      <c r="I40" s="29">
        <f>'Presupuesto de ventas'!C85</f>
        <v>5</v>
      </c>
      <c r="J40" s="31">
        <f>IF(I47&gt;0,(I40/I47)*I14)</f>
        <v>8.333333333</v>
      </c>
      <c r="K40" s="32">
        <f>IF(I14&gt;0,(K14*J40)/I14,)</f>
        <v>13261250</v>
      </c>
      <c r="L40" s="29">
        <f>'Presupuesto de ventas'!C85</f>
        <v>5</v>
      </c>
      <c r="M40" s="31">
        <f>IF(L47&gt;0,(L40/L47)*L14)</f>
        <v>8.333333333</v>
      </c>
      <c r="N40" s="32">
        <f>IF(L14&gt;0,(N14*M40)/L14,)</f>
        <v>13659087.5</v>
      </c>
      <c r="O40" s="29">
        <f>'Presupuesto de ventas'!C85</f>
        <v>5</v>
      </c>
      <c r="P40" s="31">
        <f>IF(O47&gt;0,(O40/O47)*O14)</f>
        <v>8.333333333</v>
      </c>
      <c r="Q40" s="32">
        <f>IF(O14&gt;0,(Q14*P40)/O14,)</f>
        <v>14068860.13</v>
      </c>
    </row>
    <row r="41" ht="15.75" customHeight="1">
      <c r="B41" s="67" t="s">
        <v>106</v>
      </c>
      <c r="C41" s="29">
        <f>'Presupuesto de ventas'!C86</f>
        <v>5</v>
      </c>
      <c r="D41" s="31">
        <f>'Presupuesto de ventas'!D86</f>
        <v>8.333333333</v>
      </c>
      <c r="E41" s="32">
        <f>'Presupuesto de ventas'!E86</f>
        <v>12500000</v>
      </c>
      <c r="F41" s="29">
        <f>'Presupuesto de ventas'!C86</f>
        <v>5</v>
      </c>
      <c r="G41" s="31">
        <f>IF(F47&gt;0,(F41/F47)*F14,)</f>
        <v>8.333333333</v>
      </c>
      <c r="H41" s="32">
        <f>IF(F14&gt;0,(H14*G41)/F14,)</f>
        <v>12875000</v>
      </c>
      <c r="I41" s="29">
        <f>'Presupuesto de ventas'!C86</f>
        <v>5</v>
      </c>
      <c r="J41" s="31">
        <f>IF(I47&gt;0,(I41/I47)*I14)</f>
        <v>8.333333333</v>
      </c>
      <c r="K41" s="32">
        <f>IF(I14&gt;0,(K14*J41)/I14,)</f>
        <v>13261250</v>
      </c>
      <c r="L41" s="29">
        <f>'Presupuesto de ventas'!C86</f>
        <v>5</v>
      </c>
      <c r="M41" s="31">
        <f>IF(L47&gt;0,(L41/L47)*L14)</f>
        <v>8.333333333</v>
      </c>
      <c r="N41" s="32">
        <f>IF(L14&gt;0,(N14*M41)/L14,)</f>
        <v>13659087.5</v>
      </c>
      <c r="O41" s="29">
        <f>'Presupuesto de ventas'!C86</f>
        <v>5</v>
      </c>
      <c r="P41" s="31">
        <f>IF(O47&gt;0,(O41/O47)*O14)</f>
        <v>8.333333333</v>
      </c>
      <c r="Q41" s="32">
        <f>IF(O14&gt;0,(Q14*P41)/O14,)</f>
        <v>14068860.13</v>
      </c>
    </row>
    <row r="42" ht="15.75" customHeight="1">
      <c r="B42" s="67" t="s">
        <v>107</v>
      </c>
      <c r="C42" s="29">
        <f>'Presupuesto de ventas'!C87</f>
        <v>5</v>
      </c>
      <c r="D42" s="31">
        <f>'Presupuesto de ventas'!D87</f>
        <v>8.333333333</v>
      </c>
      <c r="E42" s="32">
        <f>'Presupuesto de ventas'!E87</f>
        <v>12500000</v>
      </c>
      <c r="F42" s="29">
        <f>'Presupuesto de ventas'!C87</f>
        <v>5</v>
      </c>
      <c r="G42" s="31">
        <f>IF(F47&gt;0,(F42/F47)*F14,)</f>
        <v>8.333333333</v>
      </c>
      <c r="H42" s="32">
        <f>IF(F14&gt;0,(H14*G42)/F14,)</f>
        <v>12875000</v>
      </c>
      <c r="I42" s="29">
        <f>'Presupuesto de ventas'!C87</f>
        <v>5</v>
      </c>
      <c r="J42" s="31">
        <f>IF(I47&gt;0,(I42/I47)*I14)</f>
        <v>8.333333333</v>
      </c>
      <c r="K42" s="32">
        <f>IF(I14&gt;0,(K14*J42)/I14,)</f>
        <v>13261250</v>
      </c>
      <c r="L42" s="29">
        <f>'Presupuesto de ventas'!C87</f>
        <v>5</v>
      </c>
      <c r="M42" s="31">
        <f>IF(L47&gt;0,(L42/L47)*L14)</f>
        <v>8.333333333</v>
      </c>
      <c r="N42" s="32">
        <f>IF(L14&gt;0,(N14*M42)/L14,)</f>
        <v>13659087.5</v>
      </c>
      <c r="O42" s="29">
        <f>'Presupuesto de ventas'!C87</f>
        <v>5</v>
      </c>
      <c r="P42" s="31">
        <f>IF(O47&gt;0,(O42/O47)*O14)</f>
        <v>8.333333333</v>
      </c>
      <c r="Q42" s="32">
        <f>IF(O14&gt;0,(Q14*P42)/O14,)</f>
        <v>14068860.13</v>
      </c>
    </row>
    <row r="43" ht="15.75" customHeight="1">
      <c r="B43" s="67" t="s">
        <v>108</v>
      </c>
      <c r="C43" s="29">
        <f>'Presupuesto de ventas'!C88</f>
        <v>5</v>
      </c>
      <c r="D43" s="31">
        <f>'Presupuesto de ventas'!D88</f>
        <v>8.333333333</v>
      </c>
      <c r="E43" s="32">
        <f>'Presupuesto de ventas'!E88</f>
        <v>12500000</v>
      </c>
      <c r="F43" s="29">
        <f>'Presupuesto de ventas'!C88</f>
        <v>5</v>
      </c>
      <c r="G43" s="31">
        <f>IF(F47&gt;0,(F43/F47)*F14,)</f>
        <v>8.333333333</v>
      </c>
      <c r="H43" s="32">
        <f>IF(F14&gt;0,(H14*G43)/F14,)</f>
        <v>12875000</v>
      </c>
      <c r="I43" s="29">
        <f>'Presupuesto de ventas'!C88</f>
        <v>5</v>
      </c>
      <c r="J43" s="31">
        <f>IF(I47&gt;0,(I43/I47)*I14)</f>
        <v>8.333333333</v>
      </c>
      <c r="K43" s="32">
        <f>IF(I14&gt;0,(K14*J43)/I14,)</f>
        <v>13261250</v>
      </c>
      <c r="L43" s="29">
        <f>'Presupuesto de ventas'!C88</f>
        <v>5</v>
      </c>
      <c r="M43" s="31">
        <f>IF(L47&gt;0,(L43/L47)*L14)</f>
        <v>8.333333333</v>
      </c>
      <c r="N43" s="32">
        <f>IF(L14&gt;0,(N14*M43)/L14,)</f>
        <v>13659087.5</v>
      </c>
      <c r="O43" s="29">
        <f>'Presupuesto de ventas'!C88</f>
        <v>5</v>
      </c>
      <c r="P43" s="31">
        <f>IF(O47&gt;0,(O43/O47)*O14)</f>
        <v>8.333333333</v>
      </c>
      <c r="Q43" s="32">
        <f>IF(O14&gt;0,(Q14*P43)/O14,)</f>
        <v>14068860.13</v>
      </c>
    </row>
    <row r="44" ht="15.75" customHeight="1">
      <c r="B44" s="67" t="s">
        <v>109</v>
      </c>
      <c r="C44" s="29">
        <f>'Presupuesto de ventas'!C89</f>
        <v>5</v>
      </c>
      <c r="D44" s="31">
        <f>'Presupuesto de ventas'!D89</f>
        <v>8.333333333</v>
      </c>
      <c r="E44" s="32">
        <f>'Presupuesto de ventas'!E89</f>
        <v>12500000</v>
      </c>
      <c r="F44" s="29">
        <f>'Presupuesto de ventas'!C89</f>
        <v>5</v>
      </c>
      <c r="G44" s="31">
        <f>IF(F47&gt;0,(F44/F47)*F14,)</f>
        <v>8.333333333</v>
      </c>
      <c r="H44" s="32">
        <f>IF(F14&gt;0,(H14*G44)/F14,)</f>
        <v>12875000</v>
      </c>
      <c r="I44" s="29">
        <f>'Presupuesto de ventas'!C89</f>
        <v>5</v>
      </c>
      <c r="J44" s="31">
        <f>IF(I47&gt;0,(I44/I47)*I14)</f>
        <v>8.333333333</v>
      </c>
      <c r="K44" s="32">
        <f>IF(I14&gt;0,(K14*J44)/I14,)</f>
        <v>13261250</v>
      </c>
      <c r="L44" s="29">
        <f>'Presupuesto de ventas'!C89</f>
        <v>5</v>
      </c>
      <c r="M44" s="31">
        <f>IF(L47&gt;0,(L44/L47)*L14)</f>
        <v>8.333333333</v>
      </c>
      <c r="N44" s="32">
        <f>IF(L14&gt;0,(N14*M44)/L14,)</f>
        <v>13659087.5</v>
      </c>
      <c r="O44" s="29">
        <f>'Presupuesto de ventas'!C89</f>
        <v>5</v>
      </c>
      <c r="P44" s="31">
        <f>IF(O47&gt;0,(O44/O47)*O14)</f>
        <v>8.333333333</v>
      </c>
      <c r="Q44" s="32">
        <f>IF(O14&gt;0,(Q14*P44)/O14,)</f>
        <v>14068860.13</v>
      </c>
    </row>
    <row r="45" ht="15.75" customHeight="1">
      <c r="B45" s="67" t="s">
        <v>110</v>
      </c>
      <c r="C45" s="29">
        <f>'Presupuesto de ventas'!C90</f>
        <v>5</v>
      </c>
      <c r="D45" s="31">
        <f>'Presupuesto de ventas'!D90</f>
        <v>8.333333333</v>
      </c>
      <c r="E45" s="32">
        <f>'Presupuesto de ventas'!E90</f>
        <v>12500000</v>
      </c>
      <c r="F45" s="29">
        <f>'Presupuesto de ventas'!C90</f>
        <v>5</v>
      </c>
      <c r="G45" s="31">
        <f>IF(F47&gt;0,(F45/F47)*F14,)</f>
        <v>8.333333333</v>
      </c>
      <c r="H45" s="32">
        <f>IF(F14&gt;0,(H14*G45)/F14,)</f>
        <v>12875000</v>
      </c>
      <c r="I45" s="29">
        <f>'Presupuesto de ventas'!C90</f>
        <v>5</v>
      </c>
      <c r="J45" s="31">
        <f>IF(I47&gt;0,(I45/I47)*I14)</f>
        <v>8.333333333</v>
      </c>
      <c r="K45" s="32">
        <f>IF(I14&gt;0,(K14*J45)/I14,)</f>
        <v>13261250</v>
      </c>
      <c r="L45" s="29">
        <f>'Presupuesto de ventas'!C90</f>
        <v>5</v>
      </c>
      <c r="M45" s="31">
        <f>IF(48&gt;0,(L45/L47)*L14)</f>
        <v>8.333333333</v>
      </c>
      <c r="N45" s="32">
        <f>IF(L14&gt;0,(N14*M45)/L14,)</f>
        <v>13659087.5</v>
      </c>
      <c r="O45" s="29">
        <f>'Presupuesto de ventas'!C90</f>
        <v>5</v>
      </c>
      <c r="P45" s="31">
        <f>IF(O47&gt;0,(O45/O47)*O14)</f>
        <v>8.333333333</v>
      </c>
      <c r="Q45" s="32">
        <f>IF(O14&gt;0,(Q14*P45)/O14,)</f>
        <v>14068860.13</v>
      </c>
    </row>
    <row r="46" ht="15.75" customHeight="1">
      <c r="B46" s="67" t="s">
        <v>111</v>
      </c>
      <c r="C46" s="29">
        <f>'Presupuesto de ventas'!C91</f>
        <v>5</v>
      </c>
      <c r="D46" s="31">
        <f>'Presupuesto de ventas'!D91</f>
        <v>8.333333333</v>
      </c>
      <c r="E46" s="32">
        <f>'Presupuesto de ventas'!E91</f>
        <v>12500000</v>
      </c>
      <c r="F46" s="29">
        <f>'Presupuesto de ventas'!C91</f>
        <v>5</v>
      </c>
      <c r="G46" s="31">
        <f>IF(F47&gt;0,(F46/F47)*F14,)</f>
        <v>8.333333333</v>
      </c>
      <c r="H46" s="32">
        <f>IF(F14&gt;0,(H14*G46)/F14,)</f>
        <v>12875000</v>
      </c>
      <c r="I46" s="29">
        <f>'Presupuesto de ventas'!C91</f>
        <v>5</v>
      </c>
      <c r="J46" s="31">
        <f>IF(I47&gt;0,(I46/I47)*I14)</f>
        <v>8.333333333</v>
      </c>
      <c r="K46" s="32">
        <f>IF(I14&gt;0,(K14*J46)/I14,)</f>
        <v>13261250</v>
      </c>
      <c r="L46" s="29">
        <f>'Presupuesto de ventas'!C91</f>
        <v>5</v>
      </c>
      <c r="M46" s="31">
        <f>IF(L47&gt;0,(L46/L47)*L14)</f>
        <v>8.333333333</v>
      </c>
      <c r="N46" s="32">
        <f>IF(L14&gt;0,(N14*M46)/L14,)</f>
        <v>13659087.5</v>
      </c>
      <c r="O46" s="29">
        <f>'Presupuesto de ventas'!C91</f>
        <v>5</v>
      </c>
      <c r="P46" s="31">
        <f>IF(O47&gt;0,(O46/O47)*O14)</f>
        <v>8.333333333</v>
      </c>
      <c r="Q46" s="32">
        <f>IF(O14&gt;0,(Q14*P46)/O14,)</f>
        <v>14068860.13</v>
      </c>
    </row>
    <row r="47" ht="15.75" customHeight="1">
      <c r="B47" s="5" t="s">
        <v>112</v>
      </c>
      <c r="C47" s="5">
        <f t="shared" ref="C47:Q47" si="6">SUM(C35:C46)</f>
        <v>60</v>
      </c>
      <c r="D47" s="34">
        <f t="shared" si="6"/>
        <v>100</v>
      </c>
      <c r="E47" s="26">
        <f t="shared" si="6"/>
        <v>150000000</v>
      </c>
      <c r="F47" s="5">
        <f t="shared" si="6"/>
        <v>60</v>
      </c>
      <c r="G47" s="34">
        <f t="shared" si="6"/>
        <v>100</v>
      </c>
      <c r="H47" s="26">
        <f t="shared" si="6"/>
        <v>154500000</v>
      </c>
      <c r="I47" s="5">
        <f t="shared" si="6"/>
        <v>60</v>
      </c>
      <c r="J47" s="34">
        <f t="shared" si="6"/>
        <v>100</v>
      </c>
      <c r="K47" s="26">
        <f t="shared" si="6"/>
        <v>159135000</v>
      </c>
      <c r="L47" s="5">
        <f t="shared" si="6"/>
        <v>60</v>
      </c>
      <c r="M47" s="34">
        <f t="shared" si="6"/>
        <v>100</v>
      </c>
      <c r="N47" s="26">
        <f t="shared" si="6"/>
        <v>163909050</v>
      </c>
      <c r="O47" s="5">
        <f t="shared" si="6"/>
        <v>60</v>
      </c>
      <c r="P47" s="34">
        <f t="shared" si="6"/>
        <v>100</v>
      </c>
      <c r="Q47" s="26">
        <f t="shared" si="6"/>
        <v>168826321.5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5:B6"/>
    <mergeCell ref="B33:B34"/>
    <mergeCell ref="C33:E33"/>
    <mergeCell ref="F33:H33"/>
    <mergeCell ref="I33:K33"/>
    <mergeCell ref="L33:N33"/>
    <mergeCell ref="O33:Q33"/>
    <mergeCell ref="B3:Q3"/>
    <mergeCell ref="C5:E5"/>
    <mergeCell ref="F5:H5"/>
    <mergeCell ref="I5:K5"/>
    <mergeCell ref="L5:N5"/>
    <mergeCell ref="O5:Q5"/>
    <mergeCell ref="B31:Q31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50.63"/>
    <col customWidth="1" min="4" max="4" width="20.63"/>
    <col customWidth="1" min="5" max="6" width="9.0"/>
    <col customWidth="1" min="7" max="7" width="9.88"/>
    <col customWidth="1" min="8" max="8" width="9.25"/>
    <col customWidth="1" min="9" max="26" width="9.38"/>
  </cols>
  <sheetData>
    <row r="3">
      <c r="C3" s="1" t="s">
        <v>144</v>
      </c>
      <c r="D3" s="2"/>
      <c r="E3" s="2"/>
      <c r="F3" s="2"/>
      <c r="G3" s="2"/>
      <c r="H3" s="3"/>
    </row>
    <row r="5">
      <c r="C5" s="1" t="s">
        <v>145</v>
      </c>
      <c r="D5" s="2"/>
      <c r="E5" s="2"/>
      <c r="F5" s="2"/>
      <c r="G5" s="2"/>
      <c r="H5" s="3"/>
    </row>
    <row r="6">
      <c r="C6" s="28" t="s">
        <v>173</v>
      </c>
      <c r="D6" s="28" t="s">
        <v>97</v>
      </c>
      <c r="E6" s="28" t="s">
        <v>84</v>
      </c>
      <c r="F6" s="28" t="s">
        <v>85</v>
      </c>
      <c r="G6" s="28" t="s">
        <v>86</v>
      </c>
      <c r="H6" s="28" t="s">
        <v>87</v>
      </c>
    </row>
    <row r="7">
      <c r="C7" s="36" t="s">
        <v>247</v>
      </c>
      <c r="D7" s="32">
        <f>'Presupuesto de costos y gastos '!D16</f>
        <v>14400000</v>
      </c>
      <c r="E7" s="32">
        <f>D7*'Presupuesto de costos y gastos '!H27</f>
        <v>14832000</v>
      </c>
      <c r="F7" s="32">
        <f>E7*'Presupuesto de costos y gastos '!H28</f>
        <v>15573600</v>
      </c>
      <c r="G7" s="32">
        <f>F7*'Presupuesto de costos y gastos '!H29</f>
        <v>16352280</v>
      </c>
      <c r="H7" s="32">
        <f>G7*'Presupuesto de costos y gastos '!H30</f>
        <v>17169894</v>
      </c>
    </row>
    <row r="8">
      <c r="C8" s="36" t="s">
        <v>156</v>
      </c>
      <c r="D8" s="32">
        <f>'Presupuesto de costos y gastos '!D17</f>
        <v>1296000</v>
      </c>
      <c r="E8" s="32">
        <f>D8*'Presupuesto de costos y gastos '!H27</f>
        <v>1334880</v>
      </c>
      <c r="F8" s="32">
        <f>E8*'Presupuesto de costos y gastos '!H28</f>
        <v>1401624</v>
      </c>
      <c r="G8" s="32">
        <f>F8*'Presupuesto de costos y gastos '!H29</f>
        <v>1471705.2</v>
      </c>
      <c r="H8" s="32">
        <f>G8*'Presupuesto de costos y gastos '!H30</f>
        <v>1545290.46</v>
      </c>
    </row>
    <row r="9">
      <c r="C9" s="36" t="s">
        <v>158</v>
      </c>
      <c r="D9" s="32">
        <f>'Presupuesto de costos y gastos '!D18</f>
        <v>3024000</v>
      </c>
      <c r="E9" s="32">
        <f>D9*'Presupuesto de costos y gastos '!H27</f>
        <v>3114720</v>
      </c>
      <c r="F9" s="32">
        <f>E9*'Presupuesto de costos y gastos '!H28</f>
        <v>3270456</v>
      </c>
      <c r="G9" s="32">
        <f>F9*'Presupuesto de costos y gastos '!H29</f>
        <v>3433978.8</v>
      </c>
      <c r="H9" s="32">
        <f>G9*'Presupuesto de costos y gastos '!H30</f>
        <v>3605677.74</v>
      </c>
    </row>
    <row r="10">
      <c r="C10" s="36" t="s">
        <v>248</v>
      </c>
      <c r="D10" s="32">
        <f>'Presupuesto de costos y gastos '!D19</f>
        <v>1199520</v>
      </c>
      <c r="E10" s="32">
        <f>D10*'Presupuesto de costos y gastos '!H27</f>
        <v>1235505.6</v>
      </c>
      <c r="F10" s="32">
        <f>E10*'Presupuesto de costos y gastos '!H28</f>
        <v>1297280.88</v>
      </c>
      <c r="G10" s="32">
        <f>F10*'Presupuesto de costos y gastos '!H29</f>
        <v>1362144.924</v>
      </c>
      <c r="H10" s="32">
        <f>G10*'Presupuesto de costos y gastos '!H30</f>
        <v>1430252.17</v>
      </c>
    </row>
    <row r="11">
      <c r="C11" s="36" t="s">
        <v>160</v>
      </c>
      <c r="D11" s="32">
        <f>'Presupuesto de costos y gastos '!D20</f>
        <v>11995.2</v>
      </c>
      <c r="E11" s="32">
        <f>D11*'Presupuesto de costos y gastos '!H27</f>
        <v>12355.056</v>
      </c>
      <c r="F11" s="32">
        <f>E11*'Presupuesto de costos y gastos '!H28</f>
        <v>12972.8088</v>
      </c>
      <c r="G11" s="32">
        <f>F11*'Presupuesto de costos y gastos '!H29</f>
        <v>13621.44924</v>
      </c>
      <c r="H11" s="32">
        <f>G11*'Presupuesto de costos y gastos '!H30</f>
        <v>14302.5217</v>
      </c>
    </row>
    <row r="12">
      <c r="C12" s="36" t="s">
        <v>161</v>
      </c>
      <c r="D12" s="32">
        <f>'Presupuesto de costos y gastos '!D21</f>
        <v>1199520</v>
      </c>
      <c r="E12" s="32">
        <f>D12*'Presupuesto de costos y gastos '!H27</f>
        <v>1235505.6</v>
      </c>
      <c r="F12" s="32">
        <f>E12*'Presupuesto de costos y gastos '!H28</f>
        <v>1297280.88</v>
      </c>
      <c r="G12" s="32">
        <f>F12*'Presupuesto de costos y gastos '!H29</f>
        <v>1362144.924</v>
      </c>
      <c r="H12" s="32">
        <f>G12*'Presupuesto de costos y gastos '!H30</f>
        <v>1430252.17</v>
      </c>
    </row>
    <row r="13">
      <c r="C13" s="5" t="s">
        <v>112</v>
      </c>
      <c r="D13" s="26">
        <f t="shared" ref="D13:H13" si="1">SUM(D7:D12)</f>
        <v>21131035.2</v>
      </c>
      <c r="E13" s="26">
        <f t="shared" si="1"/>
        <v>21764966.26</v>
      </c>
      <c r="F13" s="26">
        <f t="shared" si="1"/>
        <v>22853214.57</v>
      </c>
      <c r="G13" s="26">
        <f t="shared" si="1"/>
        <v>23995875.3</v>
      </c>
      <c r="H13" s="26">
        <f t="shared" si="1"/>
        <v>25195669.06</v>
      </c>
    </row>
    <row r="16">
      <c r="C16" s="1" t="s">
        <v>249</v>
      </c>
      <c r="D16" s="2"/>
      <c r="E16" s="2"/>
      <c r="F16" s="2"/>
      <c r="G16" s="2"/>
      <c r="H16" s="3"/>
    </row>
    <row r="17">
      <c r="C17" s="28" t="s">
        <v>173</v>
      </c>
      <c r="D17" s="28" t="s">
        <v>97</v>
      </c>
      <c r="E17" s="28" t="s">
        <v>84</v>
      </c>
      <c r="F17" s="28" t="s">
        <v>85</v>
      </c>
      <c r="G17" s="28" t="s">
        <v>86</v>
      </c>
      <c r="H17" s="28" t="s">
        <v>87</v>
      </c>
    </row>
    <row r="18">
      <c r="C18" s="36" t="s">
        <v>247</v>
      </c>
      <c r="D18" s="32">
        <f>'Presupuesto de costos y gastos '!G16</f>
        <v>14400000</v>
      </c>
      <c r="E18" s="32">
        <f>D18*'Presupuesto de costos y gastos '!H27</f>
        <v>14832000</v>
      </c>
      <c r="F18" s="32">
        <f>E18*'Presupuesto de costos y gastos '!H28</f>
        <v>15573600</v>
      </c>
      <c r="G18" s="32">
        <f>F18*'Presupuesto de costos y gastos '!H29</f>
        <v>16352280</v>
      </c>
      <c r="H18" s="32">
        <f>G18*'Presupuesto de costos y gastos '!H30</f>
        <v>17169894</v>
      </c>
    </row>
    <row r="19">
      <c r="C19" s="36" t="s">
        <v>156</v>
      </c>
      <c r="D19" s="32">
        <f>'Presupuesto de costos y gastos '!G17</f>
        <v>1296000</v>
      </c>
      <c r="E19" s="32">
        <f>D19*'Presupuesto de costos y gastos '!H27</f>
        <v>1334880</v>
      </c>
      <c r="F19" s="32">
        <f>E19*'Presupuesto de costos y gastos '!H28</f>
        <v>1401624</v>
      </c>
      <c r="G19" s="32">
        <f>F19*'Presupuesto de costos y gastos '!H29</f>
        <v>1471705.2</v>
      </c>
      <c r="H19" s="32">
        <f>G19*'Presupuesto de costos y gastos '!H30</f>
        <v>1545290.46</v>
      </c>
    </row>
    <row r="20">
      <c r="C20" s="36" t="s">
        <v>158</v>
      </c>
      <c r="D20" s="32">
        <f>'Presupuesto de costos y gastos '!G18</f>
        <v>3024000</v>
      </c>
      <c r="E20" s="32">
        <f>D20*'Presupuesto de costos y gastos '!H27</f>
        <v>3114720</v>
      </c>
      <c r="F20" s="32">
        <f>E20*'Presupuesto de costos y gastos '!H28</f>
        <v>3270456</v>
      </c>
      <c r="G20" s="32">
        <f>F20*'Presupuesto de costos y gastos '!H29</f>
        <v>3433978.8</v>
      </c>
      <c r="H20" s="32">
        <f>G20*'Presupuesto de costos y gastos '!H30</f>
        <v>3605677.74</v>
      </c>
    </row>
    <row r="21" ht="15.75" customHeight="1">
      <c r="C21" s="36" t="s">
        <v>248</v>
      </c>
      <c r="D21" s="32">
        <f>'Presupuesto de costos y gastos '!G19</f>
        <v>1199520</v>
      </c>
      <c r="E21" s="32">
        <f>D21*'Presupuesto de costos y gastos '!H27</f>
        <v>1235505.6</v>
      </c>
      <c r="F21" s="32">
        <f>E21*'Presupuesto de costos y gastos '!H28</f>
        <v>1297280.88</v>
      </c>
      <c r="G21" s="32">
        <f>F21*'Presupuesto de costos y gastos '!H29</f>
        <v>1362144.924</v>
      </c>
      <c r="H21" s="32">
        <f>G21*'Presupuesto de costos y gastos '!H30</f>
        <v>1430252.17</v>
      </c>
    </row>
    <row r="22" ht="15.75" customHeight="1">
      <c r="C22" s="36" t="s">
        <v>160</v>
      </c>
      <c r="D22" s="32">
        <f>'Presupuesto de costos y gastos '!G20</f>
        <v>11995.2</v>
      </c>
      <c r="E22" s="32">
        <f>D22*'Presupuesto de costos y gastos '!H27</f>
        <v>12355.056</v>
      </c>
      <c r="F22" s="32">
        <f>E22*'Presupuesto de costos y gastos '!H28</f>
        <v>12972.8088</v>
      </c>
      <c r="G22" s="32">
        <f>F22*'Presupuesto de costos y gastos '!H29</f>
        <v>13621.44924</v>
      </c>
      <c r="H22" s="32">
        <f>G22*'Presupuesto de costos y gastos '!H30</f>
        <v>14302.5217</v>
      </c>
    </row>
    <row r="23" ht="15.75" customHeight="1">
      <c r="C23" s="36" t="s">
        <v>161</v>
      </c>
      <c r="D23" s="32">
        <f>'Presupuesto de costos y gastos '!G21</f>
        <v>1199520</v>
      </c>
      <c r="E23" s="32">
        <f>D23*'Presupuesto de costos y gastos '!H27</f>
        <v>1235505.6</v>
      </c>
      <c r="F23" s="32">
        <f>E23*'Presupuesto de costos y gastos '!H28</f>
        <v>1297280.88</v>
      </c>
      <c r="G23" s="32">
        <f>F23*'Presupuesto de costos y gastos '!H29</f>
        <v>1362144.924</v>
      </c>
      <c r="H23" s="32">
        <f>G23*'Presupuesto de costos y gastos '!H30</f>
        <v>1430252.17</v>
      </c>
    </row>
    <row r="24" ht="15.75" customHeight="1">
      <c r="C24" s="5" t="s">
        <v>112</v>
      </c>
      <c r="D24" s="26">
        <f t="shared" ref="D24:H24" si="2">SUM(D18:D23)</f>
        <v>21131035.2</v>
      </c>
      <c r="E24" s="26">
        <f t="shared" si="2"/>
        <v>21764966.26</v>
      </c>
      <c r="F24" s="26">
        <f t="shared" si="2"/>
        <v>22853214.57</v>
      </c>
      <c r="G24" s="26">
        <f t="shared" si="2"/>
        <v>23995875.3</v>
      </c>
      <c r="H24" s="26">
        <f t="shared" si="2"/>
        <v>25195669.06</v>
      </c>
    </row>
    <row r="25" ht="15.75" customHeight="1"/>
    <row r="26" ht="15.75" customHeight="1"/>
    <row r="27" ht="15.75" customHeight="1">
      <c r="C27" s="1" t="s">
        <v>147</v>
      </c>
      <c r="D27" s="2"/>
      <c r="E27" s="2"/>
      <c r="F27" s="2"/>
      <c r="G27" s="2"/>
      <c r="H27" s="3"/>
    </row>
    <row r="28" ht="15.75" customHeight="1">
      <c r="C28" s="28" t="s">
        <v>173</v>
      </c>
      <c r="D28" s="28" t="s">
        <v>97</v>
      </c>
      <c r="E28" s="28" t="s">
        <v>84</v>
      </c>
      <c r="F28" s="28" t="s">
        <v>85</v>
      </c>
      <c r="G28" s="28" t="s">
        <v>86</v>
      </c>
      <c r="H28" s="28" t="s">
        <v>87</v>
      </c>
    </row>
    <row r="29" ht="15.75" customHeight="1">
      <c r="C29" s="36" t="s">
        <v>247</v>
      </c>
      <c r="D29" s="32">
        <f>'Presupuesto de costos y gastos '!J16</f>
        <v>14400000</v>
      </c>
      <c r="E29" s="32">
        <f>D29*'Presupuesto de costos y gastos '!H27</f>
        <v>14832000</v>
      </c>
      <c r="F29" s="32">
        <f>E29*'Presupuesto de costos y gastos '!H28</f>
        <v>15573600</v>
      </c>
      <c r="G29" s="32">
        <f>F29*'Presupuesto de costos y gastos '!H29</f>
        <v>16352280</v>
      </c>
      <c r="H29" s="32">
        <f>G29*'Presupuesto de costos y gastos '!H30</f>
        <v>17169894</v>
      </c>
    </row>
    <row r="30" ht="15.75" customHeight="1">
      <c r="C30" s="36" t="s">
        <v>156</v>
      </c>
      <c r="D30" s="32">
        <f>'Presupuesto de costos y gastos '!J17</f>
        <v>1296000</v>
      </c>
      <c r="E30" s="32">
        <f>D30*'Presupuesto de costos y gastos '!H27</f>
        <v>1334880</v>
      </c>
      <c r="F30" s="32">
        <f>E30*'Presupuesto de costos y gastos '!H29</f>
        <v>1401624</v>
      </c>
      <c r="G30" s="32">
        <f>F30*'Presupuesto de costos y gastos '!H29</f>
        <v>1471705.2</v>
      </c>
      <c r="H30" s="32">
        <f>G30*'Presupuesto de costos y gastos '!H30</f>
        <v>1545290.46</v>
      </c>
    </row>
    <row r="31" ht="15.75" customHeight="1">
      <c r="C31" s="36" t="s">
        <v>158</v>
      </c>
      <c r="D31" s="32">
        <f>'Presupuesto de costos y gastos '!J18</f>
        <v>3024000</v>
      </c>
      <c r="E31" s="32">
        <f>D31*'Presupuesto de costos y gastos '!H27</f>
        <v>3114720</v>
      </c>
      <c r="F31" s="32">
        <f>E31*'Presupuesto de costos y gastos '!H29</f>
        <v>3270456</v>
      </c>
      <c r="G31" s="32">
        <f>F31*'Presupuesto de costos y gastos '!H29</f>
        <v>3433978.8</v>
      </c>
      <c r="H31" s="32">
        <f>G31*'Presupuesto de costos y gastos '!H30</f>
        <v>3605677.74</v>
      </c>
    </row>
    <row r="32" ht="15.75" customHeight="1">
      <c r="C32" s="36" t="s">
        <v>248</v>
      </c>
      <c r="D32" s="32">
        <f>'Presupuesto de costos y gastos '!J19</f>
        <v>1199520</v>
      </c>
      <c r="E32" s="32">
        <f>D32*'Presupuesto de costos y gastos '!H27</f>
        <v>1235505.6</v>
      </c>
      <c r="F32" s="32">
        <f>E32*'Presupuesto de costos y gastos '!H29</f>
        <v>1297280.88</v>
      </c>
      <c r="G32" s="32">
        <f>F32*'Presupuesto de costos y gastos '!H29</f>
        <v>1362144.924</v>
      </c>
      <c r="H32" s="32">
        <f>G32*'Presupuesto de costos y gastos '!H30</f>
        <v>1430252.17</v>
      </c>
    </row>
    <row r="33" ht="15.75" customHeight="1">
      <c r="C33" s="36" t="s">
        <v>160</v>
      </c>
      <c r="D33" s="32">
        <f>'Presupuesto de costos y gastos '!J20</f>
        <v>11995.2</v>
      </c>
      <c r="E33" s="32">
        <f>D33*'Presupuesto de costos y gastos '!H27</f>
        <v>12355.056</v>
      </c>
      <c r="F33" s="32">
        <f>E33*'Presupuesto de costos y gastos '!H29</f>
        <v>12972.8088</v>
      </c>
      <c r="G33" s="32">
        <f>F33*'Presupuesto de costos y gastos '!H29</f>
        <v>13621.44924</v>
      </c>
      <c r="H33" s="32">
        <f>G33*'Presupuesto de costos y gastos '!H30</f>
        <v>14302.5217</v>
      </c>
    </row>
    <row r="34" ht="15.75" customHeight="1">
      <c r="C34" s="36" t="s">
        <v>161</v>
      </c>
      <c r="D34" s="32">
        <f>'Presupuesto de costos y gastos '!J21</f>
        <v>1199520</v>
      </c>
      <c r="E34" s="32">
        <f>D34*'Presupuesto de costos y gastos '!H27</f>
        <v>1235505.6</v>
      </c>
      <c r="F34" s="32">
        <f>E34*'Presupuesto de costos y gastos '!H29</f>
        <v>1297280.88</v>
      </c>
      <c r="G34" s="32">
        <f>F34*'Presupuesto de costos y gastos '!H29</f>
        <v>1362144.924</v>
      </c>
      <c r="H34" s="32">
        <f>G34*'Presupuesto de costos y gastos '!H30</f>
        <v>1430252.17</v>
      </c>
    </row>
    <row r="35" ht="15.75" customHeight="1">
      <c r="C35" s="5" t="s">
        <v>112</v>
      </c>
      <c r="D35" s="26">
        <f t="shared" ref="D35:H35" si="3">SUM(D29:D34)</f>
        <v>21131035.2</v>
      </c>
      <c r="E35" s="26">
        <f t="shared" si="3"/>
        <v>21764966.26</v>
      </c>
      <c r="F35" s="26">
        <f t="shared" si="3"/>
        <v>22853214.57</v>
      </c>
      <c r="G35" s="26">
        <f t="shared" si="3"/>
        <v>23995875.3</v>
      </c>
      <c r="H35" s="26">
        <f t="shared" si="3"/>
        <v>25195669.06</v>
      </c>
    </row>
    <row r="36" ht="15.75" customHeight="1"/>
    <row r="37" ht="15.75" customHeight="1"/>
    <row r="38" ht="15.75" customHeight="1">
      <c r="C38" s="1" t="s">
        <v>250</v>
      </c>
      <c r="D38" s="2"/>
      <c r="E38" s="2"/>
      <c r="F38" s="2"/>
      <c r="G38" s="2"/>
      <c r="H38" s="3"/>
    </row>
    <row r="39" ht="15.75" customHeight="1">
      <c r="C39" s="28" t="s">
        <v>173</v>
      </c>
      <c r="D39" s="28" t="s">
        <v>97</v>
      </c>
      <c r="E39" s="28" t="s">
        <v>84</v>
      </c>
      <c r="F39" s="28" t="s">
        <v>85</v>
      </c>
      <c r="G39" s="28" t="s">
        <v>86</v>
      </c>
      <c r="H39" s="28" t="s">
        <v>87</v>
      </c>
    </row>
    <row r="40" ht="15.75" customHeight="1">
      <c r="C40" s="36" t="s">
        <v>251</v>
      </c>
      <c r="D40" s="32">
        <f>'Presupuesto de costos y gastos '!D52</f>
        <v>4058400</v>
      </c>
      <c r="E40" s="32">
        <f>D40*'Presupuesto de costos y gastos '!D56</f>
        <v>4220736</v>
      </c>
      <c r="F40" s="32">
        <f>E40*'Presupuesto de costos y gastos '!D57</f>
        <v>4389565.44</v>
      </c>
      <c r="G40" s="32">
        <f>F40*'Presupuesto de costos y gastos '!D58</f>
        <v>4565148.058</v>
      </c>
      <c r="H40" s="32">
        <f>G40*'Presupuesto de costos y gastos '!D59</f>
        <v>4747753.98</v>
      </c>
    </row>
    <row r="41" ht="15.75" customHeight="1">
      <c r="C41" s="36" t="s">
        <v>170</v>
      </c>
      <c r="D41" s="32">
        <f>'Presupuesto de costos y gastos '!G52</f>
        <v>4238400</v>
      </c>
      <c r="E41" s="32">
        <f>D41*'Presupuesto de costos y gastos '!D56</f>
        <v>4407936</v>
      </c>
      <c r="F41" s="32">
        <f>E41*'Presupuesto de costos y gastos '!D57</f>
        <v>4584253.44</v>
      </c>
      <c r="G41" s="32">
        <f>F41*'Presupuesto de costos y gastos '!D58</f>
        <v>4767623.578</v>
      </c>
      <c r="H41" s="32">
        <f>G41*'Presupuesto de costos y gastos '!D59</f>
        <v>4958328.521</v>
      </c>
    </row>
    <row r="42" ht="15.75" customHeight="1">
      <c r="C42" s="36" t="s">
        <v>171</v>
      </c>
      <c r="D42" s="32">
        <f>'Presupuesto de costos y gastos '!J52</f>
        <v>4598400</v>
      </c>
      <c r="E42" s="32">
        <f>D42*'Presupuesto de costos y gastos '!D56</f>
        <v>4782336</v>
      </c>
      <c r="F42" s="32">
        <f>E42*'Presupuesto de costos y gastos '!D57</f>
        <v>4973629.44</v>
      </c>
      <c r="G42" s="32">
        <f>F42*'Presupuesto de costos y gastos '!D58</f>
        <v>5172574.618</v>
      </c>
      <c r="H42" s="32">
        <f>G42*'Presupuesto de costos y gastos '!D59</f>
        <v>5379477.602</v>
      </c>
    </row>
    <row r="43" ht="15.75" customHeight="1">
      <c r="C43" s="5" t="s">
        <v>112</v>
      </c>
      <c r="D43" s="26">
        <f t="shared" ref="D43:H43" si="4">SUM(D40:D42)</f>
        <v>12895200</v>
      </c>
      <c r="E43" s="26">
        <f t="shared" si="4"/>
        <v>13411008</v>
      </c>
      <c r="F43" s="26">
        <f t="shared" si="4"/>
        <v>13947448.32</v>
      </c>
      <c r="G43" s="26">
        <f t="shared" si="4"/>
        <v>14505346.25</v>
      </c>
      <c r="H43" s="26">
        <f t="shared" si="4"/>
        <v>15085560.1</v>
      </c>
    </row>
    <row r="44" ht="15.75" customHeight="1"/>
    <row r="45" ht="15.75" customHeight="1"/>
    <row r="46" ht="15.75" customHeight="1">
      <c r="D46" s="9" t="s">
        <v>252</v>
      </c>
    </row>
    <row r="47" ht="15.75" customHeight="1">
      <c r="D47" s="68">
        <f t="shared" ref="D47:H47" si="5">SUM(D13+D24+D35)</f>
        <v>63393105.6</v>
      </c>
      <c r="E47" s="68">
        <f t="shared" si="5"/>
        <v>65294898.77</v>
      </c>
      <c r="F47" s="68">
        <f t="shared" si="5"/>
        <v>68559643.71</v>
      </c>
      <c r="G47" s="68">
        <f t="shared" si="5"/>
        <v>71987625.89</v>
      </c>
      <c r="H47" s="68">
        <f t="shared" si="5"/>
        <v>75587007.19</v>
      </c>
    </row>
    <row r="48" ht="15.75" customHeight="1">
      <c r="D48" s="9" t="s">
        <v>253</v>
      </c>
    </row>
    <row r="49" ht="15.75" customHeight="1">
      <c r="D49" s="68">
        <f>'Presupuesto de costos y gastos '!L50</f>
        <v>0</v>
      </c>
      <c r="E49" s="68">
        <f>D49*(1+'Presupuesto de costos y gastos '!G27)</f>
        <v>0</v>
      </c>
      <c r="F49" s="68">
        <f>E49*(1+'Presupuesto de costos y gastos '!G28)</f>
        <v>0</v>
      </c>
      <c r="G49" s="68">
        <f>F49*(1+'Presupuesto de costos y gastos '!G29)</f>
        <v>0</v>
      </c>
      <c r="H49" s="68">
        <f>G49*(1+'Presupuesto de costos y gastos '!G30)</f>
        <v>0</v>
      </c>
    </row>
    <row r="50" ht="15.75" customHeight="1">
      <c r="D50" s="9" t="s">
        <v>254</v>
      </c>
    </row>
    <row r="51" ht="15.75" customHeight="1">
      <c r="D51" s="68">
        <f>'Presupuesto de costos y gastos '!L48</f>
        <v>3175200</v>
      </c>
      <c r="E51" s="68">
        <f>D51*(1+'Presupuesto de costos y gastos '!G27)</f>
        <v>3270456</v>
      </c>
      <c r="F51" s="9">
        <f>E51*(1+'Presupuesto de costos y gastos '!G28)</f>
        <v>3433978.8</v>
      </c>
      <c r="G51" s="9">
        <f>F51*(1+'Presupuesto de costos y gastos '!G29)</f>
        <v>3605677.74</v>
      </c>
      <c r="H51" s="69">
        <f>G51*(1+'Presupuesto de costos y gastos '!G30)</f>
        <v>3785961.627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3:H3"/>
    <mergeCell ref="C5:H5"/>
    <mergeCell ref="C16:H16"/>
    <mergeCell ref="C27:H27"/>
    <mergeCell ref="C38:H3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0.38"/>
    <col customWidth="1" min="3" max="3" width="14.5"/>
    <col customWidth="1" min="4" max="4" width="14.88"/>
    <col customWidth="1" min="5" max="5" width="10.38"/>
    <col customWidth="1" min="6" max="6" width="20.63"/>
    <col customWidth="1" min="7" max="7" width="11.13"/>
    <col customWidth="1" min="8" max="26" width="9.38"/>
  </cols>
  <sheetData>
    <row r="5">
      <c r="B5" s="1" t="s">
        <v>255</v>
      </c>
      <c r="C5" s="2"/>
      <c r="D5" s="2"/>
      <c r="E5" s="2"/>
      <c r="F5" s="2"/>
      <c r="G5" s="3"/>
    </row>
    <row r="7">
      <c r="B7" s="28" t="s">
        <v>192</v>
      </c>
      <c r="C7" s="28" t="s">
        <v>216</v>
      </c>
      <c r="D7" s="28" t="s">
        <v>214</v>
      </c>
      <c r="E7" s="28" t="s">
        <v>213</v>
      </c>
      <c r="F7" s="28" t="s">
        <v>217</v>
      </c>
      <c r="G7" s="28" t="s">
        <v>112</v>
      </c>
    </row>
    <row r="8">
      <c r="B8" s="36" t="s">
        <v>218</v>
      </c>
      <c r="C8" s="32">
        <f>'Plan de Inversión'!C35</f>
        <v>-27777.77778</v>
      </c>
      <c r="D8" s="32">
        <f>'Plan de Inversión'!D35</f>
        <v>27777.77778</v>
      </c>
      <c r="E8" s="32" t="str">
        <f>'Plan de Inversión'!E35</f>
        <v/>
      </c>
      <c r="F8" s="32" t="str">
        <f>'Plan de Inversión'!F35</f>
        <v/>
      </c>
      <c r="G8" s="32">
        <f t="shared" ref="G8:G13" si="1">SUM(C8:F8)</f>
        <v>0</v>
      </c>
    </row>
    <row r="9">
      <c r="B9" s="36" t="s">
        <v>256</v>
      </c>
      <c r="C9" s="32">
        <f>'Plan de Inversión'!C36</f>
        <v>0</v>
      </c>
      <c r="D9" s="29"/>
      <c r="E9" s="32" t="str">
        <f>'Plan de Inversión'!E36</f>
        <v/>
      </c>
      <c r="F9" s="32" t="str">
        <f>'Plan de Inversión'!F36</f>
        <v/>
      </c>
      <c r="G9" s="32">
        <f t="shared" si="1"/>
        <v>0</v>
      </c>
    </row>
    <row r="10">
      <c r="B10" s="36" t="s">
        <v>204</v>
      </c>
      <c r="C10" s="32">
        <f>'Plan de Inversión'!C37</f>
        <v>0</v>
      </c>
      <c r="D10" s="29"/>
      <c r="E10" s="32" t="str">
        <f>'Plan de Inversión'!E37</f>
        <v/>
      </c>
      <c r="F10" s="32" t="str">
        <f>'Plan de Inversión'!F37</f>
        <v/>
      </c>
      <c r="G10" s="32">
        <f t="shared" si="1"/>
        <v>0</v>
      </c>
    </row>
    <row r="11">
      <c r="B11" s="36" t="s">
        <v>206</v>
      </c>
      <c r="C11" s="32">
        <f>'Plan de Inversión'!C38</f>
        <v>416666.6667</v>
      </c>
      <c r="D11" s="29"/>
      <c r="E11" s="32" t="str">
        <f>'Plan de Inversión'!E38</f>
        <v/>
      </c>
      <c r="F11" s="32" t="str">
        <f>'Plan de Inversión'!F38</f>
        <v/>
      </c>
      <c r="G11" s="32">
        <f t="shared" si="1"/>
        <v>416666.6667</v>
      </c>
    </row>
    <row r="12">
      <c r="B12" s="36" t="s">
        <v>257</v>
      </c>
      <c r="C12" s="32">
        <f>'Plan de Inversión'!C39</f>
        <v>0</v>
      </c>
      <c r="D12" s="29"/>
      <c r="E12" s="32" t="str">
        <f>'Plan de Inversión'!E39</f>
        <v/>
      </c>
      <c r="F12" s="32" t="str">
        <f>'Plan de Inversión'!F39</f>
        <v/>
      </c>
      <c r="G12" s="32">
        <f t="shared" si="1"/>
        <v>0</v>
      </c>
    </row>
    <row r="13">
      <c r="B13" s="36" t="s">
        <v>221</v>
      </c>
      <c r="C13" s="32">
        <f>'Plan de Inversión'!C40</f>
        <v>4674600</v>
      </c>
      <c r="D13" s="29"/>
      <c r="E13" s="32" t="str">
        <f>'Plan de Inversión'!E40</f>
        <v/>
      </c>
      <c r="F13" s="32" t="str">
        <f>'Plan de Inversión'!F40</f>
        <v/>
      </c>
      <c r="G13" s="32">
        <f t="shared" si="1"/>
        <v>4674600</v>
      </c>
    </row>
    <row r="14">
      <c r="B14" s="36"/>
      <c r="C14" s="29"/>
      <c r="D14" s="29"/>
      <c r="E14" s="29"/>
      <c r="F14" s="29"/>
      <c r="G14" s="29"/>
    </row>
    <row r="15">
      <c r="B15" s="36"/>
      <c r="C15" s="29"/>
      <c r="D15" s="29"/>
      <c r="E15" s="29"/>
      <c r="F15" s="29"/>
      <c r="G15" s="29"/>
    </row>
    <row r="16">
      <c r="B16" s="5" t="s">
        <v>222</v>
      </c>
      <c r="C16" s="26">
        <f t="shared" ref="C16:G16" si="2">SUM(C8:C15)</f>
        <v>5063488.889</v>
      </c>
      <c r="D16" s="26">
        <f t="shared" si="2"/>
        <v>27777.77778</v>
      </c>
      <c r="E16" s="26">
        <f t="shared" si="2"/>
        <v>0</v>
      </c>
      <c r="F16" s="26">
        <f t="shared" si="2"/>
        <v>0</v>
      </c>
      <c r="G16" s="26">
        <f t="shared" si="2"/>
        <v>5091266.667</v>
      </c>
    </row>
    <row r="18">
      <c r="B18" s="5" t="s">
        <v>258</v>
      </c>
      <c r="C18" s="70" t="s">
        <v>216</v>
      </c>
      <c r="D18" s="70" t="s">
        <v>214</v>
      </c>
      <c r="E18" s="70" t="s">
        <v>213</v>
      </c>
      <c r="F18" s="70" t="s">
        <v>217</v>
      </c>
      <c r="G18" s="70" t="s">
        <v>112</v>
      </c>
    </row>
    <row r="19">
      <c r="B19" s="36" t="s">
        <v>227</v>
      </c>
      <c r="C19" s="32">
        <f>'Plan de Inversión'!C46</f>
        <v>0</v>
      </c>
      <c r="D19" s="29"/>
      <c r="E19" s="29"/>
      <c r="F19" s="32">
        <f>'Plan de Inversión'!F46</f>
        <v>0</v>
      </c>
      <c r="G19" s="32">
        <f>'Plan de Inversión'!G46</f>
        <v>0</v>
      </c>
    </row>
    <row r="20">
      <c r="B20" s="36" t="s">
        <v>259</v>
      </c>
      <c r="C20" s="32">
        <f>'Plan de Inversión'!C47</f>
        <v>0</v>
      </c>
      <c r="D20" s="29"/>
      <c r="E20" s="29"/>
      <c r="F20" s="32">
        <f>'Plan de Inversión'!F47</f>
        <v>0</v>
      </c>
      <c r="G20" s="32">
        <f>'Plan de Inversión'!G47</f>
        <v>0</v>
      </c>
    </row>
    <row r="21" ht="15.75" customHeight="1">
      <c r="B21" s="36" t="s">
        <v>260</v>
      </c>
      <c r="C21" s="32">
        <f>'Plan de Inversión'!C48</f>
        <v>3000000</v>
      </c>
      <c r="D21" s="29"/>
      <c r="E21" s="29"/>
      <c r="F21" s="32">
        <f>'Plan de Inversión'!F48</f>
        <v>0</v>
      </c>
      <c r="G21" s="32">
        <f>'Plan de Inversión'!G48</f>
        <v>3000000</v>
      </c>
    </row>
    <row r="22" ht="15.75" customHeight="1">
      <c r="B22" s="36" t="s">
        <v>261</v>
      </c>
      <c r="C22" s="32">
        <f>'Plan de Inversión'!C54</f>
        <v>700000</v>
      </c>
      <c r="D22" s="29"/>
      <c r="E22" s="29"/>
      <c r="F22" s="32">
        <f>'Plan de Inversión'!F54</f>
        <v>0</v>
      </c>
      <c r="G22" s="32">
        <f>'Plan de Inversión'!G54</f>
        <v>700000</v>
      </c>
    </row>
    <row r="23" ht="15.75" customHeight="1">
      <c r="B23" s="36" t="s">
        <v>237</v>
      </c>
      <c r="C23" s="32">
        <f>'Plan de Inversión'!C64</f>
        <v>0</v>
      </c>
      <c r="D23" s="29"/>
      <c r="E23" s="29"/>
      <c r="F23" s="32">
        <f>'Plan de Inversión'!F64</f>
        <v>0</v>
      </c>
      <c r="G23" s="32">
        <f>'Plan de Inversión'!G64</f>
        <v>0</v>
      </c>
    </row>
    <row r="24" ht="15.75" customHeight="1">
      <c r="B24" s="5" t="s">
        <v>262</v>
      </c>
      <c r="C24" s="26">
        <f t="shared" ref="C24:G24" si="3">SUM(C19:C23)</f>
        <v>3700000</v>
      </c>
      <c r="D24" s="5">
        <f t="shared" si="3"/>
        <v>0</v>
      </c>
      <c r="E24" s="5">
        <f t="shared" si="3"/>
        <v>0</v>
      </c>
      <c r="F24" s="26">
        <f t="shared" si="3"/>
        <v>0</v>
      </c>
      <c r="G24" s="26">
        <f t="shared" si="3"/>
        <v>3700000</v>
      </c>
    </row>
    <row r="25" ht="15.75" customHeight="1">
      <c r="B25" s="5" t="s">
        <v>239</v>
      </c>
      <c r="C25" s="26">
        <f t="shared" ref="C25:D25" si="4">SUM(C16+C24)</f>
        <v>8763488.889</v>
      </c>
      <c r="D25" s="26">
        <f t="shared" si="4"/>
        <v>27777.77778</v>
      </c>
      <c r="E25" s="5"/>
      <c r="F25" s="26">
        <f>SUM(F16+F24)</f>
        <v>0</v>
      </c>
      <c r="G25" s="26">
        <f>G16+G24</f>
        <v>8791266.667</v>
      </c>
    </row>
    <row r="26" ht="15.75" customHeight="1">
      <c r="B26" s="5" t="s">
        <v>240</v>
      </c>
      <c r="C26" s="64">
        <f>C25/G25</f>
        <v>0.9968402986</v>
      </c>
      <c r="D26" s="64">
        <f>D25/G25</f>
        <v>0.003159701421</v>
      </c>
      <c r="E26" s="5"/>
      <c r="F26" s="64">
        <f>F25/G25</f>
        <v>0</v>
      </c>
      <c r="G26" s="64">
        <f>SUM(C26:F26)</f>
        <v>1</v>
      </c>
    </row>
    <row r="27" ht="15.75" customHeight="1"/>
    <row r="28" ht="15.75" customHeight="1"/>
    <row r="29" ht="15.75" customHeight="1">
      <c r="B29" s="1" t="s">
        <v>263</v>
      </c>
      <c r="C29" s="2"/>
      <c r="D29" s="2"/>
      <c r="E29" s="2"/>
      <c r="F29" s="2"/>
      <c r="G29" s="3"/>
    </row>
    <row r="30" ht="15.75" customHeight="1"/>
    <row r="31" ht="15.75" customHeight="1">
      <c r="B31" s="28" t="s">
        <v>264</v>
      </c>
      <c r="C31" s="28" t="s">
        <v>97</v>
      </c>
      <c r="D31" s="28" t="s">
        <v>84</v>
      </c>
      <c r="E31" s="28" t="s">
        <v>85</v>
      </c>
      <c r="F31" s="28" t="s">
        <v>86</v>
      </c>
      <c r="G31" s="28" t="s">
        <v>87</v>
      </c>
    </row>
    <row r="32" ht="15.75" customHeight="1">
      <c r="B32" s="36" t="s">
        <v>259</v>
      </c>
      <c r="C32" s="32">
        <f>'Plan de Inversión'!I47</f>
        <v>0</v>
      </c>
      <c r="D32" s="32">
        <f>IF('Plan de Inversión'!H47&gt;1,+'Plan de Inversión'!G47/'Plan de Inversión'!H47)</f>
        <v>0</v>
      </c>
      <c r="E32" s="32">
        <f>IF('Plan de Inversión'!H47&gt;2,+'Plan de Inversión'!G47/'Plan de Inversión'!H47)</f>
        <v>0</v>
      </c>
      <c r="F32" s="32">
        <f>IF('Plan de Inversión'!H47&gt;3,+'Plan de Inversión'!G47/'Plan de Inversión'!H47)</f>
        <v>0</v>
      </c>
      <c r="G32" s="32">
        <f>IF('Plan de Inversión'!H47&gt;4,+'Plan de Inversión'!G47/'Plan de Inversión'!H47)</f>
        <v>0</v>
      </c>
    </row>
    <row r="33" ht="15.75" customHeight="1">
      <c r="B33" s="36" t="s">
        <v>260</v>
      </c>
      <c r="C33" s="32">
        <f>'Plan de Inversión'!I48</f>
        <v>300000</v>
      </c>
      <c r="D33" s="32">
        <f>IF('Plan de Inversión'!H48&gt;1,+'Plan de Inversión'!C48/'Plan de Inversión'!H48)</f>
        <v>300000</v>
      </c>
      <c r="E33" s="32">
        <f>IF('Plan de Inversión'!H48&gt;2,+'Plan de Inversión'!C48/'Plan de Inversión'!H48)</f>
        <v>300000</v>
      </c>
      <c r="F33" s="32">
        <f>IF('Plan de Inversión'!H48&gt;3,+'Plan de Inversión'!C48/'Plan de Inversión'!H48)</f>
        <v>300000</v>
      </c>
      <c r="G33" s="32">
        <f>IF('Plan de Inversión'!H48&gt;4,+'Plan de Inversión'!C48/'Plan de Inversión'!H48)</f>
        <v>300000</v>
      </c>
    </row>
    <row r="34" ht="15.75" customHeight="1">
      <c r="B34" s="36" t="s">
        <v>261</v>
      </c>
      <c r="C34" s="32">
        <f>'Plan de Inversión'!I54</f>
        <v>140000</v>
      </c>
      <c r="D34" s="32">
        <f>IF('Plan de Inversión'!H54&gt;1,'Plan de Inversión'!C54/'Plan de Inversión'!H54)</f>
        <v>140000</v>
      </c>
      <c r="E34" s="32">
        <f>IF('Plan de Inversión'!H54&gt;2,'Plan de Inversión'!C54/'Plan de Inversión'!H54)</f>
        <v>140000</v>
      </c>
      <c r="F34" s="32">
        <f>IF('Plan de Inversión'!H54&gt;3,'Plan de Inversión'!C54/'Plan de Inversión'!H54)</f>
        <v>140000</v>
      </c>
      <c r="G34" s="32">
        <f>IF('Plan de Inversión'!H54&gt;4,'Plan de Inversión'!C54/'Plan de Inversión'!H54)</f>
        <v>140000</v>
      </c>
    </row>
    <row r="35" ht="15.75" customHeight="1">
      <c r="B35" s="36" t="s">
        <v>237</v>
      </c>
      <c r="C35" s="32">
        <f>'Plan de Inversión'!I64</f>
        <v>0</v>
      </c>
      <c r="D35" s="32">
        <f>IF('Plan de Inversión'!H64&gt;0,+'Plan de Inversión'!C64/'Plan de Inversión'!H64)</f>
        <v>0</v>
      </c>
      <c r="E35" s="32">
        <f>IF('Plan de Inversión'!H64&gt;0,+'Plan de Inversión'!C64/'Plan de Inversión'!H64)</f>
        <v>0</v>
      </c>
      <c r="F35" s="32">
        <f>IF('Plan de Inversión'!H64&gt;0,+'Plan de Inversión'!C64/'Plan de Inversión'!H64)</f>
        <v>0</v>
      </c>
      <c r="G35" s="32">
        <f>IF('Plan de Inversión'!H64&gt;0,+'Plan de Inversión'!C64/'Plan de Inversión'!H64)</f>
        <v>0</v>
      </c>
    </row>
    <row r="36" ht="15.75" customHeight="1">
      <c r="B36" s="5" t="s">
        <v>112</v>
      </c>
      <c r="C36" s="26">
        <f t="shared" ref="C36:G36" si="5">SUM(C32:C35)</f>
        <v>440000</v>
      </c>
      <c r="D36" s="26">
        <f t="shared" si="5"/>
        <v>440000</v>
      </c>
      <c r="E36" s="26">
        <f t="shared" si="5"/>
        <v>440000</v>
      </c>
      <c r="F36" s="26">
        <f t="shared" si="5"/>
        <v>440000</v>
      </c>
      <c r="G36" s="26">
        <f t="shared" si="5"/>
        <v>440000</v>
      </c>
    </row>
    <row r="37" ht="15.75" customHeight="1"/>
    <row r="38" ht="15.75" customHeight="1">
      <c r="B38" s="1" t="s">
        <v>265</v>
      </c>
      <c r="C38" s="2"/>
      <c r="D38" s="2"/>
      <c r="E38" s="2"/>
      <c r="F38" s="2"/>
      <c r="G38" s="3"/>
    </row>
    <row r="39" ht="15.75" customHeight="1"/>
    <row r="40" ht="15.75" customHeight="1">
      <c r="B40" s="28" t="s">
        <v>264</v>
      </c>
      <c r="C40" s="28" t="s">
        <v>97</v>
      </c>
      <c r="D40" s="28" t="s">
        <v>84</v>
      </c>
      <c r="E40" s="28" t="s">
        <v>85</v>
      </c>
      <c r="F40" s="28" t="s">
        <v>86</v>
      </c>
      <c r="G40" s="28" t="s">
        <v>87</v>
      </c>
    </row>
    <row r="41" ht="15.75" customHeight="1">
      <c r="B41" s="36" t="s">
        <v>208</v>
      </c>
      <c r="C41" s="32">
        <f>'Plan de Inversión'!E25/'Plan de Inversión'!F25</f>
        <v>0</v>
      </c>
      <c r="D41" s="32">
        <f>IF('Plan de Inversión'!F25&gt;1,+'Plan de Inversión'!E25/'Plan de Inversión'!F25)</f>
        <v>0</v>
      </c>
      <c r="E41" s="32">
        <f>IF('Plan de Inversión'!F25&gt;1,+'Plan de Inversión'!E25/'Plan de Inversión'!F25)</f>
        <v>0</v>
      </c>
      <c r="F41" s="32">
        <f>IF('Plan de Inversión'!F25&gt;1,+'Plan de Inversión'!E25/'Plan de Inversión'!F25)</f>
        <v>0</v>
      </c>
      <c r="G41" s="32">
        <f>IF('Plan de Inversión'!F25&gt;1,+'Plan de Inversión'!E25/'Plan de Inversión'!F25)</f>
        <v>0</v>
      </c>
    </row>
    <row r="42" ht="15.75" customHeight="1"/>
    <row r="43" ht="15.75" customHeight="1"/>
    <row r="44" ht="15.75" customHeight="1"/>
    <row r="45" ht="15.75" customHeight="1">
      <c r="B45" s="66"/>
      <c r="C45" s="66"/>
    </row>
    <row r="46" ht="15.75" customHeight="1">
      <c r="B46" s="38"/>
      <c r="C46" s="38"/>
    </row>
    <row r="47" ht="15.75" customHeight="1">
      <c r="B47" s="1" t="s">
        <v>266</v>
      </c>
      <c r="C47" s="3"/>
    </row>
    <row r="48" ht="15.75" customHeight="1">
      <c r="B48" s="38"/>
      <c r="C48" s="38"/>
    </row>
    <row r="49" ht="15.75" customHeight="1">
      <c r="B49" s="5" t="s">
        <v>173</v>
      </c>
      <c r="C49" s="5" t="s">
        <v>267</v>
      </c>
    </row>
    <row r="50" ht="15.75" customHeight="1">
      <c r="B50" s="5" t="s">
        <v>268</v>
      </c>
      <c r="C50" s="7"/>
    </row>
    <row r="51" ht="15.75" customHeight="1">
      <c r="B51" s="5" t="s">
        <v>269</v>
      </c>
      <c r="C51" s="71">
        <v>0.19</v>
      </c>
    </row>
    <row r="52" ht="15.75" customHeight="1">
      <c r="B52" s="38"/>
      <c r="C52" s="68"/>
    </row>
    <row r="53" ht="15.75" customHeight="1">
      <c r="B53" s="5" t="s">
        <v>270</v>
      </c>
      <c r="C53" s="72">
        <f>C25</f>
        <v>8763488.889</v>
      </c>
    </row>
    <row r="54" ht="15.75" customHeight="1">
      <c r="B54" s="5" t="s">
        <v>271</v>
      </c>
      <c r="C54" s="73">
        <f>(1+C56)^(12)-1</f>
        <v>0.1676517763</v>
      </c>
    </row>
    <row r="55" ht="15.75" customHeight="1">
      <c r="B55" s="5" t="s">
        <v>272</v>
      </c>
      <c r="C55" s="74">
        <f>C56*12</f>
        <v>0.156</v>
      </c>
    </row>
    <row r="56" ht="15.75" customHeight="1">
      <c r="B56" s="5" t="s">
        <v>273</v>
      </c>
      <c r="C56" s="71">
        <v>0.013</v>
      </c>
    </row>
    <row r="57" ht="15.75" customHeight="1">
      <c r="B57" s="5" t="s">
        <v>274</v>
      </c>
      <c r="C57" s="7">
        <v>48.0</v>
      </c>
    </row>
    <row r="58" ht="15.75" customHeight="1"/>
    <row r="59" ht="15.75" customHeight="1">
      <c r="B59" s="20" t="s">
        <v>275</v>
      </c>
      <c r="C59" s="20" t="s">
        <v>276</v>
      </c>
      <c r="D59" s="20" t="s">
        <v>277</v>
      </c>
      <c r="E59" s="20" t="s">
        <v>278</v>
      </c>
      <c r="F59" s="20" t="s">
        <v>279</v>
      </c>
    </row>
    <row r="60" ht="15.75" customHeight="1">
      <c r="B60" s="20">
        <v>0.0</v>
      </c>
      <c r="C60" s="20"/>
      <c r="D60" s="20"/>
      <c r="E60" s="20"/>
      <c r="F60" s="75">
        <f>+C53</f>
        <v>8763488.889</v>
      </c>
    </row>
    <row r="61" ht="15.75" customHeight="1">
      <c r="B61" s="18">
        <v>1.0</v>
      </c>
      <c r="C61" s="76">
        <f>-PMT(C56,C57,C53)</f>
        <v>246568.1081</v>
      </c>
      <c r="D61" s="77">
        <f t="shared" ref="D61:D108" si="6">+F60*$C$56</f>
        <v>113925.3556</v>
      </c>
      <c r="E61" s="76">
        <f t="shared" ref="E61:E108" si="7">+C61-D61</f>
        <v>132642.7525</v>
      </c>
      <c r="F61" s="77">
        <f t="shared" ref="F61:F108" si="8">F60-E61</f>
        <v>8630846.136</v>
      </c>
    </row>
    <row r="62" ht="15.75" customHeight="1">
      <c r="B62" s="18">
        <v>2.0</v>
      </c>
      <c r="C62" s="76">
        <f>IF(B62&gt;C57,"",+C61)</f>
        <v>246568.1081</v>
      </c>
      <c r="D62" s="77">
        <f t="shared" si="6"/>
        <v>112200.9998</v>
      </c>
      <c r="E62" s="76">
        <f t="shared" si="7"/>
        <v>134367.1083</v>
      </c>
      <c r="F62" s="77">
        <f t="shared" si="8"/>
        <v>8496479.028</v>
      </c>
    </row>
    <row r="63" ht="15.75" customHeight="1">
      <c r="B63" s="18">
        <v>3.0</v>
      </c>
      <c r="C63" s="76">
        <f>IF(B63&gt;C57,"",+C62)</f>
        <v>246568.1081</v>
      </c>
      <c r="D63" s="77">
        <f t="shared" si="6"/>
        <v>110454.2274</v>
      </c>
      <c r="E63" s="76">
        <f t="shared" si="7"/>
        <v>136113.8807</v>
      </c>
      <c r="F63" s="77">
        <f t="shared" si="8"/>
        <v>8360365.147</v>
      </c>
    </row>
    <row r="64" ht="15.75" customHeight="1">
      <c r="B64" s="18">
        <v>4.0</v>
      </c>
      <c r="C64" s="76">
        <f>IF(B64&gt;C57,"",+C63)</f>
        <v>246568.1081</v>
      </c>
      <c r="D64" s="77">
        <f t="shared" si="6"/>
        <v>108684.7469</v>
      </c>
      <c r="E64" s="76">
        <f t="shared" si="7"/>
        <v>137883.3612</v>
      </c>
      <c r="F64" s="77">
        <f t="shared" si="8"/>
        <v>8222481.786</v>
      </c>
    </row>
    <row r="65" ht="15.75" customHeight="1">
      <c r="B65" s="18">
        <v>5.0</v>
      </c>
      <c r="C65" s="76">
        <f>IF(B65&gt;C57,"",+C64)</f>
        <v>246568.1081</v>
      </c>
      <c r="D65" s="77">
        <f t="shared" si="6"/>
        <v>106892.2632</v>
      </c>
      <c r="E65" s="76">
        <f t="shared" si="7"/>
        <v>139675.8449</v>
      </c>
      <c r="F65" s="77">
        <f t="shared" si="8"/>
        <v>8082805.941</v>
      </c>
    </row>
    <row r="66" ht="15.75" customHeight="1">
      <c r="B66" s="18">
        <v>6.0</v>
      </c>
      <c r="C66" s="76">
        <f>IF(B66&gt;C57,"",+C65)</f>
        <v>246568.1081</v>
      </c>
      <c r="D66" s="77">
        <f t="shared" si="6"/>
        <v>105076.4772</v>
      </c>
      <c r="E66" s="76">
        <f t="shared" si="7"/>
        <v>141491.6309</v>
      </c>
      <c r="F66" s="77">
        <f t="shared" si="8"/>
        <v>7941314.31</v>
      </c>
    </row>
    <row r="67" ht="15.75" customHeight="1">
      <c r="B67" s="18">
        <v>7.0</v>
      </c>
      <c r="C67" s="76">
        <f>IF(B67&gt;C57,"",+C66)</f>
        <v>246568.1081</v>
      </c>
      <c r="D67" s="77">
        <f t="shared" si="6"/>
        <v>103237.086</v>
      </c>
      <c r="E67" s="76">
        <f t="shared" si="7"/>
        <v>143331.0221</v>
      </c>
      <c r="F67" s="77">
        <f t="shared" si="8"/>
        <v>7797983.288</v>
      </c>
    </row>
    <row r="68" ht="15.75" customHeight="1">
      <c r="B68" s="18">
        <v>8.0</v>
      </c>
      <c r="C68" s="76">
        <f>IF(B68&gt;C57,"",+C67)</f>
        <v>246568.1081</v>
      </c>
      <c r="D68" s="77">
        <f t="shared" si="6"/>
        <v>101373.7827</v>
      </c>
      <c r="E68" s="76">
        <f t="shared" si="7"/>
        <v>145194.3253</v>
      </c>
      <c r="F68" s="77">
        <f t="shared" si="8"/>
        <v>7652788.963</v>
      </c>
    </row>
    <row r="69" ht="15.75" customHeight="1">
      <c r="B69" s="18">
        <v>9.0</v>
      </c>
      <c r="C69" s="76">
        <f>IF(B69&gt;C57,"",+C68)</f>
        <v>246568.1081</v>
      </c>
      <c r="D69" s="77">
        <f t="shared" si="6"/>
        <v>99486.25652</v>
      </c>
      <c r="E69" s="76">
        <f t="shared" si="7"/>
        <v>147081.8516</v>
      </c>
      <c r="F69" s="77">
        <f t="shared" si="8"/>
        <v>7505707.111</v>
      </c>
    </row>
    <row r="70" ht="15.75" customHeight="1">
      <c r="B70" s="18">
        <v>10.0</v>
      </c>
      <c r="C70" s="76">
        <f>IF(B70&gt;C57,"",+C69)</f>
        <v>246568.1081</v>
      </c>
      <c r="D70" s="77">
        <f t="shared" si="6"/>
        <v>97574.19245</v>
      </c>
      <c r="E70" s="76">
        <f t="shared" si="7"/>
        <v>148993.9156</v>
      </c>
      <c r="F70" s="77">
        <f t="shared" si="8"/>
        <v>7356713.196</v>
      </c>
    </row>
    <row r="71" ht="15.75" customHeight="1">
      <c r="B71" s="18">
        <v>11.0</v>
      </c>
      <c r="C71" s="76">
        <f>IF(B71&gt;C57,"",+C70)</f>
        <v>246568.1081</v>
      </c>
      <c r="D71" s="77">
        <f t="shared" si="6"/>
        <v>95637.27155</v>
      </c>
      <c r="E71" s="76">
        <f t="shared" si="7"/>
        <v>150930.8365</v>
      </c>
      <c r="F71" s="77">
        <f t="shared" si="8"/>
        <v>7205782.359</v>
      </c>
    </row>
    <row r="72" ht="15.75" customHeight="1">
      <c r="B72" s="18">
        <v>12.0</v>
      </c>
      <c r="C72" s="76">
        <f>IF(B72&gt;C57,"",+C71)</f>
        <v>246568.1081</v>
      </c>
      <c r="D72" s="77">
        <f t="shared" si="6"/>
        <v>93675.17067</v>
      </c>
      <c r="E72" s="76">
        <f t="shared" si="7"/>
        <v>152892.9374</v>
      </c>
      <c r="F72" s="77">
        <f t="shared" si="8"/>
        <v>7052889.422</v>
      </c>
    </row>
    <row r="73" ht="15.75" customHeight="1">
      <c r="B73" s="18">
        <v>13.0</v>
      </c>
      <c r="C73" s="76">
        <f>IF(B73&gt;C57,"",+C72)</f>
        <v>246568.1081</v>
      </c>
      <c r="D73" s="77">
        <f t="shared" si="6"/>
        <v>91687.56248</v>
      </c>
      <c r="E73" s="76">
        <f t="shared" si="7"/>
        <v>154880.5456</v>
      </c>
      <c r="F73" s="77">
        <f t="shared" si="8"/>
        <v>6898008.876</v>
      </c>
    </row>
    <row r="74" ht="15.75" customHeight="1">
      <c r="B74" s="18">
        <v>14.0</v>
      </c>
      <c r="C74" s="76">
        <f>IF(B74&gt;C57,"",+C73)</f>
        <v>246568.1081</v>
      </c>
      <c r="D74" s="77">
        <f t="shared" si="6"/>
        <v>89674.11539</v>
      </c>
      <c r="E74" s="76">
        <f t="shared" si="7"/>
        <v>156893.9927</v>
      </c>
      <c r="F74" s="77">
        <f t="shared" si="8"/>
        <v>6741114.884</v>
      </c>
    </row>
    <row r="75" ht="15.75" customHeight="1">
      <c r="B75" s="18">
        <v>15.0</v>
      </c>
      <c r="C75" s="76">
        <f>IF(B75&gt;C57,"",+C74)</f>
        <v>246568.1081</v>
      </c>
      <c r="D75" s="77">
        <f t="shared" si="6"/>
        <v>87634.49349</v>
      </c>
      <c r="E75" s="76">
        <f t="shared" si="7"/>
        <v>158933.6146</v>
      </c>
      <c r="F75" s="77">
        <f t="shared" si="8"/>
        <v>6582181.269</v>
      </c>
    </row>
    <row r="76" ht="15.75" customHeight="1">
      <c r="B76" s="18">
        <v>16.0</v>
      </c>
      <c r="C76" s="76">
        <f>IF(B76&gt;C57,"",+C75)</f>
        <v>246568.1081</v>
      </c>
      <c r="D76" s="77">
        <f t="shared" si="6"/>
        <v>85568.3565</v>
      </c>
      <c r="E76" s="76">
        <f t="shared" si="7"/>
        <v>160999.7516</v>
      </c>
      <c r="F76" s="77">
        <f t="shared" si="8"/>
        <v>6421181.517</v>
      </c>
    </row>
    <row r="77" ht="15.75" customHeight="1">
      <c r="B77" s="18">
        <v>17.0</v>
      </c>
      <c r="C77" s="76">
        <f>IF(B77&gt;C57,"",+C76)</f>
        <v>246568.1081</v>
      </c>
      <c r="D77" s="77">
        <f t="shared" si="6"/>
        <v>83475.35973</v>
      </c>
      <c r="E77" s="76">
        <f t="shared" si="7"/>
        <v>163092.7484</v>
      </c>
      <c r="F77" s="77">
        <f t="shared" si="8"/>
        <v>6258088.769</v>
      </c>
    </row>
    <row r="78" ht="15.75" customHeight="1">
      <c r="B78" s="18">
        <v>18.0</v>
      </c>
      <c r="C78" s="76">
        <f>IF(B78&gt;C57,"",+C77)</f>
        <v>246568.1081</v>
      </c>
      <c r="D78" s="77">
        <f t="shared" si="6"/>
        <v>81355.154</v>
      </c>
      <c r="E78" s="76">
        <f t="shared" si="7"/>
        <v>165212.9541</v>
      </c>
      <c r="F78" s="77">
        <f t="shared" si="8"/>
        <v>6092875.815</v>
      </c>
    </row>
    <row r="79" ht="15.75" customHeight="1">
      <c r="B79" s="18">
        <v>19.0</v>
      </c>
      <c r="C79" s="76">
        <f>IF(B79&gt;C57,"",+C78)</f>
        <v>246568.1081</v>
      </c>
      <c r="D79" s="77">
        <f t="shared" si="6"/>
        <v>79207.38559</v>
      </c>
      <c r="E79" s="76">
        <f t="shared" si="7"/>
        <v>167360.7225</v>
      </c>
      <c r="F79" s="77">
        <f t="shared" si="8"/>
        <v>5925515.092</v>
      </c>
    </row>
    <row r="80" ht="15.75" customHeight="1">
      <c r="B80" s="18">
        <v>20.0</v>
      </c>
      <c r="C80" s="76">
        <f>IF(B80&gt;C57,"",+C79)</f>
        <v>246568.1081</v>
      </c>
      <c r="D80" s="77">
        <f t="shared" si="6"/>
        <v>77031.6962</v>
      </c>
      <c r="E80" s="76">
        <f t="shared" si="7"/>
        <v>169536.4119</v>
      </c>
      <c r="F80" s="77">
        <f t="shared" si="8"/>
        <v>5755978.68</v>
      </c>
    </row>
    <row r="81" ht="15.75" customHeight="1">
      <c r="B81" s="18">
        <v>21.0</v>
      </c>
      <c r="C81" s="76">
        <f>IF(B81&gt;C57,"",+C80)</f>
        <v>246568.1081</v>
      </c>
      <c r="D81" s="77">
        <f t="shared" si="6"/>
        <v>74827.72285</v>
      </c>
      <c r="E81" s="76">
        <f t="shared" si="7"/>
        <v>171740.3852</v>
      </c>
      <c r="F81" s="77">
        <f t="shared" si="8"/>
        <v>5584238.295</v>
      </c>
    </row>
    <row r="82" ht="15.75" customHeight="1">
      <c r="B82" s="18">
        <v>22.0</v>
      </c>
      <c r="C82" s="76">
        <f>IF(B82&gt;C57,"",+C81)</f>
        <v>246568.1081</v>
      </c>
      <c r="D82" s="77">
        <f t="shared" si="6"/>
        <v>72595.09784</v>
      </c>
      <c r="E82" s="76">
        <f t="shared" si="7"/>
        <v>173973.0103</v>
      </c>
      <c r="F82" s="77">
        <f t="shared" si="8"/>
        <v>5410265.285</v>
      </c>
    </row>
    <row r="83" ht="15.75" customHeight="1">
      <c r="B83" s="18">
        <v>23.0</v>
      </c>
      <c r="C83" s="76">
        <f>IF(B83&gt;C57,"",+C82)</f>
        <v>246568.1081</v>
      </c>
      <c r="D83" s="77">
        <f t="shared" si="6"/>
        <v>70333.4487</v>
      </c>
      <c r="E83" s="76">
        <f t="shared" si="7"/>
        <v>176234.6594</v>
      </c>
      <c r="F83" s="77">
        <f t="shared" si="8"/>
        <v>5234030.626</v>
      </c>
    </row>
    <row r="84" ht="15.75" customHeight="1">
      <c r="B84" s="18">
        <v>24.0</v>
      </c>
      <c r="C84" s="76">
        <f>IF(B84&gt;C57,"",+C83)</f>
        <v>246568.1081</v>
      </c>
      <c r="D84" s="77">
        <f t="shared" si="6"/>
        <v>68042.39813</v>
      </c>
      <c r="E84" s="76">
        <f t="shared" si="7"/>
        <v>178525.71</v>
      </c>
      <c r="F84" s="77">
        <f t="shared" si="8"/>
        <v>5055504.916</v>
      </c>
    </row>
    <row r="85" ht="15.75" customHeight="1">
      <c r="B85" s="18">
        <v>25.0</v>
      </c>
      <c r="C85" s="76">
        <f>IF(B85&gt;C57,"",+C84)</f>
        <v>246568.1081</v>
      </c>
      <c r="D85" s="77">
        <f t="shared" si="6"/>
        <v>65721.5639</v>
      </c>
      <c r="E85" s="76">
        <f t="shared" si="7"/>
        <v>180846.5442</v>
      </c>
      <c r="F85" s="77">
        <f t="shared" si="8"/>
        <v>4874658.371</v>
      </c>
    </row>
    <row r="86" ht="15.75" customHeight="1">
      <c r="B86" s="18">
        <v>26.0</v>
      </c>
      <c r="C86" s="76">
        <f>IF(B86&gt;C57,"",+C85)</f>
        <v>246568.1081</v>
      </c>
      <c r="D86" s="77">
        <f t="shared" si="6"/>
        <v>63370.55883</v>
      </c>
      <c r="E86" s="76">
        <f t="shared" si="7"/>
        <v>183197.5493</v>
      </c>
      <c r="F86" s="77">
        <f t="shared" si="8"/>
        <v>4691460.822</v>
      </c>
    </row>
    <row r="87" ht="15.75" customHeight="1">
      <c r="B87" s="18">
        <v>27.0</v>
      </c>
      <c r="C87" s="76">
        <f>IF(B87&gt;C57,"",+C86)</f>
        <v>246568.1081</v>
      </c>
      <c r="D87" s="77">
        <f t="shared" si="6"/>
        <v>60988.99069</v>
      </c>
      <c r="E87" s="76">
        <f t="shared" si="7"/>
        <v>185579.1174</v>
      </c>
      <c r="F87" s="77">
        <f t="shared" si="8"/>
        <v>4505881.705</v>
      </c>
    </row>
    <row r="88" ht="15.75" customHeight="1">
      <c r="B88" s="18">
        <v>28.0</v>
      </c>
      <c r="C88" s="76">
        <f>IF(B88&gt;C57,"",+C87)</f>
        <v>246568.1081</v>
      </c>
      <c r="D88" s="77">
        <f t="shared" si="6"/>
        <v>58576.46216</v>
      </c>
      <c r="E88" s="76">
        <f t="shared" si="7"/>
        <v>187991.6459</v>
      </c>
      <c r="F88" s="77">
        <f t="shared" si="8"/>
        <v>4317890.059</v>
      </c>
    </row>
    <row r="89" ht="15.75" customHeight="1">
      <c r="B89" s="18">
        <v>29.0</v>
      </c>
      <c r="C89" s="76">
        <f>IF(B89&gt;C57,"",+C88)</f>
        <v>246568.1081</v>
      </c>
      <c r="D89" s="77">
        <f t="shared" si="6"/>
        <v>56132.57077</v>
      </c>
      <c r="E89" s="76">
        <f t="shared" si="7"/>
        <v>190435.5373</v>
      </c>
      <c r="F89" s="77">
        <f t="shared" si="8"/>
        <v>4127454.522</v>
      </c>
    </row>
    <row r="90" ht="15.75" customHeight="1">
      <c r="B90" s="18">
        <v>30.0</v>
      </c>
      <c r="C90" s="76">
        <f>IF(B90&gt;C57,"",+C89)</f>
        <v>246568.1081</v>
      </c>
      <c r="D90" s="77">
        <f t="shared" si="6"/>
        <v>53656.90878</v>
      </c>
      <c r="E90" s="76">
        <f t="shared" si="7"/>
        <v>192911.1993</v>
      </c>
      <c r="F90" s="77">
        <f t="shared" si="8"/>
        <v>3934543.322</v>
      </c>
    </row>
    <row r="91" ht="15.75" customHeight="1">
      <c r="B91" s="18">
        <v>31.0</v>
      </c>
      <c r="C91" s="76">
        <f>IF(B91&gt;C57,"",+C90)</f>
        <v>246568.1081</v>
      </c>
      <c r="D91" s="77">
        <f t="shared" si="6"/>
        <v>51149.06319</v>
      </c>
      <c r="E91" s="76">
        <f t="shared" si="7"/>
        <v>195419.0449</v>
      </c>
      <c r="F91" s="77">
        <f t="shared" si="8"/>
        <v>3739124.277</v>
      </c>
    </row>
    <row r="92" ht="15.75" customHeight="1">
      <c r="B92" s="18">
        <v>32.0</v>
      </c>
      <c r="C92" s="76">
        <f>IF(B92&gt;C57,"",+C91)</f>
        <v>246568.1081</v>
      </c>
      <c r="D92" s="77">
        <f t="shared" si="6"/>
        <v>48608.61561</v>
      </c>
      <c r="E92" s="76">
        <f t="shared" si="7"/>
        <v>197959.4925</v>
      </c>
      <c r="F92" s="77">
        <f t="shared" si="8"/>
        <v>3541164.785</v>
      </c>
    </row>
    <row r="93" ht="15.75" customHeight="1">
      <c r="B93" s="18">
        <v>33.0</v>
      </c>
      <c r="C93" s="76">
        <f>IF(B93&gt;C57,"",+C92)</f>
        <v>246568.1081</v>
      </c>
      <c r="D93" s="77">
        <f t="shared" si="6"/>
        <v>46035.1422</v>
      </c>
      <c r="E93" s="76">
        <f t="shared" si="7"/>
        <v>200532.9659</v>
      </c>
      <c r="F93" s="77">
        <f t="shared" si="8"/>
        <v>3340631.819</v>
      </c>
    </row>
    <row r="94" ht="15.75" customHeight="1">
      <c r="B94" s="18">
        <v>34.0</v>
      </c>
      <c r="C94" s="76">
        <f>IF(B94&gt;C57,"",+C93)</f>
        <v>246568.1081</v>
      </c>
      <c r="D94" s="77">
        <f t="shared" si="6"/>
        <v>43428.21365</v>
      </c>
      <c r="E94" s="76">
        <f t="shared" si="7"/>
        <v>203139.8944</v>
      </c>
      <c r="F94" s="77">
        <f t="shared" si="8"/>
        <v>3137491.925</v>
      </c>
    </row>
    <row r="95" ht="15.75" customHeight="1">
      <c r="B95" s="18">
        <v>35.0</v>
      </c>
      <c r="C95" s="76">
        <f>IF(B95&gt;C57,"",+C94)</f>
        <v>246568.1081</v>
      </c>
      <c r="D95" s="77">
        <f t="shared" si="6"/>
        <v>40787.39502</v>
      </c>
      <c r="E95" s="76">
        <f t="shared" si="7"/>
        <v>205780.7131</v>
      </c>
      <c r="F95" s="77">
        <f t="shared" si="8"/>
        <v>2931711.211</v>
      </c>
    </row>
    <row r="96" ht="15.75" customHeight="1">
      <c r="B96" s="18">
        <v>36.0</v>
      </c>
      <c r="C96" s="76">
        <f>IF(B96&gt;C57,"",+C95)</f>
        <v>246568.1081</v>
      </c>
      <c r="D96" s="77">
        <f t="shared" si="6"/>
        <v>38112.24575</v>
      </c>
      <c r="E96" s="76">
        <f t="shared" si="7"/>
        <v>208455.8623</v>
      </c>
      <c r="F96" s="77">
        <f t="shared" si="8"/>
        <v>2723255.349</v>
      </c>
    </row>
    <row r="97" ht="15.75" customHeight="1">
      <c r="B97" s="18">
        <v>37.0</v>
      </c>
      <c r="C97" s="76">
        <f>IF(B97&gt;C57,"",+C96)</f>
        <v>246568.1081</v>
      </c>
      <c r="D97" s="77">
        <f t="shared" si="6"/>
        <v>35402.31954</v>
      </c>
      <c r="E97" s="76">
        <f t="shared" si="7"/>
        <v>211165.7886</v>
      </c>
      <c r="F97" s="77">
        <f t="shared" si="8"/>
        <v>2512089.561</v>
      </c>
    </row>
    <row r="98" ht="15.75" customHeight="1">
      <c r="B98" s="18">
        <v>38.0</v>
      </c>
      <c r="C98" s="76">
        <f>IF(B98&gt;C57,"",+C97)</f>
        <v>246568.1081</v>
      </c>
      <c r="D98" s="77">
        <f t="shared" si="6"/>
        <v>32657.16429</v>
      </c>
      <c r="E98" s="76">
        <f t="shared" si="7"/>
        <v>213910.9438</v>
      </c>
      <c r="F98" s="77">
        <f t="shared" si="8"/>
        <v>2298178.617</v>
      </c>
    </row>
    <row r="99" ht="15.75" customHeight="1">
      <c r="B99" s="18">
        <v>39.0</v>
      </c>
      <c r="C99" s="76">
        <f>IF(B99&gt;C57,"",+C98)</f>
        <v>246568.1081</v>
      </c>
      <c r="D99" s="77">
        <f t="shared" si="6"/>
        <v>29876.32202</v>
      </c>
      <c r="E99" s="76">
        <f t="shared" si="7"/>
        <v>216691.7861</v>
      </c>
      <c r="F99" s="77">
        <f t="shared" si="8"/>
        <v>2081486.831</v>
      </c>
    </row>
    <row r="100" ht="15.75" customHeight="1">
      <c r="B100" s="18">
        <v>40.0</v>
      </c>
      <c r="C100" s="76">
        <f>IF(B100&gt;C57,"",+C99)</f>
        <v>246568.1081</v>
      </c>
      <c r="D100" s="77">
        <f t="shared" si="6"/>
        <v>27059.3288</v>
      </c>
      <c r="E100" s="76">
        <f t="shared" si="7"/>
        <v>219508.7793</v>
      </c>
      <c r="F100" s="77">
        <f t="shared" si="8"/>
        <v>1861978.051</v>
      </c>
    </row>
    <row r="101" ht="15.75" customHeight="1">
      <c r="B101" s="18">
        <v>41.0</v>
      </c>
      <c r="C101" s="76">
        <f>IF(B101&gt;C57,"",+C100)</f>
        <v>246568.1081</v>
      </c>
      <c r="D101" s="77">
        <f t="shared" si="6"/>
        <v>24205.71467</v>
      </c>
      <c r="E101" s="76">
        <f t="shared" si="7"/>
        <v>222362.3934</v>
      </c>
      <c r="F101" s="77">
        <f t="shared" si="8"/>
        <v>1639615.658</v>
      </c>
    </row>
    <row r="102" ht="15.75" customHeight="1">
      <c r="B102" s="18">
        <v>42.0</v>
      </c>
      <c r="C102" s="76">
        <f>IF(B102&gt;C57,"",+C101)</f>
        <v>246568.1081</v>
      </c>
      <c r="D102" s="77">
        <f t="shared" si="6"/>
        <v>21315.00355</v>
      </c>
      <c r="E102" s="76">
        <f t="shared" si="7"/>
        <v>225253.1045</v>
      </c>
      <c r="F102" s="77">
        <f t="shared" si="8"/>
        <v>1414362.553</v>
      </c>
    </row>
    <row r="103" ht="15.75" customHeight="1">
      <c r="B103" s="18">
        <v>43.0</v>
      </c>
      <c r="C103" s="76">
        <f>IF(B103&gt;C57,"",+C102)</f>
        <v>246568.1081</v>
      </c>
      <c r="D103" s="77">
        <f t="shared" si="6"/>
        <v>18386.71319</v>
      </c>
      <c r="E103" s="76">
        <f t="shared" si="7"/>
        <v>228181.3949</v>
      </c>
      <c r="F103" s="77">
        <f t="shared" si="8"/>
        <v>1186181.159</v>
      </c>
    </row>
    <row r="104" ht="15.75" customHeight="1">
      <c r="B104" s="18">
        <v>44.0</v>
      </c>
      <c r="C104" s="76">
        <f>IF(B104&gt;C57,"",+C103)</f>
        <v>246568.1081</v>
      </c>
      <c r="D104" s="77">
        <f t="shared" si="6"/>
        <v>15420.35506</v>
      </c>
      <c r="E104" s="76">
        <f t="shared" si="7"/>
        <v>231147.753</v>
      </c>
      <c r="F104" s="77">
        <f t="shared" si="8"/>
        <v>955033.4055</v>
      </c>
    </row>
    <row r="105" ht="15.75" customHeight="1">
      <c r="B105" s="18">
        <v>45.0</v>
      </c>
      <c r="C105" s="76">
        <f>IF(B105&gt;C57,"",+C104)</f>
        <v>246568.1081</v>
      </c>
      <c r="D105" s="77">
        <f t="shared" si="6"/>
        <v>12415.43427</v>
      </c>
      <c r="E105" s="76">
        <f t="shared" si="7"/>
        <v>234152.6738</v>
      </c>
      <c r="F105" s="77">
        <f t="shared" si="8"/>
        <v>720880.7317</v>
      </c>
    </row>
    <row r="106" ht="15.75" customHeight="1">
      <c r="B106" s="18">
        <v>46.0</v>
      </c>
      <c r="C106" s="76">
        <f>IF(B106&gt;C57,"",+C105)</f>
        <v>246568.1081</v>
      </c>
      <c r="D106" s="77">
        <f t="shared" si="6"/>
        <v>9371.449512</v>
      </c>
      <c r="E106" s="76">
        <f t="shared" si="7"/>
        <v>237196.6586</v>
      </c>
      <c r="F106" s="77">
        <f t="shared" si="8"/>
        <v>483684.0731</v>
      </c>
    </row>
    <row r="107" ht="15.75" customHeight="1">
      <c r="B107" s="18">
        <v>47.0</v>
      </c>
      <c r="C107" s="76">
        <f>IF(B107&gt;C57,"",+C106)</f>
        <v>246568.1081</v>
      </c>
      <c r="D107" s="77">
        <f t="shared" si="6"/>
        <v>6287.89295</v>
      </c>
      <c r="E107" s="76">
        <f t="shared" si="7"/>
        <v>240280.2151</v>
      </c>
      <c r="F107" s="77">
        <f t="shared" si="8"/>
        <v>243403.8579</v>
      </c>
    </row>
    <row r="108" ht="15.75" customHeight="1">
      <c r="B108" s="18">
        <v>48.0</v>
      </c>
      <c r="C108" s="76">
        <f>IF(B108&gt;C57,"",+C107)</f>
        <v>246568.1081</v>
      </c>
      <c r="D108" s="77">
        <f t="shared" si="6"/>
        <v>3164.250153</v>
      </c>
      <c r="E108" s="76">
        <f t="shared" si="7"/>
        <v>243403.8579</v>
      </c>
      <c r="F108" s="77">
        <f t="shared" si="8"/>
        <v>-0.00000008795177564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5:G5"/>
    <mergeCell ref="B29:G29"/>
    <mergeCell ref="B38:G38"/>
    <mergeCell ref="B47:C47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27.25"/>
    <col customWidth="1" min="4" max="5" width="10.38"/>
    <col customWidth="1" min="6" max="6" width="11.0"/>
    <col customWidth="1" min="7" max="7" width="10.38"/>
    <col customWidth="1" min="8" max="8" width="11.0"/>
    <col customWidth="1" min="9" max="26" width="9.38"/>
  </cols>
  <sheetData>
    <row r="6">
      <c r="C6" s="1" t="s">
        <v>280</v>
      </c>
      <c r="D6" s="2"/>
      <c r="E6" s="2"/>
      <c r="F6" s="2"/>
      <c r="G6" s="2"/>
      <c r="H6" s="3"/>
    </row>
    <row r="8">
      <c r="C8" s="28" t="s">
        <v>173</v>
      </c>
      <c r="D8" s="28" t="s">
        <v>97</v>
      </c>
      <c r="E8" s="28" t="s">
        <v>84</v>
      </c>
      <c r="F8" s="28" t="s">
        <v>85</v>
      </c>
      <c r="G8" s="28" t="s">
        <v>86</v>
      </c>
      <c r="H8" s="28" t="s">
        <v>87</v>
      </c>
    </row>
    <row r="9">
      <c r="C9" s="67" t="s">
        <v>147</v>
      </c>
      <c r="D9" s="32">
        <f>'Presupuesto de compras y ventas'!$E$14</f>
        <v>150000000</v>
      </c>
      <c r="E9" s="32">
        <f>'Presupuesto de compras y ventas'!$H$14</f>
        <v>154500000</v>
      </c>
      <c r="F9" s="32">
        <f>'Presupuesto de compras y ventas'!$K$14</f>
        <v>159135000</v>
      </c>
      <c r="G9" s="32">
        <f>'Presupuesto de compras y ventas'!$N$14</f>
        <v>163909050</v>
      </c>
      <c r="H9" s="32">
        <f>'Presupuesto de compras y ventas'!$Q$14</f>
        <v>168826321.5</v>
      </c>
    </row>
    <row r="10">
      <c r="C10" s="67" t="s">
        <v>281</v>
      </c>
      <c r="D10" s="32">
        <f>'Presupuesto de compras y ventas'!$D$14</f>
        <v>10000000</v>
      </c>
      <c r="E10" s="32">
        <f>'Presupuesto de compras y ventas'!$G$14</f>
        <v>10400000</v>
      </c>
      <c r="F10" s="32">
        <f>'Presupuesto de compras y ventas'!$J$14</f>
        <v>10816000</v>
      </c>
      <c r="G10" s="32">
        <f>'Presupuesto de compras y ventas'!$M$14</f>
        <v>11248640</v>
      </c>
      <c r="H10" s="32">
        <f>'Presupuesto de compras y ventas'!$P$14</f>
        <v>11698585.6</v>
      </c>
    </row>
    <row r="11">
      <c r="C11" s="67" t="s">
        <v>263</v>
      </c>
      <c r="D11" s="32">
        <f>'Resumen Plan de Inversion'!C36</f>
        <v>440000</v>
      </c>
      <c r="E11" s="32">
        <f>'Resumen Plan de Inversion'!D36</f>
        <v>440000</v>
      </c>
      <c r="F11" s="32">
        <f>'Resumen Plan de Inversion'!E36</f>
        <v>440000</v>
      </c>
      <c r="G11" s="32">
        <f>'Resumen Plan de Inversion'!F36</f>
        <v>440000</v>
      </c>
      <c r="H11" s="32">
        <f>'Resumen Plan de Inversion'!G36</f>
        <v>440000</v>
      </c>
    </row>
    <row r="12">
      <c r="C12" s="67" t="s">
        <v>282</v>
      </c>
      <c r="D12" s="32">
        <f>'Presupuesto de Costos y G año 1'!D40</f>
        <v>4058400</v>
      </c>
      <c r="E12" s="32">
        <f>'Presupuesto de Costos y G año 1'!E40</f>
        <v>4220736</v>
      </c>
      <c r="F12" s="32">
        <f>'Presupuesto de Costos y G año 1'!F40</f>
        <v>4389565.44</v>
      </c>
      <c r="G12" s="32">
        <f>'Presupuesto de Costos y G año 1'!G40</f>
        <v>4565148.058</v>
      </c>
      <c r="H12" s="32">
        <f>'Presupuesto de Costos y G año 1'!H40</f>
        <v>4747753.98</v>
      </c>
    </row>
    <row r="13">
      <c r="C13" s="67" t="s">
        <v>145</v>
      </c>
      <c r="D13" s="32">
        <f>'Presupuesto de Costos y G año 1'!D13</f>
        <v>21131035.2</v>
      </c>
      <c r="E13" s="32">
        <f>'Presupuesto de Costos y G año 1'!E13</f>
        <v>21764966.26</v>
      </c>
      <c r="F13" s="32">
        <f>'Presupuesto de Costos y G año 1'!F13</f>
        <v>22853214.57</v>
      </c>
      <c r="G13" s="32">
        <f>'Presupuesto de Costos y G año 1'!G13</f>
        <v>23995875.3</v>
      </c>
      <c r="H13" s="32">
        <f>'Presupuesto de Costos y G año 1'!H13</f>
        <v>25195669.06</v>
      </c>
    </row>
    <row r="14">
      <c r="C14" s="78" t="s">
        <v>283</v>
      </c>
      <c r="D14" s="79">
        <f t="shared" ref="D14:H14" si="1">SUM(D10:D13)</f>
        <v>35629435.2</v>
      </c>
      <c r="E14" s="79">
        <f t="shared" si="1"/>
        <v>36825702.26</v>
      </c>
      <c r="F14" s="79">
        <f t="shared" si="1"/>
        <v>38498780.01</v>
      </c>
      <c r="G14" s="79">
        <f t="shared" si="1"/>
        <v>40249663.35</v>
      </c>
      <c r="H14" s="79">
        <f t="shared" si="1"/>
        <v>42082008.64</v>
      </c>
    </row>
    <row r="15">
      <c r="C15" s="78" t="s">
        <v>284</v>
      </c>
      <c r="D15" s="79">
        <f t="shared" ref="D15:H15" si="2">D9-D14</f>
        <v>114370564.8</v>
      </c>
      <c r="E15" s="79">
        <f t="shared" si="2"/>
        <v>117674297.7</v>
      </c>
      <c r="F15" s="79">
        <f t="shared" si="2"/>
        <v>120636220</v>
      </c>
      <c r="G15" s="79">
        <f t="shared" si="2"/>
        <v>123659386.6</v>
      </c>
      <c r="H15" s="79">
        <f t="shared" si="2"/>
        <v>126744312.9</v>
      </c>
    </row>
    <row r="16">
      <c r="C16" s="67" t="s">
        <v>285</v>
      </c>
      <c r="D16" s="32">
        <f>'Presupuesto de Costos y G año 1'!D24</f>
        <v>21131035.2</v>
      </c>
      <c r="E16" s="32">
        <f>'Presupuesto de Costos y G año 1'!E24</f>
        <v>21764966.26</v>
      </c>
      <c r="F16" s="32">
        <f>'Presupuesto de Costos y G año 1'!F24</f>
        <v>22853214.57</v>
      </c>
      <c r="G16" s="32">
        <f>'Presupuesto de Costos y G año 1'!G24</f>
        <v>23995875.3</v>
      </c>
      <c r="H16" s="32">
        <f>'Presupuesto de Costos y G año 1'!H24</f>
        <v>25195669.06</v>
      </c>
    </row>
    <row r="17">
      <c r="C17" s="67" t="s">
        <v>170</v>
      </c>
      <c r="D17" s="32">
        <f>'Presupuesto de Costos y G año 1'!D41</f>
        <v>4238400</v>
      </c>
      <c r="E17" s="32">
        <f>'Presupuesto de Costos y G año 1'!E41</f>
        <v>4407936</v>
      </c>
      <c r="F17" s="32">
        <f>'Presupuesto de Costos y G año 1'!F41</f>
        <v>4584253.44</v>
      </c>
      <c r="G17" s="32">
        <f>'Presupuesto de Costos y G año 1'!G41</f>
        <v>4767623.578</v>
      </c>
      <c r="H17" s="32">
        <f>'Presupuesto de Costos y G año 1'!H41</f>
        <v>4958328.521</v>
      </c>
    </row>
    <row r="18">
      <c r="C18" s="67" t="s">
        <v>286</v>
      </c>
      <c r="D18" s="32">
        <f>'Presupuesto de Costos y G año 1'!D35</f>
        <v>21131035.2</v>
      </c>
      <c r="E18" s="32">
        <f>'Presupuesto de Costos y G año 1'!E35</f>
        <v>21764966.26</v>
      </c>
      <c r="F18" s="32">
        <f>'Presupuesto de Costos y G año 1'!F35</f>
        <v>22853214.57</v>
      </c>
      <c r="G18" s="32">
        <f>'Presupuesto de Costos y G año 1'!G35</f>
        <v>23995875.3</v>
      </c>
      <c r="H18" s="32">
        <f>'Presupuesto de Costos y G año 1'!H35</f>
        <v>25195669.06</v>
      </c>
    </row>
    <row r="19">
      <c r="C19" s="67" t="s">
        <v>171</v>
      </c>
      <c r="D19" s="32">
        <f>'Presupuesto de Costos y G año 1'!D42</f>
        <v>4598400</v>
      </c>
      <c r="E19" s="32">
        <f>'Presupuesto de Costos y G año 1'!E42</f>
        <v>4782336</v>
      </c>
      <c r="F19" s="32">
        <f>'Presupuesto de Costos y G año 1'!F42</f>
        <v>4973629.44</v>
      </c>
      <c r="G19" s="32">
        <f>'Presupuesto de Costos y G año 1'!G42</f>
        <v>5172574.618</v>
      </c>
      <c r="H19" s="32">
        <f>'Presupuesto de Costos y G año 1'!H42</f>
        <v>5379477.602</v>
      </c>
    </row>
    <row r="20">
      <c r="C20" s="67" t="s">
        <v>265</v>
      </c>
      <c r="D20" s="32">
        <f>'Resumen Plan de Inversion'!C41</f>
        <v>0</v>
      </c>
      <c r="E20" s="32">
        <f>'Resumen Plan de Inversion'!D41</f>
        <v>0</v>
      </c>
      <c r="F20" s="32">
        <f>'Resumen Plan de Inversion'!E41</f>
        <v>0</v>
      </c>
      <c r="G20" s="32">
        <f>'Resumen Plan de Inversion'!F41</f>
        <v>0</v>
      </c>
      <c r="H20" s="32">
        <f>'Resumen Plan de Inversion'!G41</f>
        <v>0</v>
      </c>
    </row>
    <row r="21" ht="15.75" customHeight="1">
      <c r="C21" s="78" t="s">
        <v>287</v>
      </c>
      <c r="D21" s="79">
        <f t="shared" ref="D21:H21" si="3">SUM(D16:D20)</f>
        <v>51098870.4</v>
      </c>
      <c r="E21" s="79">
        <f t="shared" si="3"/>
        <v>52720204.51</v>
      </c>
      <c r="F21" s="79">
        <f t="shared" si="3"/>
        <v>55264312.02</v>
      </c>
      <c r="G21" s="79">
        <f t="shared" si="3"/>
        <v>57931948.79</v>
      </c>
      <c r="H21" s="79">
        <f t="shared" si="3"/>
        <v>60729144.25</v>
      </c>
    </row>
    <row r="22" ht="15.75" customHeight="1">
      <c r="C22" s="78" t="s">
        <v>288</v>
      </c>
      <c r="D22" s="79">
        <f t="shared" ref="D22:H22" si="4">D15-D21</f>
        <v>63271694.4</v>
      </c>
      <c r="E22" s="79">
        <f t="shared" si="4"/>
        <v>64954093.23</v>
      </c>
      <c r="F22" s="79">
        <f t="shared" si="4"/>
        <v>65371907.97</v>
      </c>
      <c r="G22" s="79">
        <f t="shared" si="4"/>
        <v>65727437.86</v>
      </c>
      <c r="H22" s="79">
        <f t="shared" si="4"/>
        <v>66015168.61</v>
      </c>
    </row>
    <row r="23" ht="15.75" customHeight="1">
      <c r="C23" s="67" t="s">
        <v>289</v>
      </c>
      <c r="D23" s="32">
        <f>SUM('Resumen Plan de Inversion'!D61:D72)</f>
        <v>1248217.83</v>
      </c>
      <c r="E23" s="76">
        <f>SUM('Resumen Plan de Inversion'!D73:D84)</f>
        <v>961432.7909</v>
      </c>
      <c r="F23" s="76">
        <f>SUM('Resumen Plan de Inversion'!D85:D96)</f>
        <v>626567.7305</v>
      </c>
      <c r="G23" s="76">
        <f>SUM('Resumen Plan de Inversion'!D97:D108)</f>
        <v>235561.948</v>
      </c>
      <c r="H23" s="29"/>
    </row>
    <row r="24" ht="15.75" customHeight="1">
      <c r="C24" s="67" t="s">
        <v>290</v>
      </c>
      <c r="D24" s="29"/>
      <c r="E24" s="29"/>
      <c r="F24" s="29"/>
      <c r="G24" s="29"/>
      <c r="H24" s="29"/>
    </row>
    <row r="25" ht="15.75" customHeight="1">
      <c r="C25" s="80" t="s">
        <v>291</v>
      </c>
      <c r="D25" s="81">
        <f t="shared" ref="D25:H25" si="5">SUM(D23:D24)</f>
        <v>1248217.83</v>
      </c>
      <c r="E25" s="81">
        <f t="shared" si="5"/>
        <v>961432.7909</v>
      </c>
      <c r="F25" s="81">
        <f t="shared" si="5"/>
        <v>626567.7305</v>
      </c>
      <c r="G25" s="81">
        <f t="shared" si="5"/>
        <v>235561.948</v>
      </c>
      <c r="H25" s="81">
        <f t="shared" si="5"/>
        <v>0</v>
      </c>
    </row>
    <row r="26" ht="15.75" customHeight="1">
      <c r="C26" s="80" t="s">
        <v>292</v>
      </c>
      <c r="D26" s="81">
        <f t="shared" ref="D26:H26" si="6">D22-D25</f>
        <v>62023476.57</v>
      </c>
      <c r="E26" s="81">
        <f t="shared" si="6"/>
        <v>63992660.44</v>
      </c>
      <c r="F26" s="81">
        <f t="shared" si="6"/>
        <v>64745340.24</v>
      </c>
      <c r="G26" s="81">
        <f t="shared" si="6"/>
        <v>65491875.91</v>
      </c>
      <c r="H26" s="81">
        <f t="shared" si="6"/>
        <v>66015168.61</v>
      </c>
    </row>
    <row r="27" ht="15.75" customHeight="1">
      <c r="C27" s="67" t="s">
        <v>293</v>
      </c>
      <c r="D27" s="29"/>
      <c r="E27" s="29"/>
      <c r="F27" s="29"/>
      <c r="G27" s="29"/>
      <c r="H27" s="29"/>
    </row>
    <row r="28" ht="15.75" customHeight="1">
      <c r="C28" s="67"/>
      <c r="D28" s="29"/>
      <c r="E28" s="29"/>
      <c r="F28" s="29"/>
      <c r="G28" s="29"/>
      <c r="H28" s="29"/>
    </row>
    <row r="29" ht="15.75" customHeight="1">
      <c r="C29" s="80" t="s">
        <v>294</v>
      </c>
      <c r="D29" s="81">
        <f t="shared" ref="D29:H29" si="7">D26-D27</f>
        <v>62023476.57</v>
      </c>
      <c r="E29" s="81">
        <f t="shared" si="7"/>
        <v>63992660.44</v>
      </c>
      <c r="F29" s="81">
        <f t="shared" si="7"/>
        <v>64745340.24</v>
      </c>
      <c r="G29" s="81">
        <f t="shared" si="7"/>
        <v>65491875.91</v>
      </c>
      <c r="H29" s="81">
        <f t="shared" si="7"/>
        <v>66015168.61</v>
      </c>
    </row>
    <row r="30" ht="15.75" customHeight="1"/>
    <row r="31" ht="15.75" customHeight="1"/>
    <row r="32" ht="15.75" customHeight="1">
      <c r="C32" s="5" t="s">
        <v>266</v>
      </c>
      <c r="D32" s="28" t="s">
        <v>267</v>
      </c>
    </row>
    <row r="33" ht="15.75" customHeight="1">
      <c r="C33" s="67" t="s">
        <v>293</v>
      </c>
      <c r="D33" s="7"/>
    </row>
    <row r="34" ht="15.75" customHeight="1">
      <c r="C34" s="67" t="s">
        <v>295</v>
      </c>
      <c r="D34" s="71">
        <v>0.19</v>
      </c>
    </row>
    <row r="35" ht="15.75" customHeight="1">
      <c r="D35" s="49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6:H6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2.88"/>
    <col customWidth="1" min="3" max="4" width="10.88"/>
    <col customWidth="1" min="5" max="5" width="14.88"/>
    <col customWidth="1" min="6" max="6" width="12.63"/>
    <col customWidth="1" min="7" max="8" width="11.38"/>
    <col customWidth="1" min="9" max="26" width="9.38"/>
  </cols>
  <sheetData>
    <row r="5">
      <c r="B5" s="28" t="s">
        <v>296</v>
      </c>
      <c r="C5" s="28" t="s">
        <v>297</v>
      </c>
      <c r="D5" s="28" t="s">
        <v>97</v>
      </c>
      <c r="E5" s="28" t="s">
        <v>84</v>
      </c>
      <c r="F5" s="28" t="s">
        <v>85</v>
      </c>
      <c r="G5" s="28" t="s">
        <v>86</v>
      </c>
      <c r="H5" s="28" t="s">
        <v>87</v>
      </c>
    </row>
    <row r="6">
      <c r="B6" s="4" t="s">
        <v>298</v>
      </c>
      <c r="C6" s="2"/>
      <c r="D6" s="2"/>
      <c r="E6" s="2"/>
      <c r="F6" s="2"/>
      <c r="G6" s="2"/>
      <c r="H6" s="3"/>
    </row>
    <row r="7">
      <c r="B7" s="4" t="s">
        <v>299</v>
      </c>
      <c r="C7" s="2"/>
      <c r="D7" s="2"/>
      <c r="E7" s="2"/>
      <c r="F7" s="2"/>
      <c r="G7" s="2"/>
      <c r="H7" s="3"/>
    </row>
    <row r="8">
      <c r="B8" s="36" t="s">
        <v>300</v>
      </c>
      <c r="C8" s="32">
        <f>'Resumen Plan de Inversion'!G13</f>
        <v>4674600</v>
      </c>
      <c r="D8" s="76">
        <f t="shared" ref="D8:H8" si="1">C50</f>
        <v>55791972.19</v>
      </c>
      <c r="E8" s="76">
        <f t="shared" si="1"/>
        <v>58513798.9</v>
      </c>
      <c r="F8" s="76">
        <f t="shared" si="1"/>
        <v>59229473.37</v>
      </c>
      <c r="G8" s="76">
        <f t="shared" si="1"/>
        <v>57241080.46</v>
      </c>
      <c r="H8" s="76">
        <f t="shared" si="1"/>
        <v>57752361.77</v>
      </c>
    </row>
    <row r="9">
      <c r="B9" s="36" t="s">
        <v>301</v>
      </c>
      <c r="C9" s="32">
        <f>'Resumen Plan de Inversion'!G11</f>
        <v>416666.6667</v>
      </c>
      <c r="D9" s="32">
        <f t="shared" ref="D9:D12" si="2">C9</f>
        <v>416666.6667</v>
      </c>
      <c r="E9" s="32">
        <v>0.0</v>
      </c>
      <c r="F9" s="32">
        <f>'Plan de Inversión'!F12</f>
        <v>429166.6667</v>
      </c>
      <c r="G9" s="32">
        <f>'Plan de Inversión'!G12</f>
        <v>442041.6667</v>
      </c>
      <c r="H9" s="32">
        <f>'Plan de Inversión'!H12</f>
        <v>455302.9167</v>
      </c>
    </row>
    <row r="10">
      <c r="B10" s="36" t="s">
        <v>302</v>
      </c>
      <c r="C10" s="32">
        <f>'Resumen Plan de Inversion'!G8</f>
        <v>0</v>
      </c>
      <c r="D10" s="32">
        <f t="shared" si="2"/>
        <v>0</v>
      </c>
      <c r="E10" s="32">
        <f>'Plan de Inversión'!F9</f>
        <v>0</v>
      </c>
      <c r="F10" s="32">
        <f>'Plan de Inversión'!G9</f>
        <v>0</v>
      </c>
      <c r="G10" s="32">
        <f>'Plan de Inversión'!H9</f>
        <v>0</v>
      </c>
      <c r="H10" s="32">
        <f>'Plan de Inversión'!I9</f>
        <v>0</v>
      </c>
    </row>
    <row r="11">
      <c r="B11" s="36" t="s">
        <v>303</v>
      </c>
      <c r="C11" s="32">
        <f>'Resumen Plan de Inversion'!G9</f>
        <v>0</v>
      </c>
      <c r="D11" s="32">
        <f t="shared" si="2"/>
        <v>0</v>
      </c>
      <c r="E11" s="32">
        <f>'Plan de Inversión'!F10</f>
        <v>0</v>
      </c>
      <c r="F11" s="32">
        <f>'Plan de Inversión'!G10</f>
        <v>0</v>
      </c>
      <c r="G11" s="32">
        <f>'Plan de Inversión'!H10</f>
        <v>0</v>
      </c>
      <c r="H11" s="32">
        <f>'Plan de Inversión'!I10</f>
        <v>0</v>
      </c>
    </row>
    <row r="12">
      <c r="B12" s="36" t="s">
        <v>304</v>
      </c>
      <c r="C12" s="32">
        <f>'Resumen Plan de Inversion'!G10</f>
        <v>0</v>
      </c>
      <c r="D12" s="32">
        <f t="shared" si="2"/>
        <v>0</v>
      </c>
      <c r="E12" s="32">
        <f>'Plan de Inversión'!F11</f>
        <v>0</v>
      </c>
      <c r="F12" s="32">
        <f>'Plan de Inversión'!G11</f>
        <v>0</v>
      </c>
      <c r="G12" s="32">
        <f>'Plan de Inversión'!H11</f>
        <v>0</v>
      </c>
      <c r="H12" s="32">
        <f>'Plan de Inversión'!I11</f>
        <v>0</v>
      </c>
    </row>
    <row r="13">
      <c r="B13" s="36" t="s">
        <v>305</v>
      </c>
      <c r="C13" s="32">
        <f>'Resumen Plan de Inversion'!G12</f>
        <v>0</v>
      </c>
      <c r="D13" s="32">
        <f>C13-'Resumen Plan de Inversion'!C41</f>
        <v>0</v>
      </c>
      <c r="E13" s="32">
        <f>D13-'Resumen Plan de Inversion'!D41</f>
        <v>0</v>
      </c>
      <c r="F13" s="32">
        <f>E13-'Resumen Plan de Inversion'!E41</f>
        <v>0</v>
      </c>
      <c r="G13" s="32">
        <f>F13-'Resumen Plan de Inversion'!F41</f>
        <v>0</v>
      </c>
      <c r="H13" s="32">
        <f>G13-'Resumen Plan de Inversion'!G41</f>
        <v>0</v>
      </c>
    </row>
    <row r="14">
      <c r="B14" s="5" t="s">
        <v>306</v>
      </c>
      <c r="C14" s="26">
        <f t="shared" ref="C14:D14" si="3">SUM(C8:C13)</f>
        <v>5091266.667</v>
      </c>
      <c r="D14" s="26">
        <f t="shared" si="3"/>
        <v>56208638.85</v>
      </c>
      <c r="E14" s="26">
        <f t="shared" ref="E14:H14" si="4">E8+E9+E10+E11+E12+E13</f>
        <v>58513798.9</v>
      </c>
      <c r="F14" s="26">
        <f t="shared" si="4"/>
        <v>59658640.04</v>
      </c>
      <c r="G14" s="26">
        <f t="shared" si="4"/>
        <v>57683122.13</v>
      </c>
      <c r="H14" s="26">
        <f t="shared" si="4"/>
        <v>58207664.68</v>
      </c>
    </row>
    <row r="15">
      <c r="B15" s="4" t="s">
        <v>307</v>
      </c>
      <c r="C15" s="2"/>
      <c r="D15" s="2"/>
      <c r="E15" s="2"/>
      <c r="F15" s="2"/>
      <c r="G15" s="2"/>
      <c r="H15" s="3"/>
    </row>
    <row r="16">
      <c r="B16" s="36" t="s">
        <v>227</v>
      </c>
      <c r="C16" s="32">
        <f>'Plan de Inversión'!C46</f>
        <v>0</v>
      </c>
      <c r="D16" s="32">
        <f t="shared" ref="D16:H16" si="5">C16</f>
        <v>0</v>
      </c>
      <c r="E16" s="32">
        <f t="shared" si="5"/>
        <v>0</v>
      </c>
      <c r="F16" s="32">
        <f t="shared" si="5"/>
        <v>0</v>
      </c>
      <c r="G16" s="32">
        <f t="shared" si="5"/>
        <v>0</v>
      </c>
      <c r="H16" s="32">
        <f t="shared" si="5"/>
        <v>0</v>
      </c>
    </row>
    <row r="17">
      <c r="B17" s="36" t="s">
        <v>259</v>
      </c>
      <c r="C17" s="32">
        <f>'Plan de Inversión'!C47</f>
        <v>0</v>
      </c>
      <c r="D17" s="32">
        <f t="shared" ref="D17:H17" si="6">C17</f>
        <v>0</v>
      </c>
      <c r="E17" s="32">
        <f t="shared" si="6"/>
        <v>0</v>
      </c>
      <c r="F17" s="32">
        <f t="shared" si="6"/>
        <v>0</v>
      </c>
      <c r="G17" s="32">
        <f t="shared" si="6"/>
        <v>0</v>
      </c>
      <c r="H17" s="32">
        <f t="shared" si="6"/>
        <v>0</v>
      </c>
    </row>
    <row r="18">
      <c r="B18" s="36" t="s">
        <v>260</v>
      </c>
      <c r="C18" s="32">
        <f>'Plan de Inversión'!C48</f>
        <v>3000000</v>
      </c>
      <c r="D18" s="32">
        <f t="shared" ref="D18:H18" si="7">C18</f>
        <v>3000000</v>
      </c>
      <c r="E18" s="32">
        <f t="shared" si="7"/>
        <v>3000000</v>
      </c>
      <c r="F18" s="32">
        <f t="shared" si="7"/>
        <v>3000000</v>
      </c>
      <c r="G18" s="32">
        <f t="shared" si="7"/>
        <v>3000000</v>
      </c>
      <c r="H18" s="32">
        <f t="shared" si="7"/>
        <v>3000000</v>
      </c>
    </row>
    <row r="19">
      <c r="B19" s="36" t="s">
        <v>308</v>
      </c>
      <c r="C19" s="32">
        <f>'Plan de Inversión'!C54</f>
        <v>700000</v>
      </c>
      <c r="D19" s="32">
        <f t="shared" ref="D19:H19" si="8">C19</f>
        <v>700000</v>
      </c>
      <c r="E19" s="32">
        <f t="shared" si="8"/>
        <v>700000</v>
      </c>
      <c r="F19" s="32">
        <f t="shared" si="8"/>
        <v>700000</v>
      </c>
      <c r="G19" s="32">
        <f t="shared" si="8"/>
        <v>700000</v>
      </c>
      <c r="H19" s="32">
        <f t="shared" si="8"/>
        <v>700000</v>
      </c>
    </row>
    <row r="20">
      <c r="B20" s="36" t="s">
        <v>309</v>
      </c>
      <c r="C20" s="32">
        <f>'Plan de Inversión'!C64</f>
        <v>0</v>
      </c>
      <c r="D20" s="32">
        <f t="shared" ref="D20:H20" si="9">C20</f>
        <v>0</v>
      </c>
      <c r="E20" s="32">
        <f t="shared" si="9"/>
        <v>0</v>
      </c>
      <c r="F20" s="32">
        <f t="shared" si="9"/>
        <v>0</v>
      </c>
      <c r="G20" s="32">
        <f t="shared" si="9"/>
        <v>0</v>
      </c>
      <c r="H20" s="32">
        <f t="shared" si="9"/>
        <v>0</v>
      </c>
    </row>
    <row r="21" ht="15.75" customHeight="1">
      <c r="B21" s="36" t="s">
        <v>310</v>
      </c>
      <c r="C21" s="82">
        <f>SUM(C16:C20)</f>
        <v>3700000</v>
      </c>
      <c r="D21" s="82">
        <f>C21</f>
        <v>3700000</v>
      </c>
      <c r="E21" s="82">
        <f>SUM(E16:E20)</f>
        <v>3700000</v>
      </c>
      <c r="F21" s="82">
        <f t="shared" ref="F21:H21" si="10">E21</f>
        <v>3700000</v>
      </c>
      <c r="G21" s="82">
        <f t="shared" si="10"/>
        <v>3700000</v>
      </c>
      <c r="H21" s="82">
        <f t="shared" si="10"/>
        <v>3700000</v>
      </c>
    </row>
    <row r="22" ht="15.75" customHeight="1">
      <c r="B22" s="36" t="s">
        <v>311</v>
      </c>
      <c r="C22" s="29"/>
      <c r="D22" s="32">
        <f>'Resumen Plan de Inversion'!C36</f>
        <v>440000</v>
      </c>
      <c r="E22" s="32">
        <f>'Resumen Plan de Inversion'!D36</f>
        <v>440000</v>
      </c>
      <c r="F22" s="32">
        <f>'Resumen Plan de Inversion'!E36</f>
        <v>440000</v>
      </c>
      <c r="G22" s="32">
        <f>'Resumen Plan de Inversion'!F36</f>
        <v>440000</v>
      </c>
      <c r="H22" s="32">
        <f>'Resumen Plan de Inversion'!G36</f>
        <v>440000</v>
      </c>
    </row>
    <row r="23" ht="15.75" customHeight="1">
      <c r="B23" s="5" t="s">
        <v>312</v>
      </c>
      <c r="C23" s="26">
        <f>C21-C22</f>
        <v>3700000</v>
      </c>
      <c r="D23" s="26">
        <f t="shared" ref="D23:H23" si="11">SUM(D16:D22)</f>
        <v>7840000</v>
      </c>
      <c r="E23" s="26">
        <f t="shared" si="11"/>
        <v>7840000</v>
      </c>
      <c r="F23" s="26">
        <f t="shared" si="11"/>
        <v>7840000</v>
      </c>
      <c r="G23" s="26">
        <f t="shared" si="11"/>
        <v>7840000</v>
      </c>
      <c r="H23" s="26">
        <f t="shared" si="11"/>
        <v>7840000</v>
      </c>
    </row>
    <row r="24" ht="15.75" customHeight="1">
      <c r="B24" s="5" t="s">
        <v>313</v>
      </c>
      <c r="C24" s="26">
        <f t="shared" ref="C24:H24" si="12">C14+C23</f>
        <v>8791266.667</v>
      </c>
      <c r="D24" s="26">
        <f t="shared" si="12"/>
        <v>64048638.85</v>
      </c>
      <c r="E24" s="26">
        <f t="shared" si="12"/>
        <v>66353798.9</v>
      </c>
      <c r="F24" s="26">
        <f t="shared" si="12"/>
        <v>67498640.04</v>
      </c>
      <c r="G24" s="26">
        <f t="shared" si="12"/>
        <v>65523122.13</v>
      </c>
      <c r="H24" s="26">
        <f t="shared" si="12"/>
        <v>66047664.68</v>
      </c>
    </row>
    <row r="25" ht="15.75" customHeight="1">
      <c r="B25" s="4" t="s">
        <v>27</v>
      </c>
      <c r="C25" s="2"/>
      <c r="D25" s="2"/>
      <c r="E25" s="2"/>
      <c r="F25" s="2"/>
      <c r="G25" s="2"/>
      <c r="H25" s="3"/>
    </row>
    <row r="26" ht="15.75" customHeight="1">
      <c r="B26" s="4" t="s">
        <v>314</v>
      </c>
      <c r="C26" s="2"/>
      <c r="D26" s="2"/>
      <c r="E26" s="2"/>
      <c r="F26" s="2"/>
      <c r="G26" s="2"/>
      <c r="H26" s="3"/>
    </row>
    <row r="27" ht="15.75" customHeight="1">
      <c r="B27" s="36" t="s">
        <v>214</v>
      </c>
      <c r="C27" s="32">
        <f>'Plan de Inversión'!D41</f>
        <v>27777.77778</v>
      </c>
      <c r="D27" s="32">
        <f>+C27</f>
        <v>27777.77778</v>
      </c>
      <c r="E27" s="32">
        <f>'Plan de Inversión'!F29</f>
        <v>28888.88889</v>
      </c>
      <c r="F27" s="32">
        <f>'Plan de Inversión'!G29</f>
        <v>30044.44444</v>
      </c>
      <c r="G27" s="32">
        <f>'Plan de Inversión'!H29</f>
        <v>31246.22222</v>
      </c>
      <c r="H27" s="32">
        <f>'Plan de Inversión'!I29</f>
        <v>32496.07111</v>
      </c>
    </row>
    <row r="28" ht="15.75" customHeight="1">
      <c r="B28" s="36" t="s">
        <v>315</v>
      </c>
      <c r="C28" s="29"/>
      <c r="D28" s="32"/>
      <c r="E28" s="29"/>
      <c r="F28" s="29"/>
      <c r="G28" s="29"/>
      <c r="H28" s="29"/>
    </row>
    <row r="29" ht="15.75" customHeight="1">
      <c r="B29" s="36" t="s">
        <v>316</v>
      </c>
      <c r="C29" s="29"/>
      <c r="D29" s="29">
        <f>('Presupuesto de ventas'!E90+'Presupuesto de ventas'!E91)*'Estados de Resultados'!D34</f>
        <v>4750000</v>
      </c>
      <c r="E29" s="32">
        <f>('Presupuesto de compras y ventas'!H45+'Presupuesto de compras y ventas'!H46)*'Estados de Resultados'!D34</f>
        <v>4892500</v>
      </c>
      <c r="F29" s="32">
        <f>('Presupuesto de compras y ventas'!K45+'Presupuesto de compras y ventas'!K46)*'Estados de Resultados'!D34</f>
        <v>5039275</v>
      </c>
      <c r="G29" s="32">
        <f>('Presupuesto de compras y ventas'!N45+'Presupuesto de compras y ventas'!N46)*'Estados de Resultados'!D34</f>
        <v>5190453.25</v>
      </c>
      <c r="H29" s="32">
        <f>('Presupuesto de compras y ventas'!Q45+'Presupuesto de compras y ventas'!Q46)*'Estados de Resultados'!D34</f>
        <v>5346166.848</v>
      </c>
    </row>
    <row r="30" ht="15.75" customHeight="1">
      <c r="B30" s="36" t="s">
        <v>317</v>
      </c>
      <c r="C30" s="29"/>
      <c r="D30" s="32">
        <f>'Presupuesto de Costos y G año 1'!D9+'Presupuesto de Costos y G año 1'!D10+'Presupuesto de Costos y G año 1'!D20+'Presupuesto de Costos y G año 1'!D21+'Presupuesto de Costos y G año 1'!D31+'Presupuesto de Costos y G año 1'!D32</f>
        <v>12670560</v>
      </c>
      <c r="E30" s="32">
        <f>'Presupuesto de Costos y G año 1'!E9+'Presupuesto de Costos y G año 1'!E10+'Presupuesto de Costos y G año 1'!E20+'Presupuesto de Costos y G año 1'!E21+'Presupuesto de Costos y G año 1'!E31+'Presupuesto de Costos y G año 1'!E32</f>
        <v>13050676.8</v>
      </c>
      <c r="F30" s="32">
        <f>'Presupuesto de Costos y G año 1'!F9+'Presupuesto de Costos y G año 1'!F10+'Presupuesto de Costos y G año 1'!F20+'Presupuesto de Costos y G año 1'!F21+'Presupuesto de Costos y G año 1'!F31+'Presupuesto de Costos y G año 1'!F32</f>
        <v>13703210.64</v>
      </c>
      <c r="G30" s="32">
        <f>'Presupuesto de Costos y G año 1'!G9+'Presupuesto de Costos y G año 1'!G10+'Presupuesto de Costos y G año 1'!G20+'Presupuesto de Costos y G año 1'!G21+'Presupuesto de Costos y G año 1'!G31+'Presupuesto de Costos y G año 1'!G32</f>
        <v>14388371.17</v>
      </c>
      <c r="H30" s="32">
        <f>'Presupuesto de Costos y G año 1'!H9+'Presupuesto de Costos y G año 1'!H10+'Presupuesto de Costos y G año 1'!H20+'Presupuesto de Costos y G año 1'!H21+'Presupuesto de Costos y G año 1'!H31+'Presupuesto de Costos y G año 1'!H32</f>
        <v>15107789.73</v>
      </c>
      <c r="J30" s="9">
        <f>72-61</f>
        <v>11</v>
      </c>
    </row>
    <row r="31" ht="15.75" customHeight="1">
      <c r="B31" s="36" t="s">
        <v>318</v>
      </c>
      <c r="C31" s="29"/>
      <c r="D31" s="32">
        <f>('Presupuesto de Costos y G año 1'!D8+'Presupuesto de Costos y G año 1'!D19+'Presupuesto de Costos y G año 1'!D30)/12</f>
        <v>324000</v>
      </c>
      <c r="E31" s="32">
        <f>('Presupuesto de Costos y G año 1'!E8+'Presupuesto de Costos y G año 1'!E19+'Presupuesto de Costos y G año 1'!E30)/12</f>
        <v>333720</v>
      </c>
      <c r="F31" s="32">
        <f>('Presupuesto de Costos y G año 1'!F8+'Presupuesto de Costos y G año 1'!F19+'Presupuesto de Costos y G año 1'!F30)/12</f>
        <v>350406</v>
      </c>
      <c r="G31" s="32">
        <f>('Presupuesto de Costos y G año 1'!G8+'Presupuesto de Costos y G año 1'!G19+'Presupuesto de Costos y G año 1'!G30)/12</f>
        <v>367926.3</v>
      </c>
      <c r="H31" s="32">
        <f>('Presupuesto de Costos y G año 1'!H8+'Presupuesto de Costos y G año 1'!H19+'Presupuesto de Costos y G año 1'!H30)/12</f>
        <v>386322.615</v>
      </c>
    </row>
    <row r="32" ht="15.75" customHeight="1">
      <c r="B32" s="36" t="s">
        <v>319</v>
      </c>
      <c r="C32" s="29"/>
      <c r="D32" s="83"/>
      <c r="E32" s="29"/>
      <c r="F32" s="29"/>
      <c r="G32" s="29"/>
      <c r="H32" s="29"/>
    </row>
    <row r="33" ht="15.75" customHeight="1">
      <c r="B33" s="36" t="s">
        <v>320</v>
      </c>
      <c r="C33" s="76">
        <f>SUM('Resumen Plan de Inversion'!E61:E72)</f>
        <v>1710599.467</v>
      </c>
      <c r="D33" s="76">
        <f>SUM('Resumen Plan de Inversion'!E73:E84)</f>
        <v>1997384.506</v>
      </c>
      <c r="E33" s="76">
        <f>SUM('Resumen Plan de Inversion'!E85:E96)</f>
        <v>2332249.567</v>
      </c>
      <c r="F33" s="76">
        <f>SUM('Resumen Plan de Inversion'!E97:E108)</f>
        <v>2723255.349</v>
      </c>
      <c r="G33" s="76">
        <f>SUM('Resumen Plan de Inversion'!H73:H84)</f>
        <v>0</v>
      </c>
      <c r="H33" s="76">
        <f>SUM('Resumen Plan de Inversion'!I73:I84)</f>
        <v>0</v>
      </c>
    </row>
    <row r="34" ht="15.75" customHeight="1">
      <c r="B34" s="5" t="s">
        <v>321</v>
      </c>
      <c r="C34" s="26">
        <f>SUM(C27:C33)</f>
        <v>1738377.245</v>
      </c>
      <c r="D34" s="84">
        <f t="shared" ref="D34:H34" si="13">SUM(D27+D33)</f>
        <v>2025162.284</v>
      </c>
      <c r="E34" s="84">
        <f t="shared" si="13"/>
        <v>2361138.455</v>
      </c>
      <c r="F34" s="84">
        <f t="shared" si="13"/>
        <v>2753299.794</v>
      </c>
      <c r="G34" s="84">
        <f t="shared" si="13"/>
        <v>31246.22222</v>
      </c>
      <c r="H34" s="84">
        <f t="shared" si="13"/>
        <v>32496.07111</v>
      </c>
    </row>
    <row r="35" ht="15.75" customHeight="1">
      <c r="B35" s="4" t="s">
        <v>322</v>
      </c>
      <c r="C35" s="2"/>
      <c r="D35" s="2"/>
      <c r="E35" s="2"/>
      <c r="F35" s="2"/>
      <c r="G35" s="2"/>
      <c r="H35" s="3"/>
    </row>
    <row r="36" ht="15.75" customHeight="1">
      <c r="B36" s="36" t="s">
        <v>320</v>
      </c>
      <c r="C36" s="76"/>
      <c r="D36" s="76"/>
      <c r="E36" s="76"/>
      <c r="F36" s="29"/>
      <c r="G36" s="29"/>
      <c r="H36" s="29"/>
    </row>
    <row r="37" ht="15.75" customHeight="1">
      <c r="B37" s="36" t="s">
        <v>319</v>
      </c>
      <c r="C37" s="29"/>
      <c r="D37" s="29"/>
      <c r="E37" s="29"/>
      <c r="F37" s="29"/>
      <c r="G37" s="29"/>
      <c r="H37" s="29"/>
    </row>
    <row r="38" ht="15.75" customHeight="1">
      <c r="B38" s="5" t="s">
        <v>323</v>
      </c>
      <c r="C38" s="85">
        <f t="shared" ref="C38:H38" si="14">SUM(C36:C37)</f>
        <v>0</v>
      </c>
      <c r="D38" s="85">
        <f t="shared" si="14"/>
        <v>0</v>
      </c>
      <c r="E38" s="85">
        <f t="shared" si="14"/>
        <v>0</v>
      </c>
      <c r="F38" s="85">
        <f t="shared" si="14"/>
        <v>0</v>
      </c>
      <c r="G38" s="85">
        <f t="shared" si="14"/>
        <v>0</v>
      </c>
      <c r="H38" s="85">
        <f t="shared" si="14"/>
        <v>0</v>
      </c>
    </row>
    <row r="39" ht="15.75" customHeight="1">
      <c r="B39" s="5" t="s">
        <v>324</v>
      </c>
      <c r="C39" s="84">
        <f>C34+C38</f>
        <v>1738377.245</v>
      </c>
      <c r="D39" s="84">
        <f t="shared" ref="D39:H39" si="15">SUM(D34+D38)</f>
        <v>2025162.284</v>
      </c>
      <c r="E39" s="84">
        <f t="shared" si="15"/>
        <v>2361138.455</v>
      </c>
      <c r="F39" s="84">
        <f t="shared" si="15"/>
        <v>2753299.794</v>
      </c>
      <c r="G39" s="84">
        <f t="shared" si="15"/>
        <v>31246.22222</v>
      </c>
      <c r="H39" s="84">
        <f t="shared" si="15"/>
        <v>32496.07111</v>
      </c>
    </row>
    <row r="40" ht="15.75" customHeight="1">
      <c r="B40" s="4" t="s">
        <v>325</v>
      </c>
      <c r="C40" s="2"/>
      <c r="D40" s="2"/>
      <c r="E40" s="2"/>
      <c r="F40" s="2"/>
      <c r="G40" s="2"/>
      <c r="H40" s="3"/>
    </row>
    <row r="41" ht="15.75" customHeight="1">
      <c r="B41" s="36" t="s">
        <v>278</v>
      </c>
      <c r="C41" s="32">
        <f>'Resumen Plan de Inversion'!F25</f>
        <v>0</v>
      </c>
      <c r="D41" s="32">
        <f t="shared" ref="D41:H41" si="16">C41</f>
        <v>0</v>
      </c>
      <c r="E41" s="32">
        <f t="shared" si="16"/>
        <v>0</v>
      </c>
      <c r="F41" s="32">
        <f t="shared" si="16"/>
        <v>0</v>
      </c>
      <c r="G41" s="32">
        <f t="shared" si="16"/>
        <v>0</v>
      </c>
      <c r="H41" s="32">
        <f t="shared" si="16"/>
        <v>0</v>
      </c>
    </row>
    <row r="42" ht="15.75" customHeight="1">
      <c r="B42" s="36" t="s">
        <v>326</v>
      </c>
      <c r="C42" s="29"/>
      <c r="D42" s="32">
        <f>'Estados de Resultados'!D29</f>
        <v>62023476.57</v>
      </c>
      <c r="E42" s="32">
        <f>'Estados de Resultados'!E29</f>
        <v>63992660.44</v>
      </c>
      <c r="F42" s="32">
        <f>'Estados de Resultados'!F29</f>
        <v>64745340.24</v>
      </c>
      <c r="G42" s="32">
        <f>'Estados de Resultados'!G29</f>
        <v>65491875.91</v>
      </c>
      <c r="H42" s="32">
        <f>'Estados de Resultados'!H29</f>
        <v>66015168.61</v>
      </c>
    </row>
    <row r="43" ht="15.75" customHeight="1">
      <c r="B43" s="36" t="s">
        <v>327</v>
      </c>
      <c r="C43" s="29"/>
      <c r="D43" s="29"/>
      <c r="E43" s="29"/>
      <c r="F43" s="29"/>
      <c r="G43" s="29"/>
      <c r="H43" s="29"/>
    </row>
    <row r="44" ht="15.75" customHeight="1">
      <c r="B44" s="36" t="s">
        <v>328</v>
      </c>
      <c r="C44" s="82">
        <f t="shared" ref="C44:H44" si="17">SUM(C41:C43)</f>
        <v>0</v>
      </c>
      <c r="D44" s="82">
        <f t="shared" si="17"/>
        <v>62023476.57</v>
      </c>
      <c r="E44" s="82">
        <f t="shared" si="17"/>
        <v>63992660.44</v>
      </c>
      <c r="F44" s="82">
        <f t="shared" si="17"/>
        <v>64745340.24</v>
      </c>
      <c r="G44" s="82">
        <f t="shared" si="17"/>
        <v>65491875.91</v>
      </c>
      <c r="H44" s="82">
        <f t="shared" si="17"/>
        <v>66015168.61</v>
      </c>
    </row>
    <row r="45" ht="15.75" customHeight="1">
      <c r="B45" s="36" t="s">
        <v>329</v>
      </c>
      <c r="C45" s="86">
        <f>SUM(C39+C44)</f>
        <v>1738377.245</v>
      </c>
      <c r="D45" s="86">
        <f t="shared" ref="D45:H45" si="18">D39+D44</f>
        <v>64048638.85</v>
      </c>
      <c r="E45" s="86">
        <f t="shared" si="18"/>
        <v>66353798.9</v>
      </c>
      <c r="F45" s="86">
        <f t="shared" si="18"/>
        <v>67498640.04</v>
      </c>
      <c r="G45" s="86">
        <f t="shared" si="18"/>
        <v>65523122.13</v>
      </c>
      <c r="H45" s="86">
        <f t="shared" si="18"/>
        <v>66047664.68</v>
      </c>
    </row>
    <row r="46" ht="15.75" customHeight="1"/>
    <row r="47" ht="15.75" customHeight="1">
      <c r="B47" s="4" t="s">
        <v>330</v>
      </c>
      <c r="C47" s="2"/>
      <c r="D47" s="2"/>
      <c r="E47" s="2"/>
      <c r="F47" s="2"/>
      <c r="G47" s="2"/>
      <c r="H47" s="3"/>
    </row>
    <row r="48" ht="15.75" customHeight="1">
      <c r="B48" s="87"/>
      <c r="C48" s="76">
        <f t="shared" ref="C48:H48" si="19">D45</f>
        <v>64048638.85</v>
      </c>
      <c r="D48" s="76">
        <f t="shared" si="19"/>
        <v>66353798.9</v>
      </c>
      <c r="E48" s="76">
        <f t="shared" si="19"/>
        <v>67498640.04</v>
      </c>
      <c r="F48" s="76">
        <f t="shared" si="19"/>
        <v>65523122.13</v>
      </c>
      <c r="G48" s="76">
        <f t="shared" si="19"/>
        <v>66047664.68</v>
      </c>
      <c r="H48" s="76" t="str">
        <f t="shared" si="19"/>
        <v/>
      </c>
    </row>
    <row r="49" ht="15.75" customHeight="1">
      <c r="B49" s="60"/>
      <c r="C49" s="32">
        <f t="shared" ref="C49:H49" si="20">SUM(D9:D13)+D23</f>
        <v>8256666.667</v>
      </c>
      <c r="D49" s="32">
        <f t="shared" si="20"/>
        <v>7840000</v>
      </c>
      <c r="E49" s="32">
        <f t="shared" si="20"/>
        <v>8269166.667</v>
      </c>
      <c r="F49" s="32">
        <f t="shared" si="20"/>
        <v>8282041.667</v>
      </c>
      <c r="G49" s="32">
        <f t="shared" si="20"/>
        <v>8295302.917</v>
      </c>
      <c r="H49" s="32">
        <f t="shared" si="20"/>
        <v>0</v>
      </c>
    </row>
    <row r="50" ht="15.75" customHeight="1">
      <c r="B50" s="56"/>
      <c r="C50" s="32">
        <f t="shared" ref="C50:H50" si="21">C48-C49</f>
        <v>55791972.19</v>
      </c>
      <c r="D50" s="32">
        <f t="shared" si="21"/>
        <v>58513798.9</v>
      </c>
      <c r="E50" s="32">
        <f t="shared" si="21"/>
        <v>59229473.37</v>
      </c>
      <c r="F50" s="32">
        <f t="shared" si="21"/>
        <v>57241080.46</v>
      </c>
      <c r="G50" s="32">
        <f t="shared" si="21"/>
        <v>57752361.77</v>
      </c>
      <c r="H50" s="32">
        <f t="shared" si="21"/>
        <v>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47:H47"/>
    <mergeCell ref="B48:B50"/>
    <mergeCell ref="B6:H6"/>
    <mergeCell ref="B7:H7"/>
    <mergeCell ref="B15:H15"/>
    <mergeCell ref="B25:H25"/>
    <mergeCell ref="B26:H26"/>
    <mergeCell ref="B35:H35"/>
    <mergeCell ref="B40:H40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8.75"/>
    <col customWidth="1" min="3" max="14" width="12.25"/>
    <col customWidth="1" hidden="1" min="15" max="19" width="13.25"/>
    <col customWidth="1" min="20" max="26" width="9.38"/>
  </cols>
  <sheetData>
    <row r="4">
      <c r="B4" s="5" t="s">
        <v>139</v>
      </c>
      <c r="C4" s="28" t="s">
        <v>331</v>
      </c>
      <c r="D4" s="28" t="s">
        <v>332</v>
      </c>
      <c r="E4" s="28" t="s">
        <v>333</v>
      </c>
      <c r="F4" s="28" t="s">
        <v>334</v>
      </c>
      <c r="G4" s="28" t="s">
        <v>335</v>
      </c>
      <c r="H4" s="28" t="s">
        <v>336</v>
      </c>
      <c r="I4" s="28" t="s">
        <v>337</v>
      </c>
      <c r="J4" s="28" t="s">
        <v>338</v>
      </c>
      <c r="K4" s="28" t="s">
        <v>339</v>
      </c>
      <c r="L4" s="28" t="s">
        <v>340</v>
      </c>
      <c r="M4" s="28" t="s">
        <v>341</v>
      </c>
      <c r="N4" s="28" t="s">
        <v>342</v>
      </c>
      <c r="O4" s="28" t="s">
        <v>177</v>
      </c>
      <c r="P4" s="28" t="s">
        <v>343</v>
      </c>
      <c r="Q4" s="28" t="s">
        <v>344</v>
      </c>
      <c r="R4" s="28" t="s">
        <v>345</v>
      </c>
      <c r="S4" s="28" t="s">
        <v>346</v>
      </c>
    </row>
    <row r="5">
      <c r="B5" s="36" t="s">
        <v>147</v>
      </c>
      <c r="C5" s="32">
        <f>'Presupuesto de compras y ventas'!E35</f>
        <v>12500000</v>
      </c>
      <c r="D5" s="32">
        <f>'Presupuesto de compras y ventas'!E36</f>
        <v>12500000</v>
      </c>
      <c r="E5" s="32">
        <f>'Presupuesto de compras y ventas'!E37</f>
        <v>12500000</v>
      </c>
      <c r="F5" s="32">
        <f>'Presupuesto de compras y ventas'!E38</f>
        <v>12500000</v>
      </c>
      <c r="G5" s="32">
        <f>'Presupuesto de compras y ventas'!E39</f>
        <v>12500000</v>
      </c>
      <c r="H5" s="32">
        <f>'Presupuesto de compras y ventas'!E40</f>
        <v>12500000</v>
      </c>
      <c r="I5" s="32">
        <f>'Presupuesto de compras y ventas'!E41</f>
        <v>12500000</v>
      </c>
      <c r="J5" s="32">
        <f>'Presupuesto de compras y ventas'!E42</f>
        <v>12500000</v>
      </c>
      <c r="K5" s="32">
        <f>'Presupuesto de compras y ventas'!E43</f>
        <v>12500000</v>
      </c>
      <c r="L5" s="32">
        <f>'Presupuesto de compras y ventas'!E44</f>
        <v>12500000</v>
      </c>
      <c r="M5" s="32">
        <f>'Presupuesto de compras y ventas'!E45</f>
        <v>12500000</v>
      </c>
      <c r="N5" s="32">
        <f>'Presupuesto de compras y ventas'!E46</f>
        <v>12500000</v>
      </c>
      <c r="O5" s="32">
        <f t="shared" ref="O5:O6" si="1">SUM(C5:N5)</f>
        <v>150000000</v>
      </c>
      <c r="P5" s="32">
        <f>'Presupuesto de compras y ventas'!H14</f>
        <v>154500000</v>
      </c>
      <c r="Q5" s="32">
        <f>'Presupuesto de compras y ventas'!K14</f>
        <v>159135000</v>
      </c>
      <c r="R5" s="32">
        <f>'Presupuesto de compras y ventas'!N14</f>
        <v>163909050</v>
      </c>
      <c r="S5" s="32">
        <f>'Presupuesto de compras y ventas'!Q14</f>
        <v>168826321.5</v>
      </c>
    </row>
    <row r="6">
      <c r="B6" s="36" t="s">
        <v>347</v>
      </c>
      <c r="C6" s="32">
        <f>'Presupuesto de Compras '!E92</f>
        <v>833333.3333</v>
      </c>
      <c r="D6" s="32">
        <f>'Presupuesto de Compras '!E93</f>
        <v>833333.3333</v>
      </c>
      <c r="E6" s="32">
        <f>'Presupuesto de Compras '!E94</f>
        <v>833333.3333</v>
      </c>
      <c r="F6" s="32">
        <f>'Presupuesto de Compras '!E95</f>
        <v>833333.3333</v>
      </c>
      <c r="G6" s="32">
        <f>'Presupuesto de Compras '!E96</f>
        <v>833333.3333</v>
      </c>
      <c r="H6" s="32">
        <f>'Presupuesto de Compras '!E97</f>
        <v>833333.3333</v>
      </c>
      <c r="I6" s="32">
        <f>'Presupuesto de Compras '!E98</f>
        <v>833333.3333</v>
      </c>
      <c r="J6" s="32">
        <f>'Presupuesto de Compras '!E99</f>
        <v>833333.3333</v>
      </c>
      <c r="K6" s="32">
        <f>'Presupuesto de Compras '!E100</f>
        <v>833333.3333</v>
      </c>
      <c r="L6" s="32">
        <f>'Presupuesto de Compras '!E101</f>
        <v>833333.3333</v>
      </c>
      <c r="M6" s="32">
        <f>'Presupuesto de Compras '!E102</f>
        <v>833333.3333</v>
      </c>
      <c r="N6" s="32">
        <f>'Presupuesto de Compras '!E103</f>
        <v>833333.3333</v>
      </c>
      <c r="O6" s="32">
        <f t="shared" si="1"/>
        <v>10000000</v>
      </c>
      <c r="P6" s="32">
        <f>'Presupuesto de compras y ventas'!G14</f>
        <v>10400000</v>
      </c>
      <c r="Q6" s="32">
        <f>'Presupuesto de compras y ventas'!J14</f>
        <v>10816000</v>
      </c>
      <c r="R6" s="32">
        <f>'Presupuesto de compras y ventas'!M14</f>
        <v>11248640</v>
      </c>
      <c r="S6" s="32">
        <f>'Presupuesto de compras y ventas'!P14</f>
        <v>11698585.6</v>
      </c>
    </row>
    <row r="8">
      <c r="B8" s="5" t="s">
        <v>348</v>
      </c>
      <c r="C8" s="28" t="s">
        <v>331</v>
      </c>
      <c r="D8" s="28" t="s">
        <v>332</v>
      </c>
      <c r="E8" s="28" t="s">
        <v>333</v>
      </c>
      <c r="F8" s="28" t="s">
        <v>334</v>
      </c>
      <c r="G8" s="28" t="s">
        <v>335</v>
      </c>
      <c r="H8" s="28" t="s">
        <v>336</v>
      </c>
      <c r="I8" s="28" t="s">
        <v>337</v>
      </c>
      <c r="J8" s="28" t="s">
        <v>338</v>
      </c>
      <c r="K8" s="28" t="s">
        <v>339</v>
      </c>
      <c r="L8" s="28" t="s">
        <v>340</v>
      </c>
      <c r="M8" s="28" t="s">
        <v>341</v>
      </c>
      <c r="N8" s="28" t="s">
        <v>342</v>
      </c>
      <c r="O8" s="28" t="s">
        <v>349</v>
      </c>
    </row>
    <row r="9">
      <c r="B9" s="1" t="s">
        <v>350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>
      <c r="B10" s="36" t="s">
        <v>351</v>
      </c>
      <c r="C10" s="32">
        <f>IF('Plan de Inversión'!C12&lt;30,(IF(0&lt;='Plan de Inversión'!C12,((1-('Plan de Inversión'!C12/30))*C5),0)),0)</f>
        <v>12083333.33</v>
      </c>
      <c r="D10" s="32">
        <f>IF('Plan de Inversión'!C12&lt;30,(IF(0&lt;='Plan de Inversión'!C12,((1-('Plan de Inversión'!C12/30))*D5),0)),0)</f>
        <v>12083333.33</v>
      </c>
      <c r="E10" s="32">
        <f>IF('Plan de Inversión'!C12&lt;30,(IF(0&lt;='Plan de Inversión'!C12,((1-('Plan de Inversión'!C12/30))*E5),0)),0)</f>
        <v>12083333.33</v>
      </c>
      <c r="F10" s="32">
        <f>IF('Plan de Inversión'!C12&lt;30,(IF(0&lt;='Plan de Inversión'!C12,((1-('Plan de Inversión'!C12/30))*F5),0)),0)</f>
        <v>12083333.33</v>
      </c>
      <c r="G10" s="32">
        <f>IF('Plan de Inversión'!C12&lt;30,(IF(0&lt;='Plan de Inversión'!C12,((1-('Plan de Inversión'!C12/30))*G5),0)),0)</f>
        <v>12083333.33</v>
      </c>
      <c r="H10" s="32">
        <f>IF('Plan de Inversión'!C12&lt;30,(IF(0&lt;='Plan de Inversión'!C12,((1-('Plan de Inversión'!C12/30))*H5),0)),0)</f>
        <v>12083333.33</v>
      </c>
      <c r="I10" s="32">
        <f>IF('Plan de Inversión'!C12&lt;30,(IF(0&lt;='Plan de Inversión'!C12,((1-('Plan de Inversión'!C12/30))*I5),0)),0)</f>
        <v>12083333.33</v>
      </c>
      <c r="J10" s="32">
        <f>IF('Plan de Inversión'!C12&lt;30,(IF(0&lt;='Plan de Inversión'!C12,((1-('Plan de Inversión'!C12/30))*J5),0)),0)</f>
        <v>12083333.33</v>
      </c>
      <c r="K10" s="32">
        <f>IF('Plan de Inversión'!C12&lt;30,(IF(0&lt;='Plan de Inversión'!C12,((1-('Plan de Inversión'!C12/30))*K5),0)),0)</f>
        <v>12083333.33</v>
      </c>
      <c r="L10" s="32">
        <f>IF('Plan de Inversión'!C12&lt;30,(IF(0&lt;='Plan de Inversión'!C12,((1-('Plan de Inversión'!C12/30))*L5),0)),0)</f>
        <v>12083333.33</v>
      </c>
      <c r="M10" s="32">
        <f>IF('Plan de Inversión'!C12&lt;30,(IF(0&lt;='Plan de Inversión'!C12,((1-('Plan de Inversión'!C12/30))*M5),0)),0)</f>
        <v>12083333.33</v>
      </c>
      <c r="N10" s="32">
        <f>IF('Plan de Inversión'!C12&lt;30,(IF(0&lt;='Plan de Inversión'!C12,((1-('Plan de Inversión'!C12/30))*N5),0)),0)</f>
        <v>12083333.33</v>
      </c>
      <c r="O10" s="32">
        <f>SUM(C10:N10)</f>
        <v>145000000</v>
      </c>
      <c r="P10" s="32">
        <f>IF('Plan de Inversión'!C12&lt;30,(IF(0&lt;='Plan de Inversión'!C12,((1-('Plan de Inversión'!C12/30))*P5),0)),0)</f>
        <v>149350000</v>
      </c>
      <c r="Q10" s="32">
        <f>IF('Plan de Inversión'!C12&lt;30,(IF(0&lt;='Plan de Inversión'!C12,((1-('Plan de Inversión'!C12/30))*Q5),0)),0)</f>
        <v>153830500</v>
      </c>
      <c r="R10" s="32">
        <f>IF('Plan de Inversión'!C12&lt;30,(IF(0&lt;='Plan de Inversión'!C12,((1-('Plan de Inversión'!C12/30))*R5),0)),0)</f>
        <v>158445415</v>
      </c>
      <c r="S10" s="32">
        <f>IF('Plan de Inversión'!C12&lt;30,(IF(0&lt;='Plan de Inversión'!C12,((1-('Plan de Inversión'!C12/30))*S5),0)),0)</f>
        <v>163198777.5</v>
      </c>
    </row>
    <row r="11">
      <c r="B11" s="36" t="s">
        <v>352</v>
      </c>
      <c r="C11" s="32">
        <f t="shared" ref="C11:S11" si="2">C5-C10</f>
        <v>416666.6667</v>
      </c>
      <c r="D11" s="32">
        <f t="shared" si="2"/>
        <v>416666.6667</v>
      </c>
      <c r="E11" s="32">
        <f t="shared" si="2"/>
        <v>416666.6667</v>
      </c>
      <c r="F11" s="32">
        <f t="shared" si="2"/>
        <v>416666.6667</v>
      </c>
      <c r="G11" s="32">
        <f t="shared" si="2"/>
        <v>416666.6667</v>
      </c>
      <c r="H11" s="32">
        <f t="shared" si="2"/>
        <v>416666.6667</v>
      </c>
      <c r="I11" s="32">
        <f t="shared" si="2"/>
        <v>416666.6667</v>
      </c>
      <c r="J11" s="32">
        <f t="shared" si="2"/>
        <v>416666.6667</v>
      </c>
      <c r="K11" s="32">
        <f t="shared" si="2"/>
        <v>416666.6667</v>
      </c>
      <c r="L11" s="32">
        <f t="shared" si="2"/>
        <v>416666.6667</v>
      </c>
      <c r="M11" s="32">
        <f t="shared" si="2"/>
        <v>416666.6667</v>
      </c>
      <c r="N11" s="32">
        <f t="shared" si="2"/>
        <v>416666.6667</v>
      </c>
      <c r="O11" s="32">
        <f t="shared" si="2"/>
        <v>5000000</v>
      </c>
      <c r="P11" s="32">
        <f t="shared" si="2"/>
        <v>5150000</v>
      </c>
      <c r="Q11" s="32">
        <f t="shared" si="2"/>
        <v>5304500</v>
      </c>
      <c r="R11" s="32">
        <f t="shared" si="2"/>
        <v>5463635</v>
      </c>
      <c r="S11" s="32">
        <f t="shared" si="2"/>
        <v>5627544.05</v>
      </c>
    </row>
    <row r="12">
      <c r="B12" s="36" t="s">
        <v>353</v>
      </c>
      <c r="C12" s="32"/>
      <c r="D12" s="32">
        <f>E12</f>
        <v>416666.6667</v>
      </c>
      <c r="E12" s="32">
        <f>(IF('Plan de Inversión'!C12&lt;=30,(C11),0))+(IF('Plan de Inversión'!C12&gt;30,((1-(('[1]Plan de Inversion'!C12-30)/30))*E11),0))</f>
        <v>416666.6667</v>
      </c>
      <c r="F12" s="32">
        <f>(IF('Plan de Inversión'!C12&lt;=30,(C11),0))+(IF('Plan de Inversión'!C12&gt;30,((1-(('[1]Plan de Inversion'!C12-30)/30))*F11),0))</f>
        <v>416666.6667</v>
      </c>
      <c r="G12" s="32">
        <f>(IF('Plan de Inversión'!C12&lt;=30,(C11),0))+(IF('Plan de Inversión'!C12&gt;30,((1-(('[1]Plan de Inversion'!C12-30)/30))*G11),0))</f>
        <v>416666.6667</v>
      </c>
      <c r="H12" s="32">
        <f>(IF('Plan de Inversión'!C12&lt;=30,(C11),0))+(IF('Plan de Inversión'!C12&gt;30,((1-(('[1]Plan de Inversion'!C12-30)/30))*H11),0))</f>
        <v>416666.6667</v>
      </c>
      <c r="I12" s="32">
        <f>(IF('Plan de Inversión'!C12&lt;=30,(C11),0))+(IF('Plan de Inversión'!C12&gt;30,((1-(('[1]Plan de Inversion'!C12-30)/30))*I11),0))</f>
        <v>416666.6667</v>
      </c>
      <c r="J12" s="32">
        <f>(IF('Plan de Inversión'!C12&lt;=30,(C11),0))+(IF('Plan de Inversión'!C12&gt;30,((1-(('[1]Plan de Inversion'!C12-30)/30))*J11),0))</f>
        <v>416666.6667</v>
      </c>
      <c r="K12" s="32">
        <f>(IF('Plan de Inversión'!C12&lt;=30,(C11),0))+(IF('Plan de Inversión'!C12&gt;30,((1-(('[1]Plan de Inversion'!C12-30)/30))*K11),0))</f>
        <v>416666.6667</v>
      </c>
      <c r="L12" s="32">
        <f>(IF('Plan de Inversión'!C12&lt;=30,(C11),0))+(IF('Plan de Inversión'!C12&gt;30,((1-(('[1]Plan de Inversion'!C12-30)/30))*L11),0))</f>
        <v>416666.6667</v>
      </c>
      <c r="M12" s="32">
        <f>(IF('Plan de Inversión'!C12&lt;=30,(C11),0))+(IF('Plan de Inversión'!C12&gt;30,((1-(('[1]Plan de Inversion'!C12-30)/30))*M11),0))</f>
        <v>416666.6667</v>
      </c>
      <c r="N12" s="32">
        <f>(IF('Plan de Inversión'!C12&lt;=30,(C11),0))+(IF('Plan de Inversión'!C12&gt;30,((1-(('[1]Plan de Inversion'!C12-30)/30))*N11),0))</f>
        <v>416666.6667</v>
      </c>
      <c r="O12" s="32">
        <f>SUM(C12:N12)</f>
        <v>4583333.333</v>
      </c>
      <c r="P12" s="32">
        <f t="shared" ref="P12:S12" si="3">+P11</f>
        <v>5150000</v>
      </c>
      <c r="Q12" s="32">
        <f t="shared" si="3"/>
        <v>5304500</v>
      </c>
      <c r="R12" s="32">
        <f t="shared" si="3"/>
        <v>5463635</v>
      </c>
      <c r="S12" s="32">
        <f t="shared" si="3"/>
        <v>5627544.05</v>
      </c>
    </row>
    <row r="13">
      <c r="B13" s="5" t="s">
        <v>354</v>
      </c>
      <c r="C13" s="82">
        <f t="shared" ref="C13:S13" si="4">+C10+C12</f>
        <v>12083333.33</v>
      </c>
      <c r="D13" s="82">
        <f t="shared" si="4"/>
        <v>12500000</v>
      </c>
      <c r="E13" s="82">
        <f t="shared" si="4"/>
        <v>12500000</v>
      </c>
      <c r="F13" s="82">
        <f t="shared" si="4"/>
        <v>12500000</v>
      </c>
      <c r="G13" s="82">
        <f t="shared" si="4"/>
        <v>12500000</v>
      </c>
      <c r="H13" s="82">
        <f t="shared" si="4"/>
        <v>12500000</v>
      </c>
      <c r="I13" s="82">
        <f t="shared" si="4"/>
        <v>12500000</v>
      </c>
      <c r="J13" s="82">
        <f t="shared" si="4"/>
        <v>12500000</v>
      </c>
      <c r="K13" s="82">
        <f t="shared" si="4"/>
        <v>12500000</v>
      </c>
      <c r="L13" s="82">
        <f t="shared" si="4"/>
        <v>12500000</v>
      </c>
      <c r="M13" s="82">
        <f t="shared" si="4"/>
        <v>12500000</v>
      </c>
      <c r="N13" s="82">
        <f t="shared" si="4"/>
        <v>12500000</v>
      </c>
      <c r="O13" s="82">
        <f t="shared" si="4"/>
        <v>149583333.3</v>
      </c>
      <c r="P13" s="82">
        <f t="shared" si="4"/>
        <v>154500000</v>
      </c>
      <c r="Q13" s="82">
        <f t="shared" si="4"/>
        <v>159135000</v>
      </c>
      <c r="R13" s="82">
        <f t="shared" si="4"/>
        <v>163909050</v>
      </c>
      <c r="S13" s="82">
        <f t="shared" si="4"/>
        <v>168826321.5</v>
      </c>
    </row>
    <row r="14">
      <c r="B14" s="1" t="s">
        <v>199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</row>
    <row r="15">
      <c r="B15" s="1" t="s">
        <v>307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</row>
    <row r="16">
      <c r="B16" s="36" t="s">
        <v>355</v>
      </c>
      <c r="C16" s="32">
        <f t="shared" ref="C16:C19" si="7">+O16/12</f>
        <v>5547358.8</v>
      </c>
      <c r="D16" s="32">
        <f t="shared" ref="D16:N16" si="5">C16</f>
        <v>5547358.8</v>
      </c>
      <c r="E16" s="32">
        <f t="shared" si="5"/>
        <v>5547358.8</v>
      </c>
      <c r="F16" s="32">
        <f t="shared" si="5"/>
        <v>5547358.8</v>
      </c>
      <c r="G16" s="32">
        <f t="shared" si="5"/>
        <v>5547358.8</v>
      </c>
      <c r="H16" s="32">
        <f t="shared" si="5"/>
        <v>5547358.8</v>
      </c>
      <c r="I16" s="32">
        <f t="shared" si="5"/>
        <v>5547358.8</v>
      </c>
      <c r="J16" s="32">
        <f t="shared" si="5"/>
        <v>5547358.8</v>
      </c>
      <c r="K16" s="32">
        <f t="shared" si="5"/>
        <v>5547358.8</v>
      </c>
      <c r="L16" s="32">
        <f t="shared" si="5"/>
        <v>5547358.8</v>
      </c>
      <c r="M16" s="32">
        <f t="shared" si="5"/>
        <v>5547358.8</v>
      </c>
      <c r="N16" s="32">
        <f t="shared" si="5"/>
        <v>5547358.8</v>
      </c>
      <c r="O16" s="32">
        <f t="shared" ref="O16:S16" si="6">SUM(O17:O19)</f>
        <v>66568305.6</v>
      </c>
      <c r="P16" s="32">
        <f t="shared" si="6"/>
        <v>68565354.77</v>
      </c>
      <c r="Q16" s="32">
        <f t="shared" si="6"/>
        <v>71993622.51</v>
      </c>
      <c r="R16" s="32">
        <f t="shared" si="6"/>
        <v>75593303.63</v>
      </c>
      <c r="S16" s="32">
        <f t="shared" si="6"/>
        <v>79372968.81</v>
      </c>
    </row>
    <row r="17">
      <c r="B17" s="36" t="s">
        <v>356</v>
      </c>
      <c r="C17" s="32">
        <f t="shared" si="7"/>
        <v>5282758.8</v>
      </c>
      <c r="D17" s="32">
        <f t="shared" ref="D17:N17" si="8">C17</f>
        <v>5282758.8</v>
      </c>
      <c r="E17" s="32">
        <f t="shared" si="8"/>
        <v>5282758.8</v>
      </c>
      <c r="F17" s="32">
        <f t="shared" si="8"/>
        <v>5282758.8</v>
      </c>
      <c r="G17" s="32">
        <f t="shared" si="8"/>
        <v>5282758.8</v>
      </c>
      <c r="H17" s="32">
        <f t="shared" si="8"/>
        <v>5282758.8</v>
      </c>
      <c r="I17" s="32">
        <f t="shared" si="8"/>
        <v>5282758.8</v>
      </c>
      <c r="J17" s="32">
        <f t="shared" si="8"/>
        <v>5282758.8</v>
      </c>
      <c r="K17" s="32">
        <f t="shared" si="8"/>
        <v>5282758.8</v>
      </c>
      <c r="L17" s="32">
        <f t="shared" si="8"/>
        <v>5282758.8</v>
      </c>
      <c r="M17" s="32">
        <f t="shared" si="8"/>
        <v>5282758.8</v>
      </c>
      <c r="N17" s="32">
        <f t="shared" si="8"/>
        <v>5282758.8</v>
      </c>
      <c r="O17" s="32">
        <f>'Presupuesto de Costos y G año 1'!D47</f>
        <v>63393105.6</v>
      </c>
      <c r="P17" s="32">
        <f>'Presupuesto de Costos y G año 1'!E47</f>
        <v>65294898.77</v>
      </c>
      <c r="Q17" s="32">
        <f>'Presupuesto de Costos y G año 1'!F47</f>
        <v>68559643.71</v>
      </c>
      <c r="R17" s="32">
        <f>'Presupuesto de Costos y G año 1'!G47</f>
        <v>71987625.89</v>
      </c>
      <c r="S17" s="32">
        <f>'Presupuesto de Costos y G año 1'!H47</f>
        <v>75587007.19</v>
      </c>
    </row>
    <row r="18">
      <c r="B18" s="36" t="s">
        <v>186</v>
      </c>
      <c r="C18" s="32">
        <f t="shared" si="7"/>
        <v>264600</v>
      </c>
      <c r="D18" s="32">
        <f t="shared" ref="D18:N18" si="9">C18</f>
        <v>264600</v>
      </c>
      <c r="E18" s="32">
        <f t="shared" si="9"/>
        <v>264600</v>
      </c>
      <c r="F18" s="32">
        <f t="shared" si="9"/>
        <v>264600</v>
      </c>
      <c r="G18" s="32">
        <f t="shared" si="9"/>
        <v>264600</v>
      </c>
      <c r="H18" s="32">
        <f t="shared" si="9"/>
        <v>264600</v>
      </c>
      <c r="I18" s="32">
        <f t="shared" si="9"/>
        <v>264600</v>
      </c>
      <c r="J18" s="32">
        <f t="shared" si="9"/>
        <v>264600</v>
      </c>
      <c r="K18" s="32">
        <f t="shared" si="9"/>
        <v>264600</v>
      </c>
      <c r="L18" s="32">
        <f t="shared" si="9"/>
        <v>264600</v>
      </c>
      <c r="M18" s="32">
        <f t="shared" si="9"/>
        <v>264600</v>
      </c>
      <c r="N18" s="32">
        <f t="shared" si="9"/>
        <v>264600</v>
      </c>
      <c r="O18" s="32">
        <f>'Presupuesto de Costos y G año 1'!D51</f>
        <v>3175200</v>
      </c>
      <c r="P18" s="32">
        <f>'Presupuesto de Costos y G año 1'!E51</f>
        <v>3270456</v>
      </c>
      <c r="Q18" s="32">
        <f>'Presupuesto de Costos y G año 1'!F51</f>
        <v>3433978.8</v>
      </c>
      <c r="R18" s="32">
        <f>'Presupuesto de Costos y G año 1'!G51</f>
        <v>3605677.74</v>
      </c>
      <c r="S18" s="32">
        <f>'Presupuesto de Costos y G año 1'!H51</f>
        <v>3785961.627</v>
      </c>
    </row>
    <row r="19">
      <c r="B19" s="36" t="s">
        <v>188</v>
      </c>
      <c r="C19" s="32">
        <f t="shared" si="7"/>
        <v>0</v>
      </c>
      <c r="D19" s="32">
        <f t="shared" ref="D19:N19" si="10">C19</f>
        <v>0</v>
      </c>
      <c r="E19" s="32">
        <f t="shared" si="10"/>
        <v>0</v>
      </c>
      <c r="F19" s="32">
        <f t="shared" si="10"/>
        <v>0</v>
      </c>
      <c r="G19" s="32">
        <f t="shared" si="10"/>
        <v>0</v>
      </c>
      <c r="H19" s="32">
        <f t="shared" si="10"/>
        <v>0</v>
      </c>
      <c r="I19" s="32">
        <f t="shared" si="10"/>
        <v>0</v>
      </c>
      <c r="J19" s="32">
        <f t="shared" si="10"/>
        <v>0</v>
      </c>
      <c r="K19" s="32">
        <f t="shared" si="10"/>
        <v>0</v>
      </c>
      <c r="L19" s="32">
        <f t="shared" si="10"/>
        <v>0</v>
      </c>
      <c r="M19" s="32">
        <f t="shared" si="10"/>
        <v>0</v>
      </c>
      <c r="N19" s="32">
        <f t="shared" si="10"/>
        <v>0</v>
      </c>
      <c r="O19" s="32">
        <f>'Presupuesto de Costos y G año 1'!D49</f>
        <v>0</v>
      </c>
      <c r="P19" s="32">
        <f>'Presupuesto de Costos y G año 1'!E49</f>
        <v>0</v>
      </c>
      <c r="Q19" s="32">
        <f>'Presupuesto de Costos y G año 1'!F49</f>
        <v>0</v>
      </c>
      <c r="R19" s="32">
        <f>'Presupuesto de Costos y G año 1'!G49</f>
        <v>0</v>
      </c>
      <c r="S19" s="32">
        <f>'Presupuesto de Costos y G año 1'!H49</f>
        <v>0</v>
      </c>
    </row>
    <row r="20">
      <c r="B20" s="36" t="s">
        <v>357</v>
      </c>
      <c r="C20" s="32">
        <f>'Presupuesto de costos y gastos '!C42+'Presupuesto de costos y gastos '!F42+'Presupuesto de costos y gastos '!I42</f>
        <v>0</v>
      </c>
      <c r="D20" s="32">
        <f t="shared" ref="D20:N20" si="11">C20</f>
        <v>0</v>
      </c>
      <c r="E20" s="32">
        <f t="shared" si="11"/>
        <v>0</v>
      </c>
      <c r="F20" s="32">
        <f t="shared" si="11"/>
        <v>0</v>
      </c>
      <c r="G20" s="32">
        <f t="shared" si="11"/>
        <v>0</v>
      </c>
      <c r="H20" s="32">
        <f t="shared" si="11"/>
        <v>0</v>
      </c>
      <c r="I20" s="32">
        <f t="shared" si="11"/>
        <v>0</v>
      </c>
      <c r="J20" s="32">
        <f t="shared" si="11"/>
        <v>0</v>
      </c>
      <c r="K20" s="32">
        <f t="shared" si="11"/>
        <v>0</v>
      </c>
      <c r="L20" s="32">
        <f t="shared" si="11"/>
        <v>0</v>
      </c>
      <c r="M20" s="32">
        <f t="shared" si="11"/>
        <v>0</v>
      </c>
      <c r="N20" s="32">
        <f t="shared" si="11"/>
        <v>0</v>
      </c>
      <c r="O20" s="32">
        <f t="shared" ref="O20:O26" si="13">SUM(C20:N20)</f>
        <v>0</v>
      </c>
      <c r="P20" s="32">
        <f>O20*(1+'Presupuesto de costos y gastos '!$G$27)</f>
        <v>0</v>
      </c>
      <c r="Q20" s="32">
        <f>P20*(1+'Presupuesto de costos y gastos '!$G$28)</f>
        <v>0</v>
      </c>
      <c r="R20" s="32">
        <f>Q20*(1+'Presupuesto de costos y gastos '!$G$29)</f>
        <v>0</v>
      </c>
      <c r="S20" s="32">
        <f>R20*(1+'Presupuesto de costos y gastos '!$G$30)</f>
        <v>0</v>
      </c>
    </row>
    <row r="21" ht="15.75" customHeight="1">
      <c r="B21" s="36" t="s">
        <v>358</v>
      </c>
      <c r="C21" s="32">
        <f>'Presupuesto de costos y gastos '!C43+'Presupuesto de costos y gastos '!C44+'Presupuesto de costos y gastos '!C45+'Presupuesto de costos y gastos '!F43+'Presupuesto de costos y gastos '!F44+'Presupuesto de costos y gastos '!F45+'Presupuesto de costos y gastos '!I43+'Presupuesto de costos y gastos '!I44+'Presupuesto de costos y gastos '!I45</f>
        <v>720000</v>
      </c>
      <c r="D21" s="32">
        <f t="shared" ref="D21:N21" si="12">C21</f>
        <v>720000</v>
      </c>
      <c r="E21" s="32">
        <f t="shared" si="12"/>
        <v>720000</v>
      </c>
      <c r="F21" s="32">
        <f t="shared" si="12"/>
        <v>720000</v>
      </c>
      <c r="G21" s="32">
        <f t="shared" si="12"/>
        <v>720000</v>
      </c>
      <c r="H21" s="32">
        <f t="shared" si="12"/>
        <v>720000</v>
      </c>
      <c r="I21" s="32">
        <f t="shared" si="12"/>
        <v>720000</v>
      </c>
      <c r="J21" s="32">
        <f t="shared" si="12"/>
        <v>720000</v>
      </c>
      <c r="K21" s="32">
        <f t="shared" si="12"/>
        <v>720000</v>
      </c>
      <c r="L21" s="32">
        <f t="shared" si="12"/>
        <v>720000</v>
      </c>
      <c r="M21" s="32">
        <f t="shared" si="12"/>
        <v>720000</v>
      </c>
      <c r="N21" s="32">
        <f t="shared" si="12"/>
        <v>720000</v>
      </c>
      <c r="O21" s="32">
        <f t="shared" si="13"/>
        <v>8640000</v>
      </c>
      <c r="P21" s="32">
        <f>O21*(1+'Presupuesto de costos y gastos '!$G$27)</f>
        <v>8899200</v>
      </c>
      <c r="Q21" s="32">
        <f>P21*(1+'Presupuesto de costos y gastos '!$G$28)</f>
        <v>9344160</v>
      </c>
      <c r="R21" s="32">
        <f>Q21*(1+'Presupuesto de costos y gastos '!$G$29)</f>
        <v>9811368</v>
      </c>
      <c r="S21" s="32">
        <f>R21*(1+'Presupuesto de costos y gastos '!$G$30)</f>
        <v>10301936.4</v>
      </c>
    </row>
    <row r="22" ht="15.75" customHeight="1">
      <c r="B22" s="36" t="s">
        <v>359</v>
      </c>
      <c r="C22" s="32" t="str">
        <f>'Presupuesto de costos y gastos '!C47</f>
        <v/>
      </c>
      <c r="D22" s="32" t="str">
        <f t="shared" ref="D22:N22" si="14">C22</f>
        <v/>
      </c>
      <c r="E22" s="32" t="str">
        <f t="shared" si="14"/>
        <v/>
      </c>
      <c r="F22" s="32" t="str">
        <f t="shared" si="14"/>
        <v/>
      </c>
      <c r="G22" s="32" t="str">
        <f t="shared" si="14"/>
        <v/>
      </c>
      <c r="H22" s="32" t="str">
        <f t="shared" si="14"/>
        <v/>
      </c>
      <c r="I22" s="32" t="str">
        <f t="shared" si="14"/>
        <v/>
      </c>
      <c r="J22" s="32" t="str">
        <f t="shared" si="14"/>
        <v/>
      </c>
      <c r="K22" s="32" t="str">
        <f t="shared" si="14"/>
        <v/>
      </c>
      <c r="L22" s="32" t="str">
        <f t="shared" si="14"/>
        <v/>
      </c>
      <c r="M22" s="32" t="str">
        <f t="shared" si="14"/>
        <v/>
      </c>
      <c r="N22" s="32" t="str">
        <f t="shared" si="14"/>
        <v/>
      </c>
      <c r="O22" s="32">
        <f t="shared" si="13"/>
        <v>0</v>
      </c>
      <c r="P22" s="32">
        <f>O22*(1+'Presupuesto de costos y gastos '!$G$27)</f>
        <v>0</v>
      </c>
      <c r="Q22" s="32">
        <f>P22*(1+'Presupuesto de costos y gastos '!$G$28)</f>
        <v>0</v>
      </c>
      <c r="R22" s="32">
        <f>Q22*(1+'Presupuesto de costos y gastos '!$G$29)</f>
        <v>0</v>
      </c>
      <c r="S22" s="32">
        <f>R22*(1+'Presupuesto de costos y gastos '!$G$30)</f>
        <v>0</v>
      </c>
    </row>
    <row r="23" ht="15.75" customHeight="1">
      <c r="B23" s="36" t="s">
        <v>360</v>
      </c>
      <c r="C23" s="32">
        <f>'Presupuesto de costos y gastos '!C51+'Presupuesto de costos y gastos '!I47</f>
        <v>50000</v>
      </c>
      <c r="D23" s="32">
        <f t="shared" ref="D23:N23" si="15">C23</f>
        <v>50000</v>
      </c>
      <c r="E23" s="32">
        <f t="shared" si="15"/>
        <v>50000</v>
      </c>
      <c r="F23" s="32">
        <f t="shared" si="15"/>
        <v>50000</v>
      </c>
      <c r="G23" s="32">
        <f t="shared" si="15"/>
        <v>50000</v>
      </c>
      <c r="H23" s="32">
        <f t="shared" si="15"/>
        <v>50000</v>
      </c>
      <c r="I23" s="32">
        <f t="shared" si="15"/>
        <v>50000</v>
      </c>
      <c r="J23" s="32">
        <f t="shared" si="15"/>
        <v>50000</v>
      </c>
      <c r="K23" s="32">
        <f t="shared" si="15"/>
        <v>50000</v>
      </c>
      <c r="L23" s="32">
        <f t="shared" si="15"/>
        <v>50000</v>
      </c>
      <c r="M23" s="32">
        <f t="shared" si="15"/>
        <v>50000</v>
      </c>
      <c r="N23" s="32">
        <f t="shared" si="15"/>
        <v>50000</v>
      </c>
      <c r="O23" s="32">
        <f t="shared" si="13"/>
        <v>600000</v>
      </c>
      <c r="P23" s="32">
        <f>O23*(1+'Presupuesto de costos y gastos '!$G$27)</f>
        <v>618000</v>
      </c>
      <c r="Q23" s="32">
        <f>P23*(1+'Presupuesto de costos y gastos '!$G$28)</f>
        <v>648900</v>
      </c>
      <c r="R23" s="32">
        <f>Q23*(1+'Presupuesto de costos y gastos '!$G$29)</f>
        <v>681345</v>
      </c>
      <c r="S23" s="32">
        <f>R23*(1+'Presupuesto de costos y gastos '!$G$30)</f>
        <v>715412.25</v>
      </c>
    </row>
    <row r="24" ht="15.75" customHeight="1">
      <c r="B24" s="36" t="s">
        <v>361</v>
      </c>
      <c r="C24" s="32">
        <f>'Presupuesto de costos y gastos '!C49+'Presupuesto de costos y gastos '!I49</f>
        <v>0</v>
      </c>
      <c r="D24" s="32">
        <f t="shared" ref="D24:N24" si="16">C24</f>
        <v>0</v>
      </c>
      <c r="E24" s="32">
        <f t="shared" si="16"/>
        <v>0</v>
      </c>
      <c r="F24" s="32">
        <f t="shared" si="16"/>
        <v>0</v>
      </c>
      <c r="G24" s="32">
        <f t="shared" si="16"/>
        <v>0</v>
      </c>
      <c r="H24" s="32">
        <f t="shared" si="16"/>
        <v>0</v>
      </c>
      <c r="I24" s="32">
        <f t="shared" si="16"/>
        <v>0</v>
      </c>
      <c r="J24" s="32">
        <f t="shared" si="16"/>
        <v>0</v>
      </c>
      <c r="K24" s="32">
        <f t="shared" si="16"/>
        <v>0</v>
      </c>
      <c r="L24" s="32">
        <f t="shared" si="16"/>
        <v>0</v>
      </c>
      <c r="M24" s="32">
        <f t="shared" si="16"/>
        <v>0</v>
      </c>
      <c r="N24" s="32">
        <f t="shared" si="16"/>
        <v>0</v>
      </c>
      <c r="O24" s="32">
        <f t="shared" si="13"/>
        <v>0</v>
      </c>
      <c r="P24" s="32">
        <f>O24*(1+'Presupuesto de costos y gastos '!$G$27)</f>
        <v>0</v>
      </c>
      <c r="Q24" s="32">
        <f>P24*(1+'Presupuesto de costos y gastos '!$G$28)</f>
        <v>0</v>
      </c>
      <c r="R24" s="32">
        <f>Q24*(1+'Presupuesto de costos y gastos '!$G$29)</f>
        <v>0</v>
      </c>
      <c r="S24" s="32">
        <f>R24*(1+'Presupuesto de costos y gastos '!$G$30)</f>
        <v>0</v>
      </c>
    </row>
    <row r="25" ht="15.75" customHeight="1">
      <c r="B25" s="36" t="s">
        <v>362</v>
      </c>
      <c r="C25" s="32">
        <f>'Presupuesto de costos y gastos '!C50+'Presupuesto de costos y gastos '!F47</f>
        <v>0</v>
      </c>
      <c r="D25" s="32">
        <f t="shared" ref="D25:N25" si="17">C25</f>
        <v>0</v>
      </c>
      <c r="E25" s="32">
        <f t="shared" si="17"/>
        <v>0</v>
      </c>
      <c r="F25" s="32">
        <f t="shared" si="17"/>
        <v>0</v>
      </c>
      <c r="G25" s="32">
        <f t="shared" si="17"/>
        <v>0</v>
      </c>
      <c r="H25" s="32">
        <f t="shared" si="17"/>
        <v>0</v>
      </c>
      <c r="I25" s="32">
        <f t="shared" si="17"/>
        <v>0</v>
      </c>
      <c r="J25" s="32">
        <f t="shared" si="17"/>
        <v>0</v>
      </c>
      <c r="K25" s="32">
        <f t="shared" si="17"/>
        <v>0</v>
      </c>
      <c r="L25" s="32">
        <f t="shared" si="17"/>
        <v>0</v>
      </c>
      <c r="M25" s="32">
        <f t="shared" si="17"/>
        <v>0</v>
      </c>
      <c r="N25" s="32">
        <f t="shared" si="17"/>
        <v>0</v>
      </c>
      <c r="O25" s="32">
        <f t="shared" si="13"/>
        <v>0</v>
      </c>
      <c r="P25" s="32">
        <f>O25*(1+'Presupuesto de costos y gastos '!$G$27)</f>
        <v>0</v>
      </c>
      <c r="Q25" s="32">
        <f>P25*(1+'Presupuesto de costos y gastos '!$G$28)</f>
        <v>0</v>
      </c>
      <c r="R25" s="32">
        <f>Q25*(1+'Presupuesto de costos y gastos '!$G$29)</f>
        <v>0</v>
      </c>
      <c r="S25" s="32">
        <f>R25*(1+'Presupuesto de costos y gastos '!$G$30)</f>
        <v>0</v>
      </c>
    </row>
    <row r="26" ht="15.75" customHeight="1">
      <c r="B26" s="36" t="s">
        <v>363</v>
      </c>
      <c r="C26" s="32">
        <f>'Resumen Plan de Inversion'!G12</f>
        <v>0</v>
      </c>
      <c r="D26" s="44"/>
      <c r="E26" s="2"/>
      <c r="F26" s="2"/>
      <c r="G26" s="2"/>
      <c r="H26" s="2"/>
      <c r="I26" s="2"/>
      <c r="J26" s="2"/>
      <c r="K26" s="2"/>
      <c r="L26" s="2"/>
      <c r="M26" s="2"/>
      <c r="N26" s="3"/>
      <c r="O26" s="32">
        <f t="shared" si="13"/>
        <v>0</v>
      </c>
      <c r="P26" s="32">
        <f t="shared" ref="P26:S26" si="18">O26</f>
        <v>0</v>
      </c>
      <c r="Q26" s="32">
        <f t="shared" si="18"/>
        <v>0</v>
      </c>
      <c r="R26" s="32">
        <f t="shared" si="18"/>
        <v>0</v>
      </c>
      <c r="S26" s="32">
        <f t="shared" si="18"/>
        <v>0</v>
      </c>
    </row>
    <row r="27" ht="15.75" customHeight="1">
      <c r="B27" s="5" t="s">
        <v>127</v>
      </c>
      <c r="C27" s="82">
        <f t="shared" ref="C27:N27" si="19">SUM(C17:C26)</f>
        <v>6317358.8</v>
      </c>
      <c r="D27" s="82">
        <f t="shared" si="19"/>
        <v>6317358.8</v>
      </c>
      <c r="E27" s="82">
        <f t="shared" si="19"/>
        <v>6317358.8</v>
      </c>
      <c r="F27" s="82">
        <f t="shared" si="19"/>
        <v>6317358.8</v>
      </c>
      <c r="G27" s="82">
        <f t="shared" si="19"/>
        <v>6317358.8</v>
      </c>
      <c r="H27" s="82">
        <f t="shared" si="19"/>
        <v>6317358.8</v>
      </c>
      <c r="I27" s="82">
        <f t="shared" si="19"/>
        <v>6317358.8</v>
      </c>
      <c r="J27" s="82">
        <f t="shared" si="19"/>
        <v>6317358.8</v>
      </c>
      <c r="K27" s="82">
        <f t="shared" si="19"/>
        <v>6317358.8</v>
      </c>
      <c r="L27" s="82">
        <f t="shared" si="19"/>
        <v>6317358.8</v>
      </c>
      <c r="M27" s="82">
        <f t="shared" si="19"/>
        <v>6317358.8</v>
      </c>
      <c r="N27" s="82">
        <f t="shared" si="19"/>
        <v>6317358.8</v>
      </c>
      <c r="O27" s="82">
        <f t="shared" ref="O27:S27" si="20">SUM(O20:O26)+O16</f>
        <v>75808305.6</v>
      </c>
      <c r="P27" s="82">
        <f t="shared" si="20"/>
        <v>78082554.77</v>
      </c>
      <c r="Q27" s="82">
        <f t="shared" si="20"/>
        <v>81986682.51</v>
      </c>
      <c r="R27" s="82">
        <f t="shared" si="20"/>
        <v>86086016.63</v>
      </c>
      <c r="S27" s="82">
        <f t="shared" si="20"/>
        <v>90390317.46</v>
      </c>
    </row>
    <row r="28" ht="15.75" customHeight="1">
      <c r="B28" s="1" t="s">
        <v>364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</row>
    <row r="29" ht="15.0" customHeight="1">
      <c r="B29" s="36" t="s">
        <v>365</v>
      </c>
      <c r="C29" s="88">
        <f>IF('Plan de Inversión'!$C$29&lt;=30,((1-('Plan de Inversión'!$C$29/30))*C6),0)</f>
        <v>805555.5556</v>
      </c>
      <c r="D29" s="88">
        <f>IF('Plan de Inversión'!$C$29&lt;=30,((1-('Plan de Inversión'!$C$29/30))*D6),0)</f>
        <v>805555.5556</v>
      </c>
      <c r="E29" s="88">
        <f>IF('Plan de Inversión'!$C$29&lt;=30,((1-('Plan de Inversión'!$C$29/30))*E6),0)</f>
        <v>805555.5556</v>
      </c>
      <c r="F29" s="88">
        <f>IF('Plan de Inversión'!$C$29&lt;=30,((1-('Plan de Inversión'!$C$29/30))*F6),0)</f>
        <v>805555.5556</v>
      </c>
      <c r="G29" s="88">
        <f>IF('Plan de Inversión'!$C$29&lt;=30,((1-('Plan de Inversión'!$C$29/30))*G6),0)</f>
        <v>805555.5556</v>
      </c>
      <c r="H29" s="88">
        <f>IF('Plan de Inversión'!$C$29&lt;=30,((1-('Plan de Inversión'!$C$29/30))*H6),0)</f>
        <v>805555.5556</v>
      </c>
      <c r="I29" s="88">
        <f>IF('Plan de Inversión'!$C$29&lt;=30,((1-('Plan de Inversión'!$C$29/30))*I6),0)</f>
        <v>805555.5556</v>
      </c>
      <c r="J29" s="88">
        <f>IF('Plan de Inversión'!$C$29&lt;=30,((1-('Plan de Inversión'!$C$29/30))*J6),0)</f>
        <v>805555.5556</v>
      </c>
      <c r="K29" s="88">
        <f>IF('Plan de Inversión'!$C$29&lt;=30,((1-('Plan de Inversión'!$C$29/30))*K6),0)</f>
        <v>805555.5556</v>
      </c>
      <c r="L29" s="88">
        <f>IF('Plan de Inversión'!$C$29&lt;=30,((1-('Plan de Inversión'!$C$29/30))*L6),0)</f>
        <v>805555.5556</v>
      </c>
      <c r="M29" s="88">
        <f>IF('Plan de Inversión'!$C$29&lt;=30,((1-('Plan de Inversión'!$C$29/30))*M6),0)</f>
        <v>805555.5556</v>
      </c>
      <c r="N29" s="88">
        <f>IF('Plan de Inversión'!$C$29&lt;=30,((1-('Plan de Inversión'!$C$29/30))*N6),0)</f>
        <v>805555.5556</v>
      </c>
      <c r="O29" s="29">
        <f>SUM(C29:N29)</f>
        <v>9666666.667</v>
      </c>
      <c r="P29" s="32">
        <f>+O29*(1+'Presupuesto de Compras '!$C$76)</f>
        <v>10053333.33</v>
      </c>
      <c r="Q29" s="32">
        <f>+P29*(1+'Presupuesto de Compras '!$C$77)</f>
        <v>10455466.67</v>
      </c>
      <c r="R29" s="32">
        <f>+Q29*(1+'Presupuesto de Compras '!$C$78)</f>
        <v>10873685.33</v>
      </c>
      <c r="S29" s="32">
        <f>+R29*(1+'Presupuesto de Compras '!$C$79)</f>
        <v>11308632.75</v>
      </c>
    </row>
    <row r="30" ht="15.75" customHeight="1">
      <c r="B30" s="36" t="s">
        <v>366</v>
      </c>
      <c r="C30" s="32">
        <f t="shared" ref="C30:S30" si="21">C6-C29</f>
        <v>27777.77778</v>
      </c>
      <c r="D30" s="32">
        <f t="shared" si="21"/>
        <v>27777.77778</v>
      </c>
      <c r="E30" s="32">
        <f t="shared" si="21"/>
        <v>27777.77778</v>
      </c>
      <c r="F30" s="32">
        <f t="shared" si="21"/>
        <v>27777.77778</v>
      </c>
      <c r="G30" s="32">
        <f t="shared" si="21"/>
        <v>27777.77778</v>
      </c>
      <c r="H30" s="32">
        <f t="shared" si="21"/>
        <v>27777.77778</v>
      </c>
      <c r="I30" s="32">
        <f t="shared" si="21"/>
        <v>27777.77778</v>
      </c>
      <c r="J30" s="32">
        <f t="shared" si="21"/>
        <v>27777.77778</v>
      </c>
      <c r="K30" s="32">
        <f t="shared" si="21"/>
        <v>27777.77778</v>
      </c>
      <c r="L30" s="32">
        <f t="shared" si="21"/>
        <v>27777.77778</v>
      </c>
      <c r="M30" s="32">
        <f t="shared" si="21"/>
        <v>27777.77778</v>
      </c>
      <c r="N30" s="32">
        <f t="shared" si="21"/>
        <v>27777.77778</v>
      </c>
      <c r="O30" s="32">
        <f t="shared" si="21"/>
        <v>333333.3333</v>
      </c>
      <c r="P30" s="32">
        <f t="shared" si="21"/>
        <v>346666.6667</v>
      </c>
      <c r="Q30" s="32">
        <f t="shared" si="21"/>
        <v>360533.3333</v>
      </c>
      <c r="R30" s="32">
        <f t="shared" si="21"/>
        <v>374954.6667</v>
      </c>
      <c r="S30" s="32">
        <f t="shared" si="21"/>
        <v>389952.8533</v>
      </c>
    </row>
    <row r="31" ht="15.75" customHeight="1">
      <c r="B31" s="36" t="s">
        <v>367</v>
      </c>
      <c r="C31" s="32">
        <v>0.0</v>
      </c>
      <c r="D31" s="32">
        <f>(IF('Plan de Inversión'!C29&lt;=30,(C30),0))+(IF('Plan de Inversión'!C29&gt;30,((1-(('Plan de Inversión'!C29-30)/30))*C30),0))</f>
        <v>27777.77778</v>
      </c>
      <c r="E31" s="32">
        <f>(IF('Plan de Inversión'!C29&lt;=30,(D30),0))+(IF('Plan de Inversión'!C29&gt;30,((1-(('Plan de Inversión'!C29-30)/30))*D30),0))+(IF('Plan de Inversión'!C29&gt;30,(((('Plan de Inversión'!C29-30)/30))*C30),0))</f>
        <v>27777.77778</v>
      </c>
      <c r="F31" s="32">
        <f>(IF('Plan de Inversión'!C29&lt;=30,(E30),0))+(IF('Plan de Inversión'!C29&gt;30,((1-(('Plan de Inversión'!C29-30)/30))*E30),0))+(IF('Plan de Inversión'!C29&gt;30,(((('Plan de Inversión'!C29-30)/30))*D30),0))</f>
        <v>27777.77778</v>
      </c>
      <c r="G31" s="32">
        <f>(IF('Plan de Inversión'!C29&lt;=30,(G30),0))+(IF('Plan de Inversión'!C29&gt;30,((1-(('Plan de Inversión'!C29-30)/30))*G30),0))+(IF('Plan de Inversión'!C29&gt;30,(((('Plan de Inversión'!C29-30)/30))*F30),0))</f>
        <v>27777.77778</v>
      </c>
      <c r="H31" s="32">
        <f>(IF('Plan de Inversión'!C29&lt;=30,(H30),0))+(IF('Plan de Inversión'!C29&gt;30,((1-(('Plan de Inversión'!C29-30)/30))*H30),0))+(IF('Plan de Inversión'!C29&gt;30,(((('Plan de Inversión'!C29-30)/30))*G30),0))</f>
        <v>27777.77778</v>
      </c>
      <c r="I31" s="32">
        <f>(IF('Plan de Inversión'!C29&lt;=30,(I30),0))+(IF('Plan de Inversión'!C29&gt;30,((1-(('Plan de Inversión'!C29-30)/30))*I30),0))+(IF('Plan de Inversión'!C29&gt;30,(((('Plan de Inversión'!C29-30)/30))*H30),0))</f>
        <v>27777.77778</v>
      </c>
      <c r="J31" s="32">
        <f>(IF('Plan de Inversión'!C29&lt;=30,(J30),0))+(IF('Plan de Inversión'!C29&gt;30,((1-(('Plan de Inversión'!C29-30)/30))*J30),0))+(IF('Plan de Inversión'!C29&gt;30,(((('Plan de Inversión'!C29-30)/30))*I30),0))</f>
        <v>27777.77778</v>
      </c>
      <c r="K31" s="32">
        <f>(IF('Plan de Inversión'!C29&lt;=30,(K30),0))+(IF('Plan de Inversión'!C29&gt;30,((1-(('Plan de Inversión'!C29-30)/30))*K30),0))+(IF('Plan de Inversión'!C29&gt;30,(((('Plan de Inversión'!C29-30)/30))*J30),0))</f>
        <v>27777.77778</v>
      </c>
      <c r="L31" s="32">
        <f>(IF('Plan de Inversión'!C29&lt;=30,(L30),0))+(IF('Plan de Inversión'!C29&gt;30,((1-(('Plan de Inversión'!C29-30)/30))*L30),0))+(IF('Plan de Inversión'!C29&gt;30,(((('Plan de Inversión'!C29-30)/30))*K30),0))</f>
        <v>27777.77778</v>
      </c>
      <c r="M31" s="32">
        <f>(IF('Plan de Inversión'!C29&lt;=30,(M30),0))+(IF('Plan de Inversión'!C29&gt;30,((1-(('Plan de Inversión'!C29-30)/30))*M30),0))+(IF('Plan de Inversión'!C29&gt;30,(((('Plan de Inversión'!C29-30)/30))*L30),0))</f>
        <v>27777.77778</v>
      </c>
      <c r="N31" s="32">
        <f>(IF('Plan de Inversión'!C29&lt;=30,(N30),0))+(IF('Plan de Inversión'!C29&gt;30,((1-(('Plan de Inversión'!C29-30)/30))*N30),0))+(IF('Plan de Inversión'!C29&gt;30,(((('Plan de Inversión'!C29-30)/30))*M30),0))</f>
        <v>27777.77778</v>
      </c>
      <c r="O31" s="32">
        <f t="shared" ref="O31:O34" si="22">SUM(C31:N31)</f>
        <v>305555.5556</v>
      </c>
      <c r="P31" s="32">
        <f>+O31*(1+'Presupuesto de Compras '!$C$76)</f>
        <v>317777.7778</v>
      </c>
      <c r="Q31" s="32">
        <f>+P31*(1+'Presupuesto de Compras '!$C$77)</f>
        <v>330488.8889</v>
      </c>
      <c r="R31" s="32">
        <f>+Q31*(1+'Presupuesto de Compras '!$C$78)</f>
        <v>343708.4444</v>
      </c>
      <c r="S31" s="32">
        <f>+R31*(1+'Presupuesto de Compras '!$C$79)</f>
        <v>357456.7822</v>
      </c>
    </row>
    <row r="32" ht="15.75" customHeight="1">
      <c r="B32" s="36" t="s">
        <v>368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>
        <f t="shared" si="22"/>
        <v>0</v>
      </c>
      <c r="P32" s="32">
        <f t="shared" ref="P32:S32" si="23">SUM(D32:O32)</f>
        <v>0</v>
      </c>
      <c r="Q32" s="32">
        <f t="shared" si="23"/>
        <v>0</v>
      </c>
      <c r="R32" s="32">
        <f t="shared" si="23"/>
        <v>0</v>
      </c>
      <c r="S32" s="32">
        <f t="shared" si="23"/>
        <v>0</v>
      </c>
    </row>
    <row r="33" ht="15.75" customHeight="1">
      <c r="B33" s="36" t="s">
        <v>369</v>
      </c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>
        <f t="shared" si="22"/>
        <v>0</v>
      </c>
      <c r="P33" s="32">
        <f t="shared" ref="P33:S33" si="24">SUM(D33:O33)</f>
        <v>0</v>
      </c>
      <c r="Q33" s="32">
        <f t="shared" si="24"/>
        <v>0</v>
      </c>
      <c r="R33" s="32">
        <f t="shared" si="24"/>
        <v>0</v>
      </c>
      <c r="S33" s="32">
        <f t="shared" si="24"/>
        <v>0</v>
      </c>
    </row>
    <row r="34" ht="15.75" customHeight="1">
      <c r="B34" s="36" t="s">
        <v>370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>
        <f t="shared" si="22"/>
        <v>0</v>
      </c>
      <c r="P34" s="32">
        <f t="shared" ref="P34:S34" si="25">SUM(D34:O34)</f>
        <v>0</v>
      </c>
      <c r="Q34" s="32">
        <f t="shared" si="25"/>
        <v>0</v>
      </c>
      <c r="R34" s="32">
        <f t="shared" si="25"/>
        <v>0</v>
      </c>
      <c r="S34" s="32">
        <f t="shared" si="25"/>
        <v>0</v>
      </c>
    </row>
    <row r="35" ht="15.75" customHeight="1">
      <c r="B35" s="5" t="s">
        <v>127</v>
      </c>
      <c r="C35" s="82">
        <f t="shared" ref="C35:S35" si="26">SUM(C29:C34)</f>
        <v>833333.3333</v>
      </c>
      <c r="D35" s="82">
        <f t="shared" si="26"/>
        <v>861111.1111</v>
      </c>
      <c r="E35" s="82">
        <f t="shared" si="26"/>
        <v>861111.1111</v>
      </c>
      <c r="F35" s="82">
        <f t="shared" si="26"/>
        <v>861111.1111</v>
      </c>
      <c r="G35" s="82">
        <f t="shared" si="26"/>
        <v>861111.1111</v>
      </c>
      <c r="H35" s="82">
        <f t="shared" si="26"/>
        <v>861111.1111</v>
      </c>
      <c r="I35" s="82">
        <f t="shared" si="26"/>
        <v>861111.1111</v>
      </c>
      <c r="J35" s="82">
        <f t="shared" si="26"/>
        <v>861111.1111</v>
      </c>
      <c r="K35" s="82">
        <f t="shared" si="26"/>
        <v>861111.1111</v>
      </c>
      <c r="L35" s="82">
        <f t="shared" si="26"/>
        <v>861111.1111</v>
      </c>
      <c r="M35" s="82">
        <f t="shared" si="26"/>
        <v>861111.1111</v>
      </c>
      <c r="N35" s="82">
        <f t="shared" si="26"/>
        <v>861111.1111</v>
      </c>
      <c r="O35" s="82">
        <f t="shared" si="26"/>
        <v>10305555.56</v>
      </c>
      <c r="P35" s="82">
        <f t="shared" si="26"/>
        <v>10717777.78</v>
      </c>
      <c r="Q35" s="82">
        <f t="shared" si="26"/>
        <v>11146488.89</v>
      </c>
      <c r="R35" s="82">
        <f t="shared" si="26"/>
        <v>11592348.44</v>
      </c>
      <c r="S35" s="82">
        <f t="shared" si="26"/>
        <v>12056042.38</v>
      </c>
    </row>
    <row r="36" ht="15.75" customHeight="1">
      <c r="B36" s="5" t="s">
        <v>371</v>
      </c>
      <c r="C36" s="82">
        <f t="shared" ref="C36:S36" si="27">C35+C27</f>
        <v>7150692.133</v>
      </c>
      <c r="D36" s="82">
        <f t="shared" si="27"/>
        <v>7178469.911</v>
      </c>
      <c r="E36" s="82">
        <f t="shared" si="27"/>
        <v>7178469.911</v>
      </c>
      <c r="F36" s="82">
        <f t="shared" si="27"/>
        <v>7178469.911</v>
      </c>
      <c r="G36" s="82">
        <f t="shared" si="27"/>
        <v>7178469.911</v>
      </c>
      <c r="H36" s="82">
        <f t="shared" si="27"/>
        <v>7178469.911</v>
      </c>
      <c r="I36" s="82">
        <f t="shared" si="27"/>
        <v>7178469.911</v>
      </c>
      <c r="J36" s="82">
        <f t="shared" si="27"/>
        <v>7178469.911</v>
      </c>
      <c r="K36" s="82">
        <f t="shared" si="27"/>
        <v>7178469.911</v>
      </c>
      <c r="L36" s="82">
        <f t="shared" si="27"/>
        <v>7178469.911</v>
      </c>
      <c r="M36" s="82">
        <f t="shared" si="27"/>
        <v>7178469.911</v>
      </c>
      <c r="N36" s="82">
        <f t="shared" si="27"/>
        <v>7178469.911</v>
      </c>
      <c r="O36" s="82">
        <f t="shared" si="27"/>
        <v>86113861.16</v>
      </c>
      <c r="P36" s="82">
        <f t="shared" si="27"/>
        <v>88800332.55</v>
      </c>
      <c r="Q36" s="82">
        <f t="shared" si="27"/>
        <v>93133171.4</v>
      </c>
      <c r="R36" s="82">
        <f t="shared" si="27"/>
        <v>97678365.08</v>
      </c>
      <c r="S36" s="82">
        <f t="shared" si="27"/>
        <v>102446359.8</v>
      </c>
    </row>
    <row r="37" ht="15.75" customHeight="1">
      <c r="B37" s="5" t="s">
        <v>372</v>
      </c>
      <c r="C37" s="82">
        <f t="shared" ref="C37:S37" si="28">C13-C36</f>
        <v>4932641.2</v>
      </c>
      <c r="D37" s="82">
        <f t="shared" si="28"/>
        <v>5321530.089</v>
      </c>
      <c r="E37" s="82">
        <f t="shared" si="28"/>
        <v>5321530.089</v>
      </c>
      <c r="F37" s="82">
        <f t="shared" si="28"/>
        <v>5321530.089</v>
      </c>
      <c r="G37" s="82">
        <f t="shared" si="28"/>
        <v>5321530.089</v>
      </c>
      <c r="H37" s="82">
        <f t="shared" si="28"/>
        <v>5321530.089</v>
      </c>
      <c r="I37" s="82">
        <f t="shared" si="28"/>
        <v>5321530.089</v>
      </c>
      <c r="J37" s="82">
        <f t="shared" si="28"/>
        <v>5321530.089</v>
      </c>
      <c r="K37" s="82">
        <f t="shared" si="28"/>
        <v>5321530.089</v>
      </c>
      <c r="L37" s="82">
        <f t="shared" si="28"/>
        <v>5321530.089</v>
      </c>
      <c r="M37" s="82">
        <f t="shared" si="28"/>
        <v>5321530.089</v>
      </c>
      <c r="N37" s="82">
        <f t="shared" si="28"/>
        <v>5321530.089</v>
      </c>
      <c r="O37" s="82">
        <f t="shared" si="28"/>
        <v>63469472.18</v>
      </c>
      <c r="P37" s="82">
        <f t="shared" si="28"/>
        <v>65699667.45</v>
      </c>
      <c r="Q37" s="82">
        <f t="shared" si="28"/>
        <v>66001828.6</v>
      </c>
      <c r="R37" s="82">
        <f t="shared" si="28"/>
        <v>66230684.92</v>
      </c>
      <c r="S37" s="82">
        <f t="shared" si="28"/>
        <v>66379961.65</v>
      </c>
    </row>
    <row r="38" ht="15.75" customHeight="1">
      <c r="B38" s="1" t="s">
        <v>373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89"/>
    </row>
    <row r="39" ht="15.75" customHeight="1">
      <c r="B39" s="36" t="s">
        <v>374</v>
      </c>
      <c r="C39" s="32">
        <f>'Resumen Plan de Inversion'!G19</f>
        <v>0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32">
        <f t="shared" ref="O39:O43" si="29">SUM(C39:N39)</f>
        <v>0</v>
      </c>
      <c r="P39" s="29"/>
      <c r="Q39" s="29"/>
      <c r="R39" s="29"/>
      <c r="S39" s="29"/>
    </row>
    <row r="40" ht="15.75" customHeight="1">
      <c r="B40" s="36" t="s">
        <v>375</v>
      </c>
      <c r="C40" s="32">
        <f>'Resumen Plan de Inversion'!G20</f>
        <v>0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32">
        <f t="shared" si="29"/>
        <v>0</v>
      </c>
      <c r="P40" s="29"/>
      <c r="Q40" s="29"/>
      <c r="R40" s="29"/>
      <c r="S40" s="29"/>
    </row>
    <row r="41" ht="15.75" customHeight="1">
      <c r="B41" s="36" t="s">
        <v>376</v>
      </c>
      <c r="C41" s="32">
        <f>'Resumen Plan de Inversion'!G21</f>
        <v>3000000</v>
      </c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32">
        <f t="shared" si="29"/>
        <v>3000000</v>
      </c>
      <c r="P41" s="29"/>
      <c r="Q41" s="29"/>
      <c r="R41" s="29"/>
      <c r="S41" s="29"/>
    </row>
    <row r="42" ht="15.75" customHeight="1">
      <c r="B42" s="36" t="s">
        <v>377</v>
      </c>
      <c r="C42" s="32">
        <f>'Resumen Plan de Inversion'!G22</f>
        <v>700000</v>
      </c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32">
        <f t="shared" si="29"/>
        <v>700000</v>
      </c>
      <c r="P42" s="29"/>
      <c r="Q42" s="29"/>
      <c r="R42" s="29"/>
      <c r="S42" s="29"/>
    </row>
    <row r="43" ht="15.75" customHeight="1">
      <c r="B43" s="36" t="s">
        <v>378</v>
      </c>
      <c r="C43" s="32">
        <f>'Resumen Plan de Inversion'!G23</f>
        <v>0</v>
      </c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32">
        <f t="shared" si="29"/>
        <v>0</v>
      </c>
      <c r="P43" s="29"/>
      <c r="Q43" s="29"/>
      <c r="R43" s="29"/>
      <c r="S43" s="29"/>
    </row>
    <row r="44" ht="15.75" customHeight="1">
      <c r="B44" s="5" t="s">
        <v>127</v>
      </c>
      <c r="C44" s="82">
        <f>SUM(C39:C43)</f>
        <v>3700000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82">
        <f>SUM(O39:O43)</f>
        <v>3700000</v>
      </c>
      <c r="P44" s="36"/>
      <c r="Q44" s="36"/>
      <c r="R44" s="36"/>
      <c r="S44" s="36"/>
    </row>
    <row r="45" ht="15.75" customHeight="1">
      <c r="B45" s="1" t="s">
        <v>379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</row>
    <row r="46" ht="15.75" customHeight="1">
      <c r="B46" s="36" t="s">
        <v>380</v>
      </c>
      <c r="C46" s="32">
        <f>'Resumen Plan de Inversion'!C25</f>
        <v>8763488.889</v>
      </c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32">
        <f t="shared" ref="O46:O47" si="30">SUM(C46:N46)</f>
        <v>8763488.889</v>
      </c>
      <c r="P46" s="29"/>
      <c r="Q46" s="29"/>
      <c r="R46" s="29"/>
      <c r="S46" s="29"/>
    </row>
    <row r="47" ht="15.75" customHeight="1">
      <c r="B47" s="36" t="s">
        <v>381</v>
      </c>
      <c r="C47" s="32">
        <f>'Resumen Plan de Inversion'!F25</f>
        <v>0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32">
        <f t="shared" si="30"/>
        <v>0</v>
      </c>
      <c r="P47" s="82">
        <f>P44-P45-P46</f>
        <v>0</v>
      </c>
      <c r="Q47" s="29"/>
      <c r="R47" s="29"/>
      <c r="S47" s="29"/>
    </row>
    <row r="48" ht="15.75" customHeight="1">
      <c r="B48" s="5" t="s">
        <v>127</v>
      </c>
      <c r="C48" s="82">
        <f>SUM(C46:C47)</f>
        <v>8763488.889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82">
        <f>SUM(O46:O47)</f>
        <v>8763488.889</v>
      </c>
      <c r="P48" s="36"/>
      <c r="Q48" s="36"/>
      <c r="R48" s="36"/>
      <c r="S48" s="36"/>
    </row>
    <row r="49" ht="15.75" customHeight="1">
      <c r="B49" s="1" t="s">
        <v>382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</row>
    <row r="50" ht="15.75" customHeight="1">
      <c r="B50" s="7" t="s">
        <v>383</v>
      </c>
      <c r="C50" s="32">
        <f>'Resumen Plan de Inversion'!E61</f>
        <v>132642.7525</v>
      </c>
      <c r="D50" s="32">
        <f>'Resumen Plan de Inversion'!E62</f>
        <v>134367.1083</v>
      </c>
      <c r="E50" s="32">
        <f>'Resumen Plan de Inversion'!E63</f>
        <v>136113.8807</v>
      </c>
      <c r="F50" s="32">
        <f>'Resumen Plan de Inversion'!E64</f>
        <v>137883.3612</v>
      </c>
      <c r="G50" s="32">
        <f>'Resumen Plan de Inversion'!E65</f>
        <v>139675.8449</v>
      </c>
      <c r="H50" s="32">
        <f>'Resumen Plan de Inversion'!E66</f>
        <v>141491.6309</v>
      </c>
      <c r="I50" s="32">
        <f>'Resumen Plan de Inversion'!E67</f>
        <v>143331.0221</v>
      </c>
      <c r="J50" s="32">
        <f>'Resumen Plan de Inversion'!E68</f>
        <v>145194.3253</v>
      </c>
      <c r="K50" s="32">
        <f>'Resumen Plan de Inversion'!E69</f>
        <v>147081.8516</v>
      </c>
      <c r="L50" s="32">
        <f>'Resumen Plan de Inversion'!E70</f>
        <v>148993.9156</v>
      </c>
      <c r="M50" s="32">
        <f>'Resumen Plan de Inversion'!E71</f>
        <v>150930.8365</v>
      </c>
      <c r="N50" s="32">
        <f>'Resumen Plan de Inversion'!E72</f>
        <v>152892.9374</v>
      </c>
      <c r="O50" s="32">
        <f t="shared" ref="O50:O53" si="31">SUM(C50:N50)</f>
        <v>1710599.467</v>
      </c>
      <c r="P50" s="32">
        <f>+SUM('Resumen Plan de Inversion'!E73:E84)</f>
        <v>1997384.506</v>
      </c>
      <c r="Q50" s="32">
        <f>+SUM('Resumen Plan de Inversion'!E85:E96)</f>
        <v>2332249.567</v>
      </c>
      <c r="R50" s="32">
        <f>+SUM('Resumen Plan de Inversion'!E97:E108)</f>
        <v>2723255.349</v>
      </c>
      <c r="S50" s="32">
        <v>0.0</v>
      </c>
    </row>
    <row r="51" ht="15.75" customHeight="1">
      <c r="B51" s="7" t="s">
        <v>384</v>
      </c>
      <c r="C51" s="32">
        <f>'Resumen Plan de Inversion'!D61</f>
        <v>113925.3556</v>
      </c>
      <c r="D51" s="32">
        <f>'Resumen Plan de Inversion'!D62</f>
        <v>112200.9998</v>
      </c>
      <c r="E51" s="32">
        <f>'Resumen Plan de Inversion'!D63</f>
        <v>110454.2274</v>
      </c>
      <c r="F51" s="32">
        <f>'Resumen Plan de Inversion'!D64</f>
        <v>108684.7469</v>
      </c>
      <c r="G51" s="32">
        <f>'Resumen Plan de Inversion'!D65</f>
        <v>106892.2632</v>
      </c>
      <c r="H51" s="32">
        <f>'Resumen Plan de Inversion'!D66</f>
        <v>105076.4772</v>
      </c>
      <c r="I51" s="32">
        <f>'Resumen Plan de Inversion'!D67</f>
        <v>103237.086</v>
      </c>
      <c r="J51" s="32">
        <f>'Resumen Plan de Inversion'!D68</f>
        <v>101373.7827</v>
      </c>
      <c r="K51" s="32">
        <f>'Resumen Plan de Inversion'!D69</f>
        <v>99486.25652</v>
      </c>
      <c r="L51" s="32">
        <f>'Resumen Plan de Inversion'!D70</f>
        <v>97574.19245</v>
      </c>
      <c r="M51" s="32">
        <f>'Resumen Plan de Inversion'!D71</f>
        <v>95637.27155</v>
      </c>
      <c r="N51" s="32">
        <f>'Resumen Plan de Inversion'!D72</f>
        <v>93675.17067</v>
      </c>
      <c r="O51" s="32">
        <f t="shared" si="31"/>
        <v>1248217.83</v>
      </c>
      <c r="P51" s="32">
        <f>+SUM('Resumen Plan de Inversion'!D73:D84)</f>
        <v>961432.7909</v>
      </c>
      <c r="Q51" s="32">
        <f>+SUM('Resumen Plan de Inversion'!D85:D96)</f>
        <v>626567.7305</v>
      </c>
      <c r="R51" s="32">
        <f>+SUM('Resumen Plan de Inversion'!D97:D108)</f>
        <v>235561.948</v>
      </c>
      <c r="S51" s="32">
        <v>0.0</v>
      </c>
    </row>
    <row r="52" ht="15.75" customHeight="1">
      <c r="B52" s="7" t="s">
        <v>385</v>
      </c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>
        <f t="shared" si="31"/>
        <v>0</v>
      </c>
      <c r="P52" s="32">
        <f t="shared" ref="P52:S52" si="32">SUM(D52:O52)</f>
        <v>0</v>
      </c>
      <c r="Q52" s="32">
        <f t="shared" si="32"/>
        <v>0</v>
      </c>
      <c r="R52" s="32">
        <f t="shared" si="32"/>
        <v>0</v>
      </c>
      <c r="S52" s="32">
        <f t="shared" si="32"/>
        <v>0</v>
      </c>
    </row>
    <row r="53" ht="15.75" customHeight="1">
      <c r="B53" s="7" t="s">
        <v>386</v>
      </c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>
        <f t="shared" si="31"/>
        <v>0</v>
      </c>
      <c r="P53" s="32">
        <f t="shared" ref="P53:S53" si="33">SUM(D53:O53)</f>
        <v>0</v>
      </c>
      <c r="Q53" s="32">
        <f t="shared" si="33"/>
        <v>0</v>
      </c>
      <c r="R53" s="32">
        <f t="shared" si="33"/>
        <v>0</v>
      </c>
      <c r="S53" s="32">
        <f t="shared" si="33"/>
        <v>0</v>
      </c>
    </row>
    <row r="54" ht="15.75" customHeight="1">
      <c r="B54" s="5" t="s">
        <v>127</v>
      </c>
      <c r="C54" s="82">
        <f t="shared" ref="C54:S54" si="34">SUM(C50:C53)</f>
        <v>246568.1081</v>
      </c>
      <c r="D54" s="82">
        <f t="shared" si="34"/>
        <v>246568.1081</v>
      </c>
      <c r="E54" s="82">
        <f t="shared" si="34"/>
        <v>246568.1081</v>
      </c>
      <c r="F54" s="82">
        <f t="shared" si="34"/>
        <v>246568.1081</v>
      </c>
      <c r="G54" s="82">
        <f t="shared" si="34"/>
        <v>246568.1081</v>
      </c>
      <c r="H54" s="82">
        <f t="shared" si="34"/>
        <v>246568.1081</v>
      </c>
      <c r="I54" s="82">
        <f t="shared" si="34"/>
        <v>246568.1081</v>
      </c>
      <c r="J54" s="82">
        <f t="shared" si="34"/>
        <v>246568.1081</v>
      </c>
      <c r="K54" s="82">
        <f t="shared" si="34"/>
        <v>246568.1081</v>
      </c>
      <c r="L54" s="82">
        <f t="shared" si="34"/>
        <v>246568.1081</v>
      </c>
      <c r="M54" s="82">
        <f t="shared" si="34"/>
        <v>246568.1081</v>
      </c>
      <c r="N54" s="82">
        <f t="shared" si="34"/>
        <v>246568.1081</v>
      </c>
      <c r="O54" s="82">
        <f t="shared" si="34"/>
        <v>2958817.297</v>
      </c>
      <c r="P54" s="82">
        <f t="shared" si="34"/>
        <v>2958817.297</v>
      </c>
      <c r="Q54" s="82">
        <f t="shared" si="34"/>
        <v>2958817.297</v>
      </c>
      <c r="R54" s="82">
        <f t="shared" si="34"/>
        <v>2958817.297</v>
      </c>
      <c r="S54" s="82">
        <f t="shared" si="34"/>
        <v>0</v>
      </c>
    </row>
    <row r="55" ht="15.75" customHeight="1">
      <c r="B55" s="5" t="s">
        <v>387</v>
      </c>
      <c r="C55" s="82">
        <f t="shared" ref="C55:S55" si="35">C37-C44+C48-C54</f>
        <v>9749561.981</v>
      </c>
      <c r="D55" s="82">
        <f t="shared" si="35"/>
        <v>5074961.981</v>
      </c>
      <c r="E55" s="82">
        <f t="shared" si="35"/>
        <v>5074961.981</v>
      </c>
      <c r="F55" s="82">
        <f t="shared" si="35"/>
        <v>5074961.981</v>
      </c>
      <c r="G55" s="82">
        <f t="shared" si="35"/>
        <v>5074961.981</v>
      </c>
      <c r="H55" s="82">
        <f t="shared" si="35"/>
        <v>5074961.981</v>
      </c>
      <c r="I55" s="82">
        <f t="shared" si="35"/>
        <v>5074961.981</v>
      </c>
      <c r="J55" s="82">
        <f t="shared" si="35"/>
        <v>5074961.981</v>
      </c>
      <c r="K55" s="82">
        <f t="shared" si="35"/>
        <v>5074961.981</v>
      </c>
      <c r="L55" s="82">
        <f t="shared" si="35"/>
        <v>5074961.981</v>
      </c>
      <c r="M55" s="82">
        <f t="shared" si="35"/>
        <v>5074961.981</v>
      </c>
      <c r="N55" s="82">
        <f t="shared" si="35"/>
        <v>5074961.981</v>
      </c>
      <c r="O55" s="82">
        <f t="shared" si="35"/>
        <v>65574143.77</v>
      </c>
      <c r="P55" s="82">
        <f t="shared" si="35"/>
        <v>62740850.16</v>
      </c>
      <c r="Q55" s="82">
        <f t="shared" si="35"/>
        <v>63043011.31</v>
      </c>
      <c r="R55" s="82">
        <f t="shared" si="35"/>
        <v>63271867.63</v>
      </c>
      <c r="S55" s="82">
        <f t="shared" si="35"/>
        <v>66379961.65</v>
      </c>
    </row>
    <row r="56" ht="15.75" customHeight="1">
      <c r="B56" s="1" t="s">
        <v>388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</row>
    <row r="57" ht="15.75" customHeight="1">
      <c r="B57" s="7" t="s">
        <v>389</v>
      </c>
      <c r="C57" s="32">
        <f>C5*'Estados de Resultados'!D34</f>
        <v>2375000</v>
      </c>
      <c r="D57" s="32">
        <f>D5*'Estados de Resultados'!D34</f>
        <v>2375000</v>
      </c>
      <c r="E57" s="32">
        <f>E5*'Estados de Resultados'!D34</f>
        <v>2375000</v>
      </c>
      <c r="F57" s="32">
        <f>F5*'Estados de Resultados'!D34</f>
        <v>2375000</v>
      </c>
      <c r="G57" s="32">
        <f>G5*'Estados de Resultados'!D34</f>
        <v>2375000</v>
      </c>
      <c r="H57" s="32">
        <f>H5*'Estados de Resultados'!D34</f>
        <v>2375000</v>
      </c>
      <c r="I57" s="32">
        <f>I5*'Estados de Resultados'!D34</f>
        <v>2375000</v>
      </c>
      <c r="J57" s="32">
        <f>J5*'Estados de Resultados'!D34</f>
        <v>2375000</v>
      </c>
      <c r="K57" s="32">
        <f>K5*'Estados de Resultados'!D34</f>
        <v>2375000</v>
      </c>
      <c r="L57" s="32">
        <f>L5*'Estados de Resultados'!D34</f>
        <v>2375000</v>
      </c>
      <c r="M57" s="32">
        <f>M5*'Estados de Resultados'!D34</f>
        <v>2375000</v>
      </c>
      <c r="N57" s="32">
        <f>N5*'Estados de Resultados'!D34</f>
        <v>2375000</v>
      </c>
      <c r="O57" s="32">
        <f>+O5*'Estados de Resultados'!$D$34</f>
        <v>28500000</v>
      </c>
      <c r="P57" s="32">
        <f>+P5*'Estados de Resultados'!$D$34</f>
        <v>29355000</v>
      </c>
      <c r="Q57" s="32">
        <f>+Q5*'Estados de Resultados'!$D$34</f>
        <v>30235650</v>
      </c>
      <c r="R57" s="32">
        <f>+R5*'Estados de Resultados'!$D$34</f>
        <v>31142719.5</v>
      </c>
      <c r="S57" s="32">
        <f>+S5*'Estados de Resultados'!$D$34</f>
        <v>32077001.09</v>
      </c>
    </row>
    <row r="58" ht="15.75" customHeight="1">
      <c r="B58" s="7" t="s">
        <v>390</v>
      </c>
      <c r="C58" s="29"/>
      <c r="D58" s="32"/>
      <c r="E58" s="32">
        <f>SUM(C57:D57)</f>
        <v>4750000</v>
      </c>
      <c r="F58" s="32"/>
      <c r="G58" s="32">
        <f>SUM(E57:F57)</f>
        <v>4750000</v>
      </c>
      <c r="H58" s="32"/>
      <c r="I58" s="32">
        <f>SUM(G57:H57)</f>
        <v>4750000</v>
      </c>
      <c r="J58" s="32"/>
      <c r="K58" s="32">
        <f>SUM(I57:J57)</f>
        <v>4750000</v>
      </c>
      <c r="L58" s="32"/>
      <c r="M58" s="32">
        <f>SUM(K57:L57)</f>
        <v>4750000</v>
      </c>
      <c r="N58" s="32"/>
      <c r="O58" s="32">
        <f>SUM(C58:N58)</f>
        <v>23750000</v>
      </c>
      <c r="P58" s="32">
        <f t="shared" ref="P58:S58" si="36">+O58</f>
        <v>23750000</v>
      </c>
      <c r="Q58" s="32">
        <f t="shared" si="36"/>
        <v>23750000</v>
      </c>
      <c r="R58" s="32">
        <f t="shared" si="36"/>
        <v>23750000</v>
      </c>
      <c r="S58" s="32">
        <f t="shared" si="36"/>
        <v>23750000</v>
      </c>
    </row>
    <row r="59" ht="15.75" customHeight="1">
      <c r="B59" s="7" t="s">
        <v>391</v>
      </c>
      <c r="C59" s="29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</row>
    <row r="60" ht="15.75" customHeight="1">
      <c r="B60" s="5" t="s">
        <v>127</v>
      </c>
      <c r="C60" s="82">
        <f t="shared" ref="C60:S60" si="37">C57-C58-C59</f>
        <v>2375000</v>
      </c>
      <c r="D60" s="82">
        <f t="shared" si="37"/>
        <v>2375000</v>
      </c>
      <c r="E60" s="82">
        <f t="shared" si="37"/>
        <v>-2375000</v>
      </c>
      <c r="F60" s="82">
        <f t="shared" si="37"/>
        <v>2375000</v>
      </c>
      <c r="G60" s="82">
        <f t="shared" si="37"/>
        <v>-2375000</v>
      </c>
      <c r="H60" s="82">
        <f t="shared" si="37"/>
        <v>2375000</v>
      </c>
      <c r="I60" s="82">
        <f t="shared" si="37"/>
        <v>-2375000</v>
      </c>
      <c r="J60" s="82">
        <f t="shared" si="37"/>
        <v>2375000</v>
      </c>
      <c r="K60" s="82">
        <f t="shared" si="37"/>
        <v>-2375000</v>
      </c>
      <c r="L60" s="82">
        <f t="shared" si="37"/>
        <v>2375000</v>
      </c>
      <c r="M60" s="82">
        <f t="shared" si="37"/>
        <v>-2375000</v>
      </c>
      <c r="N60" s="82">
        <f t="shared" si="37"/>
        <v>2375000</v>
      </c>
      <c r="O60" s="82">
        <f t="shared" si="37"/>
        <v>4750000</v>
      </c>
      <c r="P60" s="82">
        <f t="shared" si="37"/>
        <v>5605000</v>
      </c>
      <c r="Q60" s="82">
        <f t="shared" si="37"/>
        <v>6485650</v>
      </c>
      <c r="R60" s="82">
        <f t="shared" si="37"/>
        <v>7392719.5</v>
      </c>
      <c r="S60" s="82">
        <f t="shared" si="37"/>
        <v>8327001.085</v>
      </c>
    </row>
    <row r="61" ht="15.75" customHeight="1">
      <c r="B61" s="5" t="s">
        <v>392</v>
      </c>
      <c r="C61" s="82">
        <f t="shared" ref="C61:S61" si="38">+C55+C60</f>
        <v>12124561.98</v>
      </c>
      <c r="D61" s="82">
        <f t="shared" si="38"/>
        <v>7449961.981</v>
      </c>
      <c r="E61" s="82">
        <f t="shared" si="38"/>
        <v>2699961.981</v>
      </c>
      <c r="F61" s="82">
        <f t="shared" si="38"/>
        <v>7449961.981</v>
      </c>
      <c r="G61" s="82">
        <f t="shared" si="38"/>
        <v>2699961.981</v>
      </c>
      <c r="H61" s="82">
        <f t="shared" si="38"/>
        <v>7449961.981</v>
      </c>
      <c r="I61" s="82">
        <f t="shared" si="38"/>
        <v>2699961.981</v>
      </c>
      <c r="J61" s="82">
        <f t="shared" si="38"/>
        <v>7449961.981</v>
      </c>
      <c r="K61" s="82">
        <f t="shared" si="38"/>
        <v>2699961.981</v>
      </c>
      <c r="L61" s="82">
        <f t="shared" si="38"/>
        <v>7449961.981</v>
      </c>
      <c r="M61" s="82">
        <f t="shared" si="38"/>
        <v>2699961.981</v>
      </c>
      <c r="N61" s="82">
        <f t="shared" si="38"/>
        <v>7449961.981</v>
      </c>
      <c r="O61" s="82">
        <f t="shared" si="38"/>
        <v>70324143.77</v>
      </c>
      <c r="P61" s="82">
        <f t="shared" si="38"/>
        <v>68345850.16</v>
      </c>
      <c r="Q61" s="82">
        <f t="shared" si="38"/>
        <v>69528661.31</v>
      </c>
      <c r="R61" s="82">
        <f t="shared" si="38"/>
        <v>70664587.13</v>
      </c>
      <c r="S61" s="82">
        <f t="shared" si="38"/>
        <v>74706962.74</v>
      </c>
    </row>
    <row r="62" ht="15.75" customHeight="1">
      <c r="B62" s="36"/>
      <c r="C62" s="36"/>
      <c r="D62" s="82">
        <f t="shared" ref="D62:N62" si="39">C63</f>
        <v>12124561.98</v>
      </c>
      <c r="E62" s="82">
        <f t="shared" si="39"/>
        <v>19574523.96</v>
      </c>
      <c r="F62" s="82">
        <f t="shared" si="39"/>
        <v>22274485.94</v>
      </c>
      <c r="G62" s="82">
        <f t="shared" si="39"/>
        <v>29724447.92</v>
      </c>
      <c r="H62" s="82">
        <f t="shared" si="39"/>
        <v>32424409.9</v>
      </c>
      <c r="I62" s="82">
        <f t="shared" si="39"/>
        <v>39874371.88</v>
      </c>
      <c r="J62" s="82">
        <f t="shared" si="39"/>
        <v>42574333.87</v>
      </c>
      <c r="K62" s="82">
        <f t="shared" si="39"/>
        <v>50024295.85</v>
      </c>
      <c r="L62" s="82">
        <f t="shared" si="39"/>
        <v>52724257.83</v>
      </c>
      <c r="M62" s="82">
        <f t="shared" si="39"/>
        <v>60174219.81</v>
      </c>
      <c r="N62" s="82">
        <f t="shared" si="39"/>
        <v>62874181.79</v>
      </c>
      <c r="O62" s="82">
        <f>+SUM(D62:N62)</f>
        <v>424368090.7</v>
      </c>
      <c r="P62" s="82">
        <f t="shared" ref="P62:S62" si="40">+O63</f>
        <v>494692234.5</v>
      </c>
      <c r="Q62" s="82">
        <f t="shared" si="40"/>
        <v>563038084.7</v>
      </c>
      <c r="R62" s="82">
        <f t="shared" si="40"/>
        <v>632566746</v>
      </c>
      <c r="S62" s="82">
        <f t="shared" si="40"/>
        <v>703231333.1</v>
      </c>
    </row>
    <row r="63" ht="15.75" customHeight="1">
      <c r="B63" s="5" t="s">
        <v>393</v>
      </c>
      <c r="C63" s="82">
        <f t="shared" ref="C63:O63" si="41">+C61+C62</f>
        <v>12124561.98</v>
      </c>
      <c r="D63" s="82">
        <f t="shared" si="41"/>
        <v>19574523.96</v>
      </c>
      <c r="E63" s="82">
        <f t="shared" si="41"/>
        <v>22274485.94</v>
      </c>
      <c r="F63" s="82">
        <f t="shared" si="41"/>
        <v>29724447.92</v>
      </c>
      <c r="G63" s="82">
        <f t="shared" si="41"/>
        <v>32424409.9</v>
      </c>
      <c r="H63" s="82">
        <f t="shared" si="41"/>
        <v>39874371.88</v>
      </c>
      <c r="I63" s="82">
        <f t="shared" si="41"/>
        <v>42574333.87</v>
      </c>
      <c r="J63" s="82">
        <f t="shared" si="41"/>
        <v>50024295.85</v>
      </c>
      <c r="K63" s="82">
        <f t="shared" si="41"/>
        <v>52724257.83</v>
      </c>
      <c r="L63" s="82">
        <f t="shared" si="41"/>
        <v>60174219.81</v>
      </c>
      <c r="M63" s="82">
        <f t="shared" si="41"/>
        <v>62874181.79</v>
      </c>
      <c r="N63" s="82">
        <f t="shared" si="41"/>
        <v>70324143.77</v>
      </c>
      <c r="O63" s="82">
        <f t="shared" si="41"/>
        <v>494692234.5</v>
      </c>
      <c r="P63" s="82">
        <f t="shared" ref="P63:S63" si="42">+SUM(P61:P62)</f>
        <v>563038084.7</v>
      </c>
      <c r="Q63" s="82">
        <f t="shared" si="42"/>
        <v>632566746</v>
      </c>
      <c r="R63" s="82">
        <f t="shared" si="42"/>
        <v>703231333.1</v>
      </c>
      <c r="S63" s="82">
        <f t="shared" si="42"/>
        <v>777938295.8</v>
      </c>
    </row>
    <row r="64" ht="15.75" customHeight="1">
      <c r="O64" s="9" t="s">
        <v>394</v>
      </c>
      <c r="P64" s="9" t="s">
        <v>395</v>
      </c>
      <c r="Q64" s="9" t="s">
        <v>396</v>
      </c>
      <c r="R64" s="9" t="s">
        <v>397</v>
      </c>
      <c r="S64" s="9" t="s">
        <v>398</v>
      </c>
    </row>
    <row r="65" ht="15.75" customHeight="1">
      <c r="B65" s="5" t="s">
        <v>399</v>
      </c>
      <c r="C65" s="32">
        <f t="shared" ref="C65:S65" si="43">C63</f>
        <v>12124561.98</v>
      </c>
      <c r="D65" s="32">
        <f t="shared" si="43"/>
        <v>19574523.96</v>
      </c>
      <c r="E65" s="32">
        <f t="shared" si="43"/>
        <v>22274485.94</v>
      </c>
      <c r="F65" s="32">
        <f t="shared" si="43"/>
        <v>29724447.92</v>
      </c>
      <c r="G65" s="32">
        <f t="shared" si="43"/>
        <v>32424409.9</v>
      </c>
      <c r="H65" s="32">
        <f t="shared" si="43"/>
        <v>39874371.88</v>
      </c>
      <c r="I65" s="32">
        <f t="shared" si="43"/>
        <v>42574333.87</v>
      </c>
      <c r="J65" s="32">
        <f t="shared" si="43"/>
        <v>50024295.85</v>
      </c>
      <c r="K65" s="32">
        <f t="shared" si="43"/>
        <v>52724257.83</v>
      </c>
      <c r="L65" s="32">
        <f t="shared" si="43"/>
        <v>60174219.81</v>
      </c>
      <c r="M65" s="32">
        <f t="shared" si="43"/>
        <v>62874181.79</v>
      </c>
      <c r="N65" s="32">
        <f t="shared" si="43"/>
        <v>70324143.77</v>
      </c>
      <c r="O65" s="32">
        <f t="shared" si="43"/>
        <v>494692234.5</v>
      </c>
      <c r="P65" s="32">
        <f t="shared" si="43"/>
        <v>563038084.7</v>
      </c>
      <c r="Q65" s="32">
        <f t="shared" si="43"/>
        <v>632566746</v>
      </c>
      <c r="R65" s="32">
        <f t="shared" si="43"/>
        <v>703231333.1</v>
      </c>
      <c r="S65" s="32">
        <f t="shared" si="43"/>
        <v>777938295.8</v>
      </c>
    </row>
    <row r="66" ht="15.75" customHeight="1"/>
    <row r="67" ht="15.75" customHeight="1"/>
    <row r="68" ht="15.75" customHeight="1">
      <c r="B68" s="5" t="s">
        <v>400</v>
      </c>
      <c r="C68" s="32">
        <f>-'Plan de Inversión'!G74</f>
        <v>-8791266.667</v>
      </c>
      <c r="D68" s="32">
        <f t="shared" ref="D68:N68" si="44">+C65</f>
        <v>12124561.98</v>
      </c>
      <c r="E68" s="32">
        <f t="shared" si="44"/>
        <v>19574523.96</v>
      </c>
      <c r="F68" s="32">
        <f t="shared" si="44"/>
        <v>22274485.94</v>
      </c>
      <c r="G68" s="32">
        <f t="shared" si="44"/>
        <v>29724447.92</v>
      </c>
      <c r="H68" s="32">
        <f t="shared" si="44"/>
        <v>32424409.9</v>
      </c>
      <c r="I68" s="32">
        <f t="shared" si="44"/>
        <v>39874371.88</v>
      </c>
      <c r="J68" s="32">
        <f t="shared" si="44"/>
        <v>42574333.87</v>
      </c>
      <c r="K68" s="32">
        <f t="shared" si="44"/>
        <v>50024295.85</v>
      </c>
      <c r="L68" s="32">
        <f t="shared" si="44"/>
        <v>52724257.83</v>
      </c>
      <c r="M68" s="32">
        <f t="shared" si="44"/>
        <v>60174219.81</v>
      </c>
      <c r="N68" s="32">
        <f t="shared" si="44"/>
        <v>62874181.79</v>
      </c>
    </row>
    <row r="69" ht="15.75" customHeight="1">
      <c r="B69" s="5" t="s">
        <v>401</v>
      </c>
      <c r="C69" s="32"/>
      <c r="D69" s="32">
        <f t="shared" ref="D69:N69" si="45">+D68</f>
        <v>12124561.98</v>
      </c>
      <c r="E69" s="32">
        <f t="shared" si="45"/>
        <v>19574523.96</v>
      </c>
      <c r="F69" s="32">
        <f t="shared" si="45"/>
        <v>22274485.94</v>
      </c>
      <c r="G69" s="32">
        <f t="shared" si="45"/>
        <v>29724447.92</v>
      </c>
      <c r="H69" s="32">
        <f t="shared" si="45"/>
        <v>32424409.9</v>
      </c>
      <c r="I69" s="32">
        <f t="shared" si="45"/>
        <v>39874371.88</v>
      </c>
      <c r="J69" s="32">
        <f t="shared" si="45"/>
        <v>42574333.87</v>
      </c>
      <c r="K69" s="32">
        <f t="shared" si="45"/>
        <v>50024295.85</v>
      </c>
      <c r="L69" s="32">
        <f t="shared" si="45"/>
        <v>52724257.83</v>
      </c>
      <c r="M69" s="32">
        <f t="shared" si="45"/>
        <v>60174219.81</v>
      </c>
      <c r="N69" s="32">
        <f t="shared" si="45"/>
        <v>62874181.79</v>
      </c>
    </row>
    <row r="70" ht="15.75" customHeight="1">
      <c r="C70" s="68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49:O49"/>
    <mergeCell ref="B56:O56"/>
    <mergeCell ref="B9:O9"/>
    <mergeCell ref="B14:O14"/>
    <mergeCell ref="B15:O15"/>
    <mergeCell ref="D26:N26"/>
    <mergeCell ref="B28:O28"/>
    <mergeCell ref="B38:O38"/>
    <mergeCell ref="B45:O45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8.13"/>
    <col customWidth="1" min="3" max="3" width="12.88"/>
    <col customWidth="1" min="4" max="4" width="14.88"/>
    <col customWidth="1" min="5" max="5" width="11.0"/>
    <col customWidth="1" min="6" max="6" width="12.13"/>
    <col customWidth="1" min="7" max="7" width="16.5"/>
    <col customWidth="1" min="8" max="8" width="12.0"/>
    <col customWidth="1" min="9" max="9" width="11.0"/>
    <col customWidth="1" min="10" max="10" width="18.25"/>
    <col customWidth="1" min="11" max="11" width="12.75"/>
    <col customWidth="1" min="12" max="26" width="9.38"/>
  </cols>
  <sheetData>
    <row r="6">
      <c r="B6" s="28" t="s">
        <v>402</v>
      </c>
      <c r="C6" s="28" t="s">
        <v>97</v>
      </c>
      <c r="D6" s="28" t="s">
        <v>84</v>
      </c>
      <c r="E6" s="28" t="s">
        <v>403</v>
      </c>
      <c r="F6" s="28" t="s">
        <v>86</v>
      </c>
      <c r="G6" s="28" t="s">
        <v>87</v>
      </c>
    </row>
    <row r="7">
      <c r="B7" s="7" t="s">
        <v>404</v>
      </c>
      <c r="C7" s="24">
        <f>'Balance General'!D14/'Balance General'!D34</f>
        <v>27.75512822</v>
      </c>
      <c r="D7" s="24">
        <f>'Balance General'!E14/'Balance General'!E34</f>
        <v>24.78202782</v>
      </c>
      <c r="E7" s="24">
        <f>'Balance General'!F14/'Balance General'!F34</f>
        <v>21.66805089</v>
      </c>
      <c r="F7" s="24">
        <f>'Balance General'!G14/'Balance General'!G34</f>
        <v>1846.083079</v>
      </c>
      <c r="G7" s="24">
        <f>'Balance General'!H14/'Balance General'!H34</f>
        <v>1791.221606</v>
      </c>
    </row>
    <row r="8">
      <c r="B8" s="7" t="s">
        <v>405</v>
      </c>
      <c r="C8" s="7">
        <f>'Plan de Inversión'!C12</f>
        <v>1</v>
      </c>
      <c r="D8" s="7">
        <f t="shared" ref="D8:G8" si="1">C8</f>
        <v>1</v>
      </c>
      <c r="E8" s="7">
        <f t="shared" si="1"/>
        <v>1</v>
      </c>
      <c r="F8" s="7">
        <f t="shared" si="1"/>
        <v>1</v>
      </c>
      <c r="G8" s="7">
        <f t="shared" si="1"/>
        <v>1</v>
      </c>
    </row>
    <row r="9">
      <c r="B9" s="7" t="s">
        <v>406</v>
      </c>
      <c r="C9" s="7">
        <f>'Plan de Inversión'!C9</f>
        <v>0</v>
      </c>
      <c r="D9" s="7">
        <f t="shared" ref="D9:G9" si="2">C9</f>
        <v>0</v>
      </c>
      <c r="E9" s="7">
        <f t="shared" si="2"/>
        <v>0</v>
      </c>
      <c r="F9" s="7">
        <f t="shared" si="2"/>
        <v>0</v>
      </c>
      <c r="G9" s="7">
        <f t="shared" si="2"/>
        <v>0</v>
      </c>
    </row>
    <row r="10">
      <c r="B10" s="7" t="s">
        <v>407</v>
      </c>
      <c r="C10" s="7">
        <f>'Plan de Inversión'!C10</f>
        <v>0</v>
      </c>
      <c r="D10" s="7">
        <f t="shared" ref="D10:G10" si="3">C10</f>
        <v>0</v>
      </c>
      <c r="E10" s="7">
        <f t="shared" si="3"/>
        <v>0</v>
      </c>
      <c r="F10" s="7">
        <f t="shared" si="3"/>
        <v>0</v>
      </c>
      <c r="G10" s="7">
        <f t="shared" si="3"/>
        <v>0</v>
      </c>
    </row>
    <row r="11">
      <c r="B11" s="7" t="s">
        <v>408</v>
      </c>
      <c r="C11" s="7">
        <f>'Plan de Inversión'!C11</f>
        <v>0</v>
      </c>
      <c r="D11" s="7">
        <f t="shared" ref="D11:G11" si="4">C11</f>
        <v>0</v>
      </c>
      <c r="E11" s="7">
        <f t="shared" si="4"/>
        <v>0</v>
      </c>
      <c r="F11" s="7">
        <f t="shared" si="4"/>
        <v>0</v>
      </c>
      <c r="G11" s="7">
        <f t="shared" si="4"/>
        <v>0</v>
      </c>
    </row>
    <row r="12">
      <c r="B12" s="7" t="s">
        <v>409</v>
      </c>
      <c r="C12" s="7">
        <f>'Plan de Inversión'!C29</f>
        <v>1</v>
      </c>
      <c r="D12" s="7">
        <f t="shared" ref="D12:G12" si="5">C12</f>
        <v>1</v>
      </c>
      <c r="E12" s="7">
        <f t="shared" si="5"/>
        <v>1</v>
      </c>
      <c r="F12" s="7">
        <f t="shared" si="5"/>
        <v>1</v>
      </c>
      <c r="G12" s="7">
        <f t="shared" si="5"/>
        <v>1</v>
      </c>
    </row>
    <row r="13">
      <c r="B13" s="7" t="s">
        <v>410</v>
      </c>
      <c r="C13" s="90">
        <f>IF('Estados de Resultados'!D22&lt;&gt;0,('Estados de Resultados'!D26)/'Estados de Resultados'!D22,0)</f>
        <v>0.9802720973</v>
      </c>
      <c r="D13" s="90">
        <f>IF('Estados de Resultados'!E22&lt;&gt;0,('Estados de Resultados'!E26)/'Estados de Resultados'!E22,0)</f>
        <v>0.9851982725</v>
      </c>
      <c r="E13" s="90">
        <f>IF('Estados de Resultados'!F22&lt;&gt;0,('Estados de Resultados'!F26)/'Estados de Resultados'!F22,0)</f>
        <v>0.9904153366</v>
      </c>
      <c r="F13" s="90">
        <f>IF('Estados de Resultados'!G22&lt;&gt;0,('Estados de Resultados'!G26)/'Estados de Resultados'!G22,0)</f>
        <v>0.996416079</v>
      </c>
      <c r="G13" s="90">
        <f>IF('Estados de Resultados'!H22&lt;&gt;0,('Estados de Resultados'!H26)/'Estados de Resultados'!H22,0)</f>
        <v>1</v>
      </c>
    </row>
    <row r="14">
      <c r="B14" s="7" t="s">
        <v>411</v>
      </c>
      <c r="C14" s="19">
        <f>'Balance General'!D39/'Balance General'!D24</f>
        <v>0.03161913071</v>
      </c>
      <c r="D14" s="19">
        <f>'Balance General'!E39/'Balance General'!E24</f>
        <v>0.03558407348</v>
      </c>
      <c r="E14" s="19">
        <f>'Balance General'!F39/'Balance General'!F24</f>
        <v>0.0407904484</v>
      </c>
      <c r="F14" s="19">
        <f>'Balance General'!G39/'Balance General'!G24</f>
        <v>0.0004768732198</v>
      </c>
      <c r="G14" s="19">
        <f>'Balance General'!H39/'Balance General'!H24</f>
        <v>0.0004920093885</v>
      </c>
    </row>
    <row r="15">
      <c r="B15" s="7" t="s">
        <v>412</v>
      </c>
      <c r="C15" s="90">
        <f>'Estados de Resultados'!D15/'Estados de Resultados'!D9</f>
        <v>0.762470432</v>
      </c>
      <c r="D15" s="90">
        <f>'Estados de Resultados'!E15/'Estados de Resultados'!E9</f>
        <v>0.7616459401</v>
      </c>
      <c r="E15" s="90">
        <f>'Estados de Resultados'!F15/'Estados de Resultados'!F9</f>
        <v>0.7580747164</v>
      </c>
      <c r="F15" s="90">
        <f>'Estados de Resultados'!G15/'Estados de Resultados'!G9</f>
        <v>0.7544390419</v>
      </c>
      <c r="G15" s="90">
        <f>'Estados de Resultados'!H15/'Estados de Resultados'!H9</f>
        <v>0.7507378691</v>
      </c>
    </row>
    <row r="16">
      <c r="B16" s="7" t="s">
        <v>413</v>
      </c>
      <c r="C16" s="90">
        <f>'Estados de Resultados'!D22/'Estados de Resultados'!D10</f>
        <v>6.32716944</v>
      </c>
      <c r="D16" s="90">
        <f>'Estados de Resultados'!E22/'Estados de Resultados'!E10</f>
        <v>6.245585888</v>
      </c>
      <c r="E16" s="90">
        <f>'Estados de Resultados'!F22/'Estados de Resultados'!F10</f>
        <v>6.044000367</v>
      </c>
      <c r="F16" s="90">
        <f>'Estados de Resultados'!G22/'Estados de Resultados'!G10</f>
        <v>5.843145292</v>
      </c>
      <c r="G16" s="90">
        <f>'Estados de Resultados'!H22/'Estados de Resultados'!H10</f>
        <v>5.64300428</v>
      </c>
    </row>
    <row r="17">
      <c r="B17" s="7" t="s">
        <v>414</v>
      </c>
      <c r="C17" s="7">
        <f>'Estados de Resultados'!D297/'Estados de Resultados'!D10</f>
        <v>0</v>
      </c>
      <c r="D17" s="7">
        <f>'Estados de Resultados'!E297/'Estados de Resultados'!E10</f>
        <v>0</v>
      </c>
      <c r="E17" s="7">
        <f>'Estados de Resultados'!F297/'Estados de Resultados'!F10</f>
        <v>0</v>
      </c>
      <c r="F17" s="7">
        <f>'Estados de Resultados'!G297/'Estados de Resultados'!G10</f>
        <v>0</v>
      </c>
      <c r="G17" s="7">
        <f>'Estados de Resultados'!H297/'Estados de Resultados'!H10</f>
        <v>0</v>
      </c>
    </row>
    <row r="18">
      <c r="B18" s="7" t="s">
        <v>415</v>
      </c>
      <c r="C18" s="90">
        <f>('Estados de Resultados'!D9-'Estados de Resultados'!D10)/'Estados de Resultados'!D9</f>
        <v>0.9333333333</v>
      </c>
      <c r="D18" s="90">
        <f>('Estados de Resultados'!E9-'Estados de Resultados'!E10)/'Estados de Resultados'!E9</f>
        <v>0.9326860841</v>
      </c>
      <c r="E18" s="90">
        <f>('Estados de Resultados'!F9-'Estados de Resultados'!F10)/'Estados de Resultados'!F9</f>
        <v>0.932032551</v>
      </c>
      <c r="F18" s="90">
        <f>('Estados de Resultados'!G9-'Estados de Resultados'!G10)/'Estados de Resultados'!G9</f>
        <v>0.9313726728</v>
      </c>
      <c r="G18" s="90">
        <f>('Estados de Resultados'!H9-'Estados de Resultados'!H10)/'Estados de Resultados'!H9</f>
        <v>0.9307063881</v>
      </c>
    </row>
    <row r="19">
      <c r="B19" s="1" t="s">
        <v>416</v>
      </c>
      <c r="C19" s="2"/>
      <c r="D19" s="2"/>
      <c r="E19" s="2"/>
      <c r="F19" s="2"/>
      <c r="G19" s="3"/>
    </row>
    <row r="20">
      <c r="B20" s="7" t="s">
        <v>60</v>
      </c>
      <c r="C20" s="91">
        <f t="array" ref="C20">NPV(8%,'Flujo de Caja Mensual'!D69:N69)</f>
        <v>247815640.4</v>
      </c>
      <c r="D20" s="7"/>
      <c r="E20" s="7"/>
      <c r="F20" s="7"/>
      <c r="G20" s="7"/>
    </row>
    <row r="21" ht="15.75" customHeight="1">
      <c r="B21" s="7" t="s">
        <v>67</v>
      </c>
      <c r="C21" s="92">
        <f>IRR('Flujo de Caja Mensual'!C68:N68)</f>
        <v>1.775697705</v>
      </c>
      <c r="D21" s="7"/>
      <c r="E21" s="7"/>
      <c r="F21" s="7"/>
      <c r="G21" s="7"/>
    </row>
    <row r="22" ht="15.75" customHeight="1">
      <c r="B22" s="7" t="s">
        <v>68</v>
      </c>
      <c r="C22" s="93">
        <f>'Indicadiores financieros'!H49</f>
        <v>82078815.43</v>
      </c>
      <c r="D22" s="7"/>
      <c r="E22" s="7"/>
      <c r="F22" s="7"/>
      <c r="G22" s="7"/>
    </row>
    <row r="23" ht="15.75" customHeight="1"/>
    <row r="24" ht="15.75" customHeight="1"/>
    <row r="25" ht="15.75" customHeight="1"/>
    <row r="26" ht="15.75" customHeight="1"/>
    <row r="27" ht="15.75" customHeight="1">
      <c r="B27" s="1" t="s">
        <v>417</v>
      </c>
      <c r="C27" s="2"/>
      <c r="D27" s="2"/>
      <c r="E27" s="2"/>
      <c r="F27" s="2"/>
      <c r="G27" s="2"/>
      <c r="H27" s="2"/>
      <c r="I27" s="2"/>
      <c r="J27" s="2"/>
      <c r="K27" s="3"/>
    </row>
    <row r="28" ht="15.75" customHeight="1">
      <c r="B28" s="5" t="s">
        <v>418</v>
      </c>
      <c r="C28" s="16"/>
      <c r="D28" s="2"/>
      <c r="E28" s="2"/>
      <c r="F28" s="2"/>
      <c r="G28" s="2"/>
      <c r="H28" s="2"/>
      <c r="I28" s="2"/>
      <c r="J28" s="2"/>
      <c r="K28" s="3"/>
    </row>
    <row r="29" ht="15.75" customHeight="1">
      <c r="B29" s="5" t="s">
        <v>419</v>
      </c>
      <c r="C29" s="5" t="s">
        <v>420</v>
      </c>
      <c r="D29" s="5" t="s">
        <v>122</v>
      </c>
      <c r="E29" s="5" t="s">
        <v>421</v>
      </c>
      <c r="F29" s="5" t="s">
        <v>422</v>
      </c>
      <c r="G29" s="5" t="s">
        <v>423</v>
      </c>
      <c r="H29" s="1" t="s">
        <v>415</v>
      </c>
      <c r="I29" s="3"/>
      <c r="J29" s="5" t="s">
        <v>424</v>
      </c>
      <c r="K29" s="5" t="s">
        <v>425</v>
      </c>
    </row>
    <row r="30" ht="15.75" customHeight="1">
      <c r="B30" s="7" t="str">
        <f>'Presupuesto de ventas'!B33</f>
        <v>neo library</v>
      </c>
      <c r="C30" s="24">
        <f>'Presupuesto de ventas'!D50</f>
        <v>1500000</v>
      </c>
      <c r="D30" s="24">
        <f>+'Presupuesto de Compras '!F30</f>
        <v>100000</v>
      </c>
      <c r="E30" s="7"/>
      <c r="F30" s="7"/>
      <c r="G30" s="24">
        <f t="shared" ref="G30:G33" si="6">SUM(D30:F30)</f>
        <v>100000</v>
      </c>
      <c r="H30" s="24">
        <f t="shared" ref="H30:H33" si="7">C30-G30</f>
        <v>1400000</v>
      </c>
      <c r="I30" s="94">
        <f t="shared" ref="I30:I33" si="8">IF(C30=0,0,H30/C30)</f>
        <v>0.9333333333</v>
      </c>
      <c r="J30" s="21">
        <f>+'Presupuesto de compras y ventas'!E7/'Presupuesto de compras y ventas'!$E$14</f>
        <v>1</v>
      </c>
      <c r="K30" s="90">
        <f t="shared" ref="K30:K32" si="9">I30*J30</f>
        <v>0.9333333333</v>
      </c>
    </row>
    <row r="31" ht="15.75" customHeight="1">
      <c r="B31" s="7" t="str">
        <f>'Presupuesto de ventas'!B34</f>
        <v/>
      </c>
      <c r="C31" s="24" t="str">
        <f>'Presupuesto de ventas'!D51</f>
        <v/>
      </c>
      <c r="D31" s="24">
        <f>+'Presupuesto de Compras '!L30</f>
        <v>0</v>
      </c>
      <c r="E31" s="7"/>
      <c r="F31" s="7"/>
      <c r="G31" s="24">
        <f t="shared" si="6"/>
        <v>0</v>
      </c>
      <c r="H31" s="24">
        <f t="shared" si="7"/>
        <v>0</v>
      </c>
      <c r="I31" s="94">
        <f t="shared" si="8"/>
        <v>0</v>
      </c>
      <c r="J31" s="21">
        <f>+'Presupuesto de compras y ventas'!E8/'Presupuesto de compras y ventas'!$E$14</f>
        <v>0</v>
      </c>
      <c r="K31" s="90">
        <f t="shared" si="9"/>
        <v>0</v>
      </c>
    </row>
    <row r="32" ht="15.75" customHeight="1">
      <c r="B32" s="7" t="str">
        <f>'Presupuesto de ventas'!B35</f>
        <v/>
      </c>
      <c r="C32" s="24" t="str">
        <f>'Presupuesto de ventas'!D52</f>
        <v/>
      </c>
      <c r="D32" s="24">
        <f>+'Presupuesto de Compras '!F57</f>
        <v>0</v>
      </c>
      <c r="E32" s="7"/>
      <c r="F32" s="7"/>
      <c r="G32" s="24">
        <f t="shared" si="6"/>
        <v>0</v>
      </c>
      <c r="H32" s="24">
        <f t="shared" si="7"/>
        <v>0</v>
      </c>
      <c r="I32" s="94">
        <f t="shared" si="8"/>
        <v>0</v>
      </c>
      <c r="J32" s="21">
        <f>+'Presupuesto de compras y ventas'!E9/'Presupuesto de compras y ventas'!$E$14</f>
        <v>0</v>
      </c>
      <c r="K32" s="90">
        <f t="shared" si="9"/>
        <v>0</v>
      </c>
    </row>
    <row r="33" ht="15.75" customHeight="1">
      <c r="B33" s="7" t="str">
        <f>'Presupuesto de ventas'!B36</f>
        <v/>
      </c>
      <c r="C33" s="24" t="str">
        <f>'Presupuesto de ventas'!D53</f>
        <v/>
      </c>
      <c r="D33" s="24">
        <f>+'Presupuesto de Compras '!L57</f>
        <v>0</v>
      </c>
      <c r="E33" s="7"/>
      <c r="F33" s="7"/>
      <c r="G33" s="24">
        <f t="shared" si="6"/>
        <v>0</v>
      </c>
      <c r="H33" s="24">
        <f t="shared" si="7"/>
        <v>0</v>
      </c>
      <c r="I33" s="94">
        <f t="shared" si="8"/>
        <v>0</v>
      </c>
      <c r="J33" s="21">
        <f>+'Presupuesto de compras y ventas'!E10/'Presupuesto de compras y ventas'!$E$14</f>
        <v>0</v>
      </c>
      <c r="K33" s="7"/>
    </row>
    <row r="34" ht="15.75" customHeight="1">
      <c r="B34" s="7"/>
      <c r="C34" s="7"/>
      <c r="D34" s="7"/>
      <c r="E34" s="7"/>
      <c r="F34" s="7"/>
      <c r="G34" s="7"/>
      <c r="H34" s="7"/>
      <c r="I34" s="7"/>
      <c r="J34" s="7"/>
      <c r="K34" s="7"/>
    </row>
    <row r="35" ht="15.75" customHeight="1">
      <c r="B35" s="7"/>
      <c r="C35" s="7"/>
      <c r="D35" s="7"/>
      <c r="E35" s="7"/>
      <c r="F35" s="7"/>
      <c r="G35" s="7"/>
      <c r="H35" s="7"/>
      <c r="I35" s="7"/>
      <c r="J35" s="7"/>
      <c r="K35" s="7"/>
    </row>
    <row r="36" ht="15.75" customHeight="1">
      <c r="G36" s="1" t="s">
        <v>426</v>
      </c>
      <c r="H36" s="2"/>
      <c r="I36" s="3"/>
      <c r="J36" s="21">
        <f t="shared" ref="J36:K36" si="10">SUM(J30:J35)</f>
        <v>1</v>
      </c>
      <c r="K36" s="90">
        <f t="shared" si="10"/>
        <v>0.9333333333</v>
      </c>
    </row>
    <row r="37" ht="15.75" customHeight="1"/>
    <row r="38" ht="15.75" customHeight="1"/>
    <row r="39" ht="15.75" customHeight="1">
      <c r="B39" s="1" t="s">
        <v>427</v>
      </c>
      <c r="C39" s="2"/>
      <c r="D39" s="2"/>
      <c r="E39" s="2"/>
      <c r="F39" s="2"/>
      <c r="G39" s="2"/>
      <c r="H39" s="2"/>
      <c r="I39" s="3"/>
    </row>
    <row r="40" ht="29.25" customHeight="1">
      <c r="B40" s="4" t="s">
        <v>207</v>
      </c>
      <c r="C40" s="3"/>
      <c r="D40" s="26">
        <f>('Presupuesto de Costos y G año 1'!D13+'Presupuesto de Costos y G año 1'!D24+'Presupuesto de Costos y G año 1'!D35)/K36</f>
        <v>67921184.57</v>
      </c>
      <c r="E40" s="5"/>
      <c r="F40" s="1" t="s">
        <v>428</v>
      </c>
      <c r="G40" s="3"/>
      <c r="H40" s="95" t="s">
        <v>429</v>
      </c>
      <c r="I40" s="3"/>
    </row>
    <row r="41" ht="15.75" customHeight="1">
      <c r="B41" s="5" t="s">
        <v>61</v>
      </c>
      <c r="C41" s="5" t="s">
        <v>207</v>
      </c>
      <c r="D41" s="5" t="s">
        <v>430</v>
      </c>
      <c r="E41" s="5" t="s">
        <v>431</v>
      </c>
      <c r="F41" s="5" t="s">
        <v>432</v>
      </c>
      <c r="G41" s="5" t="s">
        <v>98</v>
      </c>
      <c r="H41" s="5" t="s">
        <v>433</v>
      </c>
      <c r="I41" s="5" t="s">
        <v>98</v>
      </c>
    </row>
    <row r="42" ht="15.75" customHeight="1">
      <c r="B42" s="7" t="str">
        <f t="shared" ref="B42:B45" si="12">B30</f>
        <v>neo library</v>
      </c>
      <c r="C42" s="24">
        <f t="shared" ref="C42:C45" si="13">$D$40*E42</f>
        <v>67921184.57</v>
      </c>
      <c r="D42" s="33">
        <f t="shared" ref="D42:D44" si="14">IF(C30=0,0,C42/C30)</f>
        <v>45.28078971</v>
      </c>
      <c r="E42" s="21">
        <f t="shared" ref="E42:E45" si="15">+J30</f>
        <v>1</v>
      </c>
      <c r="F42" s="24">
        <f>+'Presupuesto de compras y ventas'!E7</f>
        <v>150000000</v>
      </c>
      <c r="G42" s="24">
        <f>+'Presupuesto de compras y ventas'!C7</f>
        <v>100</v>
      </c>
      <c r="H42" s="24">
        <f t="shared" ref="H42:I42" si="11">+F42-C42</f>
        <v>82078815.43</v>
      </c>
      <c r="I42" s="33">
        <f t="shared" si="11"/>
        <v>54.71921029</v>
      </c>
    </row>
    <row r="43" ht="15.75" customHeight="1">
      <c r="B43" s="7" t="str">
        <f t="shared" si="12"/>
        <v/>
      </c>
      <c r="C43" s="24">
        <f t="shared" si="13"/>
        <v>0</v>
      </c>
      <c r="D43" s="33">
        <f t="shared" si="14"/>
        <v>0</v>
      </c>
      <c r="E43" s="21">
        <f t="shared" si="15"/>
        <v>0</v>
      </c>
      <c r="F43" s="24" t="str">
        <f>+'Presupuesto de compras y ventas'!E8</f>
        <v/>
      </c>
      <c r="G43" s="24" t="str">
        <f>+'Presupuesto de compras y ventas'!C8</f>
        <v/>
      </c>
      <c r="H43" s="24">
        <f t="shared" ref="H43:I43" si="16">C43-F43</f>
        <v>0</v>
      </c>
      <c r="I43" s="33">
        <f t="shared" si="16"/>
        <v>0</v>
      </c>
    </row>
    <row r="44" ht="15.75" customHeight="1">
      <c r="B44" s="7" t="str">
        <f t="shared" si="12"/>
        <v/>
      </c>
      <c r="C44" s="24">
        <f t="shared" si="13"/>
        <v>0</v>
      </c>
      <c r="D44" s="33">
        <f t="shared" si="14"/>
        <v>0</v>
      </c>
      <c r="E44" s="21">
        <f t="shared" si="15"/>
        <v>0</v>
      </c>
      <c r="F44" s="24" t="str">
        <f>+'Presupuesto de compras y ventas'!E9</f>
        <v/>
      </c>
      <c r="G44" s="24" t="str">
        <f>+'Presupuesto de compras y ventas'!C9</f>
        <v/>
      </c>
      <c r="H44" s="24">
        <f t="shared" ref="H44:I44" si="17">C44-F44</f>
        <v>0</v>
      </c>
      <c r="I44" s="33">
        <f t="shared" si="17"/>
        <v>0</v>
      </c>
    </row>
    <row r="45" ht="15.75" customHeight="1">
      <c r="B45" s="7" t="str">
        <f t="shared" si="12"/>
        <v/>
      </c>
      <c r="C45" s="24">
        <f t="shared" si="13"/>
        <v>0</v>
      </c>
      <c r="D45" s="7"/>
      <c r="E45" s="21">
        <f t="shared" si="15"/>
        <v>0</v>
      </c>
      <c r="F45" s="24" t="str">
        <f>+'Presupuesto de compras y ventas'!E10</f>
        <v/>
      </c>
      <c r="G45" s="24" t="str">
        <f>+'Presupuesto de compras y ventas'!C10</f>
        <v/>
      </c>
      <c r="H45" s="24">
        <f t="shared" ref="H45:I45" si="18">C45-F45</f>
        <v>0</v>
      </c>
      <c r="I45" s="33">
        <f t="shared" si="18"/>
        <v>0</v>
      </c>
    </row>
    <row r="46" ht="15.75" customHeight="1">
      <c r="B46" s="7"/>
      <c r="C46" s="24"/>
      <c r="D46" s="7"/>
      <c r="E46" s="21"/>
      <c r="F46" s="7"/>
      <c r="G46" s="7"/>
      <c r="H46" s="7"/>
      <c r="I46" s="7"/>
    </row>
    <row r="47" ht="15.75" customHeight="1">
      <c r="B47" s="7"/>
      <c r="C47" s="7"/>
      <c r="D47" s="7"/>
      <c r="E47" s="7"/>
      <c r="F47" s="7"/>
      <c r="G47" s="7"/>
      <c r="H47" s="7"/>
      <c r="I47" s="7"/>
    </row>
    <row r="48" ht="15.75" customHeight="1">
      <c r="B48" s="7"/>
      <c r="C48" s="7"/>
      <c r="D48" s="7"/>
      <c r="E48" s="7"/>
      <c r="F48" s="7"/>
      <c r="G48" s="7"/>
      <c r="H48" s="7"/>
      <c r="I48" s="7"/>
    </row>
    <row r="49" ht="15.75" customHeight="1">
      <c r="B49" s="5" t="s">
        <v>112</v>
      </c>
      <c r="C49" s="26">
        <f t="shared" ref="C49:I49" si="19">SUM(C42:C48)</f>
        <v>67921184.57</v>
      </c>
      <c r="D49" s="26">
        <f t="shared" si="19"/>
        <v>45.28078971</v>
      </c>
      <c r="E49" s="26">
        <f t="shared" si="19"/>
        <v>1</v>
      </c>
      <c r="F49" s="26">
        <f t="shared" si="19"/>
        <v>150000000</v>
      </c>
      <c r="G49" s="26">
        <f t="shared" si="19"/>
        <v>100</v>
      </c>
      <c r="H49" s="26">
        <f t="shared" si="19"/>
        <v>82078815.43</v>
      </c>
      <c r="I49" s="26">
        <f t="shared" si="19"/>
        <v>54.71921029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F40:G40"/>
    <mergeCell ref="H40:I40"/>
    <mergeCell ref="B19:G19"/>
    <mergeCell ref="B27:K27"/>
    <mergeCell ref="C28:K28"/>
    <mergeCell ref="H29:I29"/>
    <mergeCell ref="G36:I36"/>
    <mergeCell ref="B39:I39"/>
    <mergeCell ref="B40:C40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2018-06-20T19:21:41Z</dcterms:created>
  <dc:creator>Julian Andres</dc:creator>
</cp:coreProperties>
</file>