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7755"/>
  </bookViews>
  <sheets>
    <sheet name="COSTOS MANGO" sheetId="1" r:id="rId1"/>
    <sheet name="GRAFICA" sheetId="6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8" i="1"/>
  <c r="E50"/>
  <c r="E46"/>
  <c r="F46" s="1"/>
  <c r="F47" s="1"/>
  <c r="F45"/>
  <c r="F21"/>
  <c r="F18"/>
  <c r="F17"/>
  <c r="E19"/>
  <c r="F19" s="1"/>
  <c r="D15"/>
  <c r="D16"/>
  <c r="F16" s="1"/>
  <c r="F15" l="1"/>
  <c r="F22" s="1"/>
  <c r="E15"/>
  <c r="E41" l="1"/>
  <c r="F41" s="1"/>
  <c r="F43" s="1"/>
  <c r="F53" l="1"/>
  <c r="E26"/>
  <c r="D26"/>
  <c r="F26" s="1"/>
  <c r="D33"/>
  <c r="D32"/>
  <c r="F32" s="1"/>
  <c r="D50"/>
  <c r="F50" s="1"/>
  <c r="F51" s="1"/>
  <c r="D31"/>
  <c r="F31" s="1"/>
  <c r="E31"/>
  <c r="D30"/>
  <c r="D29"/>
  <c r="D28"/>
  <c r="F28" s="1"/>
  <c r="E28"/>
  <c r="D27"/>
  <c r="F27" s="1"/>
  <c r="E27"/>
  <c r="E33"/>
  <c r="E32"/>
  <c r="F33" l="1"/>
  <c r="E30"/>
  <c r="F30" s="1"/>
  <c r="E34"/>
  <c r="F34" s="1"/>
  <c r="E29"/>
  <c r="F29" s="1"/>
  <c r="F35" s="1"/>
  <c r="F37" s="1"/>
  <c r="F55" s="1"/>
  <c r="F5" i="6" l="1"/>
  <c r="G5" l="1"/>
  <c r="E5" l="1"/>
  <c r="D5" l="1"/>
  <c r="C5" l="1"/>
  <c r="C6" l="1"/>
  <c r="H5"/>
  <c r="F6" l="1"/>
  <c r="G6"/>
  <c r="E6"/>
  <c r="D6"/>
  <c r="H6"/>
</calcChain>
</file>

<file path=xl/comments1.xml><?xml version="1.0" encoding="utf-8"?>
<comments xmlns="http://schemas.openxmlformats.org/spreadsheetml/2006/main">
  <authors>
    <author>FREDI</author>
  </authors>
  <commentList>
    <comment ref="E19" authorId="0">
      <text>
        <r>
          <rPr>
            <b/>
            <sz val="9"/>
            <color indexed="81"/>
            <rFont val="Tahoma"/>
            <family val="2"/>
          </rPr>
          <t>SEGÚN MERCADO LIBRE: 1 GL EQUIVALE A 3.785,41 CM3 Y VALEN $35.500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1 GALON EQUIVALE A 3,78 LITROS</t>
        </r>
      </text>
    </comment>
  </commentList>
</comments>
</file>

<file path=xl/sharedStrings.xml><?xml version="1.0" encoding="utf-8"?>
<sst xmlns="http://schemas.openxmlformats.org/spreadsheetml/2006/main" count="119" uniqueCount="86">
  <si>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</si>
  <si>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</si>
  <si>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</si>
  <si>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</si>
  <si>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</si>
  <si>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</si>
  <si>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</si>
  <si>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</si>
  <si>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</si>
  <si>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</si>
  <si>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</si>
  <si>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</si>
  <si>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</si>
  <si>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</si>
  <si>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PORCENTAJE DE PARTICIPACION</t>
  </si>
  <si>
    <t>Asistencia tecnica</t>
  </si>
  <si>
    <t>Mes</t>
  </si>
  <si>
    <t>Vigilancia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</si>
  <si>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</si>
  <si>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</si>
  <si>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</si>
  <si>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</si>
  <si>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</si>
  <si>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</si>
  <si>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</si>
  <si>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</si>
  <si>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</si>
  <si>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MANTENIMIENTO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</si>
  <si>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</si>
  <si>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</si>
  <si>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</si>
  <si>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</si>
  <si>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</si>
  <si>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</si>
  <si>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</si>
  <si>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</si>
  <si>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</si>
  <si>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</si>
  <si>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</si>
  <si>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</si>
  <si>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</si>
  <si>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</si>
  <si>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AREA: </t>
  </si>
  <si>
    <t xml:space="preserve">FECHA DE SIEMBRA: </t>
  </si>
  <si>
    <t>CONTROL DE DOCUMENTO</t>
  </si>
  <si>
    <t>ELABORO: MARIA INES MIÑOZ, LINA VARGAS, MIGUEL A. VILLALBA</t>
  </si>
  <si>
    <t>FECHA: 19-09-2018</t>
  </si>
  <si>
    <t>4 ha - 18,000 m² SEMBRADOS</t>
  </si>
  <si>
    <t>MANGO</t>
  </si>
  <si>
    <t>LOTE 9</t>
  </si>
  <si>
    <t xml:space="preserve">COSTO TOTAL MANGO </t>
  </si>
  <si>
    <t>COSTO TOTAL MANGO</t>
  </si>
  <si>
    <t xml:space="preserve"> MATERIA PRIMA </t>
  </si>
  <si>
    <t>12 de Noviembre de 2015</t>
  </si>
  <si>
    <t>MIGUEL A. VILLALBA</t>
  </si>
  <si>
    <t>SUBTOTAL  MATERIA PRIMA E INSUMOS  DIRECTOS:</t>
  </si>
  <si>
    <t>MATERIA PRIMA E INSUMOS  DIRECTOS</t>
  </si>
  <si>
    <t>PRODUCCION EN KG  ( PRODUCTO DE MANGO EN PROCESO )</t>
  </si>
  <si>
    <t xml:space="preserve">Aplicacion de la pasta cicatrizante </t>
  </si>
  <si>
    <t>Manejo de arvenses (manual)</t>
  </si>
  <si>
    <t>Manejo de arvenses (mecanico- guadañas).</t>
  </si>
  <si>
    <t>Plateo</t>
  </si>
  <si>
    <t>cm3</t>
  </si>
  <si>
    <t>PINTURA</t>
  </si>
  <si>
    <t>PINTURA DE AGUA</t>
  </si>
  <si>
    <t>INSUMO</t>
  </si>
  <si>
    <t>GASOLINA</t>
  </si>
  <si>
    <t>lt</t>
  </si>
  <si>
    <t>MARZO</t>
  </si>
  <si>
    <t xml:space="preserve">Poda fitosanitaria </t>
  </si>
  <si>
    <t xml:space="preserve">Aplicacion de microorganismos </t>
  </si>
  <si>
    <t xml:space="preserve">Fertilizacion </t>
  </si>
  <si>
    <t>Manejo de plagas y enfermedades</t>
  </si>
  <si>
    <t xml:space="preserve">Triple 18 </t>
  </si>
  <si>
    <t xml:space="preserve">Agrimins </t>
  </si>
  <si>
    <t>g</t>
  </si>
  <si>
    <t xml:space="preserve">FERTILIZANTE </t>
  </si>
  <si>
    <t>kg</t>
  </si>
  <si>
    <t xml:space="preserve">Fertilizante </t>
  </si>
  <si>
    <t xml:space="preserve">lorsban </t>
  </si>
  <si>
    <t xml:space="preserve">Insecticida </t>
  </si>
  <si>
    <t xml:space="preserve">Microorganismos </t>
  </si>
  <si>
    <t xml:space="preserve">Poda de altura </t>
  </si>
  <si>
    <t>Mantenimiento de la caseta (BPA)</t>
  </si>
  <si>
    <t>OK REVISADO</t>
  </si>
  <si>
    <t>COSTOS DE PRODUCCIÓN CULTIVO DE MANGO MES DE MARZO DE  2019</t>
  </si>
</sst>
</file>

<file path=xl/styles.xml><?xml version="1.0" encoding="utf-8"?>
<styleSheet xmlns="http://schemas.openxmlformats.org/spreadsheetml/2006/main">
  <numFmts count="8">
    <numFmt numFmtId="6" formatCode="&quot;$&quot;\ #,##0_);[Red]\(&quot;$&quot;\ #,##0\)"/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0.0%"/>
    <numFmt numFmtId="166" formatCode="_(&quot;$&quot;* #,##0_);_(&quot;$&quot;* \(#,##0\);_(&quot;$&quot;* &quot;-&quot;??_);_(@_)"/>
    <numFmt numFmtId="167" formatCode="0.00000"/>
    <numFmt numFmtId="168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3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5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5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0" fillId="0" borderId="0" xfId="0" applyFont="1"/>
    <xf numFmtId="0" fontId="6" fillId="3" borderId="4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9" xfId="0" applyFont="1" applyFill="1" applyBorder="1"/>
    <xf numFmtId="0" fontId="6" fillId="3" borderId="1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/>
    <xf numFmtId="44" fontId="0" fillId="3" borderId="1" xfId="1" applyFont="1" applyFill="1" applyBorder="1" applyAlignment="1">
      <alignment wrapText="1"/>
    </xf>
    <xf numFmtId="44" fontId="0" fillId="3" borderId="1" xfId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64" fontId="0" fillId="3" borderId="4" xfId="1" applyNumberFormat="1" applyFont="1" applyFill="1" applyBorder="1"/>
    <xf numFmtId="0" fontId="6" fillId="3" borderId="2" xfId="0" applyFont="1" applyFill="1" applyBorder="1" applyAlignment="1">
      <alignment horizontal="left"/>
    </xf>
    <xf numFmtId="0" fontId="0" fillId="3" borderId="9" xfId="0" applyFont="1" applyFill="1" applyBorder="1"/>
    <xf numFmtId="164" fontId="0" fillId="3" borderId="3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6" fontId="0" fillId="3" borderId="3" xfId="0" applyNumberFormat="1" applyFont="1" applyFill="1" applyBorder="1"/>
    <xf numFmtId="164" fontId="0" fillId="0" borderId="3" xfId="4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6" fontId="0" fillId="0" borderId="1" xfId="0" applyNumberFormat="1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left"/>
    </xf>
    <xf numFmtId="44" fontId="0" fillId="0" borderId="1" xfId="1" applyFont="1" applyBorder="1"/>
    <xf numFmtId="164" fontId="0" fillId="0" borderId="1" xfId="1" applyNumberFormat="1" applyFont="1" applyBorder="1"/>
    <xf numFmtId="164" fontId="1" fillId="3" borderId="3" xfId="1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6" fontId="0" fillId="0" borderId="1" xfId="0" applyNumberFormat="1" applyFont="1" applyBorder="1"/>
    <xf numFmtId="0" fontId="0" fillId="0" borderId="0" xfId="0" applyFont="1" applyAlignment="1"/>
    <xf numFmtId="164" fontId="8" fillId="5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4" fontId="0" fillId="0" borderId="0" xfId="0" applyNumberFormat="1" applyFont="1"/>
    <xf numFmtId="0" fontId="9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wrapText="1"/>
    </xf>
    <xf numFmtId="6" fontId="0" fillId="0" borderId="4" xfId="0" applyNumberFormat="1" applyFont="1" applyFill="1" applyBorder="1"/>
    <xf numFmtId="0" fontId="0" fillId="0" borderId="2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165" fontId="1" fillId="0" borderId="6" xfId="2" applyNumberFormat="1" applyFont="1" applyBorder="1" applyAlignment="1" applyProtection="1">
      <alignment horizontal="center" vertical="center"/>
      <protection hidden="1"/>
    </xf>
    <xf numFmtId="3" fontId="0" fillId="3" borderId="2" xfId="0" applyNumberFormat="1" applyFont="1" applyFill="1" applyBorder="1" applyAlignment="1">
      <alignment horizontal="center"/>
    </xf>
    <xf numFmtId="44" fontId="1" fillId="3" borderId="3" xfId="1" applyNumberFormat="1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44" fontId="1" fillId="3" borderId="1" xfId="1" applyNumberFormat="1" applyFont="1" applyFill="1" applyBorder="1"/>
    <xf numFmtId="0" fontId="0" fillId="0" borderId="2" xfId="0" applyFill="1" applyBorder="1" applyAlignment="1">
      <alignment horizontal="left"/>
    </xf>
    <xf numFmtId="0" fontId="0" fillId="3" borderId="1" xfId="0" applyFill="1" applyBorder="1"/>
    <xf numFmtId="2" fontId="0" fillId="0" borderId="0" xfId="0" applyNumberFormat="1" applyFont="1"/>
    <xf numFmtId="167" fontId="0" fillId="0" borderId="0" xfId="0" applyNumberFormat="1" applyFont="1"/>
    <xf numFmtId="0" fontId="0" fillId="3" borderId="4" xfId="0" applyFont="1" applyFill="1" applyBorder="1"/>
    <xf numFmtId="168" fontId="0" fillId="3" borderId="4" xfId="0" applyNumberFormat="1" applyFont="1" applyFill="1" applyBorder="1"/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6" fontId="1" fillId="3" borderId="1" xfId="1" applyNumberFormat="1" applyFont="1" applyFill="1" applyBorder="1"/>
    <xf numFmtId="8" fontId="1" fillId="3" borderId="1" xfId="1" applyNumberFormat="1" applyFont="1" applyFill="1" applyBorder="1"/>
    <xf numFmtId="164" fontId="0" fillId="3" borderId="1" xfId="1" applyNumberFormat="1" applyFont="1" applyFill="1" applyBorder="1"/>
    <xf numFmtId="164" fontId="1" fillId="3" borderId="1" xfId="1" applyNumberFormat="1" applyFont="1" applyFill="1" applyBorder="1"/>
    <xf numFmtId="164" fontId="6" fillId="4" borderId="1" xfId="1" applyNumberFormat="1" applyFont="1" applyFill="1" applyBorder="1" applyAlignment="1">
      <alignment vertical="center"/>
    </xf>
    <xf numFmtId="0" fontId="0" fillId="0" borderId="0" xfId="0" applyAlignment="1"/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</cellXfs>
  <cellStyles count="12">
    <cellStyle name="Moneda" xfId="1" builtinId="4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cap="all" baseline="0">
                <a:effectLst/>
              </a:rPr>
              <a:t>COSTOS DE PRODUCCIÓN CULTIVO DE MANGO </a:t>
            </a:r>
            <a:endParaRPr lang="es-MX" b="1">
              <a:effectLst/>
            </a:endParaRPr>
          </a:p>
          <a:p>
            <a:pPr>
              <a:defRPr lang="es-E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cap="all" baseline="0">
                <a:effectLst/>
              </a:rPr>
              <a:t>MES DE MARZO DE  2019</a:t>
            </a:r>
            <a:endParaRPr lang="es-MX" b="1">
              <a:effectLst/>
            </a:endParaRPr>
          </a:p>
        </c:rich>
      </c:tx>
      <c:layout/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ser>
          <c:idx val="0"/>
          <c:order val="0"/>
          <c:tx>
            <c:strRef>
              <c:f>GRAFICA!$B$5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453124.80105061276</c:v>
                </c:pt>
                <c:pt idx="1">
                  <c:v>907250</c:v>
                </c:pt>
                <c:pt idx="2">
                  <c:v>45740.740740740737</c:v>
                </c:pt>
                <c:pt idx="3">
                  <c:v>271492.97600000002</c:v>
                </c:pt>
                <c:pt idx="4">
                  <c:v>28500</c:v>
                </c:pt>
                <c:pt idx="5">
                  <c:v>1706108.5177913534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A8-4CE7-BA2D-210900520DD4}"/>
            </c:ext>
          </c:extLst>
        </c:ser>
        <c:gapWidth val="65"/>
        <c:shape val="box"/>
        <c:axId val="51028736"/>
        <c:axId val="51030272"/>
        <c:axId val="50491392"/>
      </c:bar3DChart>
      <c:catAx>
        <c:axId val="510287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030272"/>
        <c:crosses val="autoZero"/>
        <c:auto val="1"/>
        <c:lblAlgn val="ctr"/>
        <c:lblOffset val="100"/>
      </c:catAx>
      <c:valAx>
        <c:axId val="510302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028736"/>
        <c:crosses val="autoZero"/>
        <c:crossBetween val="between"/>
      </c:valAx>
      <c:serAx>
        <c:axId val="50491392"/>
        <c:scaling>
          <c:orientation val="minMax"/>
        </c:scaling>
        <c:axPos val="b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030272"/>
        <c:crosses val="autoZero"/>
      </c:ser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17386</xdr:colOff>
      <xdr:row>7</xdr:row>
      <xdr:rowOff>0</xdr:rowOff>
    </xdr:from>
    <xdr:to>
      <xdr:col>7</xdr:col>
      <xdr:colOff>952500</xdr:colOff>
      <xdr:row>27</xdr:row>
      <xdr:rowOff>116417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5895E810-0FC7-4E5C-8ABF-1F85E35E1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C50" zoomScale="86" zoomScaleNormal="86" workbookViewId="0">
      <selection activeCell="F62" sqref="F62"/>
    </sheetView>
  </sheetViews>
  <sheetFormatPr baseColWidth="10" defaultColWidth="11.42578125" defaultRowHeight="15"/>
  <cols>
    <col min="1" max="1" width="31.42578125" style="13" customWidth="1"/>
    <col min="2" max="2" width="17.7109375" style="13" customWidth="1"/>
    <col min="3" max="3" width="15.42578125" style="37" customWidth="1"/>
    <col min="4" max="4" width="16" style="13" customWidth="1"/>
    <col min="5" max="5" width="17.5703125" style="13" customWidth="1"/>
    <col min="6" max="6" width="18.7109375" style="13" customWidth="1"/>
    <col min="7" max="7" width="18.28515625" style="13" customWidth="1"/>
    <col min="8" max="8" width="12.140625" style="13" bestFit="1" customWidth="1"/>
    <col min="9" max="9" width="13.28515625" style="13" bestFit="1" customWidth="1"/>
    <col min="10" max="16384" width="11.42578125" style="13"/>
  </cols>
  <sheetData>
    <row r="1" spans="1:12" ht="34.5" customHeight="1">
      <c r="A1" s="53" t="s">
        <v>29</v>
      </c>
      <c r="B1" s="54"/>
      <c r="C1" s="55"/>
      <c r="D1" s="54"/>
      <c r="E1" s="54"/>
      <c r="F1" s="56"/>
    </row>
    <row r="2" spans="1:12" ht="22.5" customHeight="1">
      <c r="A2" s="53" t="s">
        <v>40</v>
      </c>
      <c r="B2" s="54" t="s">
        <v>68</v>
      </c>
      <c r="C2" s="55"/>
      <c r="D2" s="54"/>
      <c r="E2" s="54"/>
      <c r="F2" s="56"/>
    </row>
    <row r="3" spans="1:12" ht="22.5" customHeight="1">
      <c r="A3" s="53" t="s">
        <v>41</v>
      </c>
      <c r="B3" s="57">
        <v>2019</v>
      </c>
      <c r="C3" s="55"/>
      <c r="D3" s="54"/>
      <c r="E3" s="54"/>
      <c r="F3" s="56"/>
    </row>
    <row r="4" spans="1:12" ht="15.75" customHeight="1">
      <c r="A4" s="54" t="s">
        <v>42</v>
      </c>
      <c r="B4" s="57" t="s">
        <v>47</v>
      </c>
      <c r="C4" s="54"/>
      <c r="D4" s="54"/>
      <c r="E4" s="54"/>
      <c r="F4" s="56"/>
    </row>
    <row r="5" spans="1:12">
      <c r="A5" s="54" t="s">
        <v>43</v>
      </c>
      <c r="B5" s="54" t="s">
        <v>53</v>
      </c>
      <c r="C5" s="55"/>
      <c r="D5" s="54"/>
      <c r="E5" s="54"/>
      <c r="F5" s="56"/>
    </row>
    <row r="6" spans="1:12" ht="18" customHeight="1">
      <c r="A6" s="54" t="s">
        <v>28</v>
      </c>
      <c r="B6" s="57">
        <v>265</v>
      </c>
      <c r="C6" s="54"/>
      <c r="D6" s="54"/>
      <c r="E6" s="54"/>
      <c r="F6" s="56"/>
    </row>
    <row r="7" spans="1:12" ht="18" customHeight="1">
      <c r="A7" s="54" t="s">
        <v>21</v>
      </c>
      <c r="B7" s="54" t="s">
        <v>22</v>
      </c>
      <c r="C7" s="56"/>
      <c r="D7" s="56"/>
      <c r="E7" s="54"/>
      <c r="F7" s="56"/>
    </row>
    <row r="8" spans="1:12" ht="18" customHeight="1">
      <c r="A8" s="54" t="s">
        <v>20</v>
      </c>
      <c r="B8" s="54" t="s">
        <v>49</v>
      </c>
      <c r="C8" s="56"/>
      <c r="D8" s="54"/>
      <c r="E8" s="54"/>
      <c r="F8" s="56"/>
    </row>
    <row r="9" spans="1:12" ht="18" customHeight="1">
      <c r="A9" s="54" t="s">
        <v>23</v>
      </c>
      <c r="B9" s="54" t="s">
        <v>48</v>
      </c>
      <c r="C9" s="54"/>
      <c r="D9" s="54"/>
      <c r="E9" s="54"/>
      <c r="F9" s="56"/>
    </row>
    <row r="10" spans="1:12" ht="18" customHeight="1">
      <c r="A10" s="54"/>
      <c r="B10" s="54"/>
      <c r="C10" s="54"/>
      <c r="D10" s="56"/>
      <c r="E10" s="54"/>
      <c r="F10" s="56"/>
    </row>
    <row r="11" spans="1:12" ht="18" customHeight="1">
      <c r="A11" s="54"/>
      <c r="B11" s="54"/>
      <c r="C11" s="55"/>
      <c r="D11" s="54"/>
      <c r="E11" s="54"/>
      <c r="F11" s="56"/>
    </row>
    <row r="12" spans="1:12" ht="42" customHeight="1">
      <c r="A12" s="47" t="s">
        <v>33</v>
      </c>
      <c r="B12" s="46" t="s">
        <v>5</v>
      </c>
      <c r="C12" s="46" t="s">
        <v>13</v>
      </c>
      <c r="D12" s="46" t="s">
        <v>6</v>
      </c>
      <c r="E12" s="46" t="s">
        <v>24</v>
      </c>
      <c r="F12" s="46" t="s">
        <v>50</v>
      </c>
    </row>
    <row r="13" spans="1:12" ht="27.75" customHeight="1">
      <c r="A13" s="48" t="s">
        <v>34</v>
      </c>
      <c r="B13" s="43"/>
      <c r="C13" s="43"/>
      <c r="D13" s="43"/>
      <c r="E13" s="43"/>
      <c r="F13" s="43"/>
    </row>
    <row r="14" spans="1:12" ht="28.5" customHeight="1">
      <c r="A14" s="80"/>
      <c r="B14" s="29"/>
      <c r="C14" s="39"/>
      <c r="D14" s="84"/>
      <c r="E14" s="85"/>
      <c r="F14" s="64"/>
    </row>
    <row r="15" spans="1:12" ht="28.5" customHeight="1">
      <c r="A15" s="90" t="s">
        <v>73</v>
      </c>
      <c r="B15" s="91" t="s">
        <v>76</v>
      </c>
      <c r="C15" s="87" t="s">
        <v>75</v>
      </c>
      <c r="D15" s="88">
        <f>500*265</f>
        <v>132500</v>
      </c>
      <c r="E15" s="99">
        <f>2007/1000</f>
        <v>2.0070000000000001</v>
      </c>
      <c r="F15" s="64">
        <f>D15*E15</f>
        <v>265927.5</v>
      </c>
      <c r="G15"/>
      <c r="I15"/>
      <c r="J15"/>
      <c r="L15" s="92"/>
    </row>
    <row r="16" spans="1:12" ht="28.5" customHeight="1">
      <c r="A16" s="90" t="s">
        <v>78</v>
      </c>
      <c r="B16" s="91" t="s">
        <v>74</v>
      </c>
      <c r="C16" s="87" t="s">
        <v>77</v>
      </c>
      <c r="D16" s="88">
        <f>53000/1000</f>
        <v>53</v>
      </c>
      <c r="E16" s="98">
        <v>1969</v>
      </c>
      <c r="F16" s="64">
        <f>D16*E16</f>
        <v>104357</v>
      </c>
      <c r="G16"/>
      <c r="H16"/>
      <c r="I16"/>
      <c r="J16"/>
      <c r="L16" s="92"/>
    </row>
    <row r="17" spans="1:12" ht="28.5" customHeight="1">
      <c r="A17" s="90" t="s">
        <v>80</v>
      </c>
      <c r="B17" s="91" t="s">
        <v>79</v>
      </c>
      <c r="C17" s="87" t="s">
        <v>75</v>
      </c>
      <c r="D17" s="88">
        <v>100</v>
      </c>
      <c r="E17" s="101">
        <v>24</v>
      </c>
      <c r="F17" s="64">
        <f>D17*E17</f>
        <v>2400</v>
      </c>
      <c r="G17"/>
      <c r="I17"/>
      <c r="J17"/>
      <c r="L17" s="92"/>
    </row>
    <row r="18" spans="1:12" ht="28.5" customHeight="1">
      <c r="A18" s="90" t="s">
        <v>78</v>
      </c>
      <c r="B18" s="91" t="s">
        <v>81</v>
      </c>
      <c r="C18" s="87" t="s">
        <v>67</v>
      </c>
      <c r="D18" s="88">
        <v>72</v>
      </c>
      <c r="E18" s="100">
        <v>1000</v>
      </c>
      <c r="F18" s="64">
        <f>D18*E18</f>
        <v>72000</v>
      </c>
      <c r="G18"/>
      <c r="I18"/>
      <c r="J18"/>
      <c r="L18" s="92"/>
    </row>
    <row r="19" spans="1:12" ht="28.5" customHeight="1">
      <c r="A19" s="90" t="s">
        <v>63</v>
      </c>
      <c r="B19" s="91" t="s">
        <v>64</v>
      </c>
      <c r="C19" s="87" t="s">
        <v>62</v>
      </c>
      <c r="D19" s="88">
        <v>900</v>
      </c>
      <c r="E19" s="89">
        <f>35500/3785.41</f>
        <v>9.3781122784586088</v>
      </c>
      <c r="F19" s="64">
        <f>D19*E19</f>
        <v>8440.3010506127484</v>
      </c>
      <c r="G19"/>
      <c r="I19"/>
      <c r="J19"/>
      <c r="L19" s="93"/>
    </row>
    <row r="20" spans="1:12" ht="28.5" customHeight="1">
      <c r="A20" s="48" t="s">
        <v>52</v>
      </c>
      <c r="B20" s="15"/>
      <c r="C20" s="38"/>
      <c r="D20" s="16"/>
      <c r="E20" s="41"/>
      <c r="F20" s="43"/>
    </row>
    <row r="21" spans="1:12" ht="28.5" customHeight="1">
      <c r="A21" s="80"/>
      <c r="B21" s="29"/>
      <c r="C21" s="39"/>
      <c r="D21" s="40"/>
      <c r="E21" s="60"/>
      <c r="F21" s="58">
        <f>D21*E21</f>
        <v>0</v>
      </c>
    </row>
    <row r="22" spans="1:12" ht="28.5" customHeight="1">
      <c r="A22" s="127" t="s">
        <v>55</v>
      </c>
      <c r="B22" s="128"/>
      <c r="C22" s="128"/>
      <c r="D22" s="128"/>
      <c r="E22" s="129"/>
      <c r="F22" s="81">
        <f>SUM(F14:F21)</f>
        <v>453124.80105061276</v>
      </c>
    </row>
    <row r="23" spans="1:12" ht="28.5" customHeight="1">
      <c r="A23" s="124"/>
      <c r="B23" s="125"/>
      <c r="C23" s="125"/>
      <c r="D23" s="125"/>
      <c r="E23" s="125"/>
      <c r="F23" s="126"/>
    </row>
    <row r="24" spans="1:12" ht="36.75" customHeight="1">
      <c r="A24" s="127" t="s">
        <v>25</v>
      </c>
      <c r="B24" s="129"/>
      <c r="C24" s="50" t="s">
        <v>13</v>
      </c>
      <c r="D24" s="51" t="s">
        <v>6</v>
      </c>
      <c r="E24" s="52" t="s">
        <v>24</v>
      </c>
      <c r="F24" s="46" t="s">
        <v>51</v>
      </c>
    </row>
    <row r="25" spans="1:12">
      <c r="A25" s="140" t="s">
        <v>27</v>
      </c>
      <c r="B25" s="141"/>
      <c r="C25" s="16"/>
      <c r="D25" s="16"/>
      <c r="E25" s="30"/>
      <c r="F25" s="43"/>
    </row>
    <row r="26" spans="1:12">
      <c r="A26" s="138" t="s">
        <v>58</v>
      </c>
      <c r="B26" s="139"/>
      <c r="C26" s="87" t="s">
        <v>26</v>
      </c>
      <c r="D26" s="16">
        <f>3+3+4+4+4+2+2+2+3+3+2+3+2</f>
        <v>37</v>
      </c>
      <c r="E26" s="30">
        <f>38000/8</f>
        <v>4750</v>
      </c>
      <c r="F26" s="44">
        <f t="shared" ref="F26:F34" si="0">D26*E26</f>
        <v>175750</v>
      </c>
      <c r="G26"/>
    </row>
    <row r="27" spans="1:12">
      <c r="A27" s="97" t="s">
        <v>70</v>
      </c>
      <c r="B27" s="96"/>
      <c r="C27" s="87" t="s">
        <v>26</v>
      </c>
      <c r="D27" s="16">
        <f>2+2+3+4</f>
        <v>11</v>
      </c>
      <c r="E27" s="30">
        <f t="shared" ref="E27:E34" si="1">38000/8</f>
        <v>4750</v>
      </c>
      <c r="F27" s="44">
        <f t="shared" si="0"/>
        <v>52250</v>
      </c>
      <c r="G27"/>
    </row>
    <row r="28" spans="1:12">
      <c r="A28" s="97" t="s">
        <v>71</v>
      </c>
      <c r="B28" s="96"/>
      <c r="C28" s="87" t="s">
        <v>26</v>
      </c>
      <c r="D28" s="16">
        <f>3</f>
        <v>3</v>
      </c>
      <c r="E28" s="30">
        <f t="shared" si="1"/>
        <v>4750</v>
      </c>
      <c r="F28" s="44">
        <f t="shared" si="0"/>
        <v>14250</v>
      </c>
      <c r="G28"/>
    </row>
    <row r="29" spans="1:12">
      <c r="A29" s="138" t="s">
        <v>59</v>
      </c>
      <c r="B29" s="139"/>
      <c r="C29" s="16" t="s">
        <v>26</v>
      </c>
      <c r="D29" s="16">
        <f>3+3+2+3+3</f>
        <v>14</v>
      </c>
      <c r="E29" s="30">
        <f t="shared" si="1"/>
        <v>4750</v>
      </c>
      <c r="F29" s="44">
        <f t="shared" si="0"/>
        <v>66500</v>
      </c>
      <c r="G29"/>
    </row>
    <row r="30" spans="1:12">
      <c r="A30" s="138" t="s">
        <v>60</v>
      </c>
      <c r="B30" s="139"/>
      <c r="C30" s="16" t="s">
        <v>26</v>
      </c>
      <c r="D30" s="16">
        <f>3+4+4+4+4+4</f>
        <v>23</v>
      </c>
      <c r="E30" s="30">
        <f t="shared" si="1"/>
        <v>4750</v>
      </c>
      <c r="F30" s="44">
        <f t="shared" si="0"/>
        <v>109250</v>
      </c>
      <c r="G30"/>
    </row>
    <row r="31" spans="1:12">
      <c r="A31" s="97" t="s">
        <v>72</v>
      </c>
      <c r="B31" s="96"/>
      <c r="C31" s="16" t="s">
        <v>26</v>
      </c>
      <c r="D31" s="16">
        <f>3</f>
        <v>3</v>
      </c>
      <c r="E31" s="30">
        <f t="shared" si="1"/>
        <v>4750</v>
      </c>
      <c r="F31" s="44">
        <f t="shared" si="0"/>
        <v>14250</v>
      </c>
      <c r="G31"/>
    </row>
    <row r="32" spans="1:12">
      <c r="A32" s="138" t="s">
        <v>61</v>
      </c>
      <c r="B32" s="139"/>
      <c r="C32" s="16" t="s">
        <v>26</v>
      </c>
      <c r="D32" s="16">
        <f>2+2+3+4+2+3+3+3+4+4+4+4+3+4+3+3</f>
        <v>51</v>
      </c>
      <c r="E32" s="30">
        <f t="shared" si="1"/>
        <v>4750</v>
      </c>
      <c r="F32" s="44">
        <f t="shared" si="0"/>
        <v>242250</v>
      </c>
      <c r="G32"/>
    </row>
    <row r="33" spans="1:8">
      <c r="A33" s="138" t="s">
        <v>82</v>
      </c>
      <c r="B33" s="139"/>
      <c r="C33" s="87" t="s">
        <v>26</v>
      </c>
      <c r="D33" s="87">
        <f>4+4+4+4+4+3+4+4+4+3+3+3+2</f>
        <v>46</v>
      </c>
      <c r="E33" s="30">
        <f t="shared" si="1"/>
        <v>4750</v>
      </c>
      <c r="F33" s="44">
        <f t="shared" si="0"/>
        <v>218500</v>
      </c>
      <c r="G33"/>
    </row>
    <row r="34" spans="1:8">
      <c r="A34" s="138" t="s">
        <v>69</v>
      </c>
      <c r="B34" s="139"/>
      <c r="C34" s="16" t="s">
        <v>26</v>
      </c>
      <c r="D34" s="16">
        <v>3</v>
      </c>
      <c r="E34" s="30">
        <f t="shared" si="1"/>
        <v>4750</v>
      </c>
      <c r="F34" s="44">
        <f t="shared" si="0"/>
        <v>14250</v>
      </c>
      <c r="G34"/>
    </row>
    <row r="35" spans="1:8" ht="30" customHeight="1">
      <c r="A35" s="127" t="s">
        <v>7</v>
      </c>
      <c r="B35" s="128"/>
      <c r="C35" s="128"/>
      <c r="D35" s="128"/>
      <c r="E35" s="129"/>
      <c r="F35" s="81">
        <f>SUM(F25:F34)</f>
        <v>907250</v>
      </c>
      <c r="G35"/>
    </row>
    <row r="36" spans="1:8">
      <c r="A36" s="136"/>
      <c r="B36" s="136"/>
      <c r="C36" s="136"/>
      <c r="D36" s="136"/>
      <c r="E36" s="136"/>
      <c r="F36" s="137"/>
    </row>
    <row r="37" spans="1:8" ht="38.25" customHeight="1">
      <c r="A37" s="118" t="s">
        <v>8</v>
      </c>
      <c r="B37" s="119"/>
      <c r="C37" s="119"/>
      <c r="D37" s="119"/>
      <c r="E37" s="120"/>
      <c r="F37" s="66">
        <f>F22+F35</f>
        <v>1360374.8010506127</v>
      </c>
    </row>
    <row r="38" spans="1:8">
      <c r="A38" s="124"/>
      <c r="B38" s="125"/>
      <c r="C38" s="125"/>
      <c r="D38" s="125"/>
      <c r="E38" s="125"/>
      <c r="F38" s="126"/>
    </row>
    <row r="39" spans="1:8" ht="30">
      <c r="A39" s="49" t="s">
        <v>30</v>
      </c>
      <c r="B39" s="46" t="s">
        <v>5</v>
      </c>
      <c r="C39" s="46" t="s">
        <v>13</v>
      </c>
      <c r="D39" s="46" t="s">
        <v>6</v>
      </c>
      <c r="E39" s="46" t="s">
        <v>24</v>
      </c>
      <c r="F39" s="46" t="s">
        <v>51</v>
      </c>
    </row>
    <row r="40" spans="1:8">
      <c r="A40" s="49" t="s">
        <v>9</v>
      </c>
      <c r="B40" s="14"/>
      <c r="C40" s="22"/>
      <c r="D40" s="23"/>
      <c r="E40" s="14"/>
      <c r="F40" s="44"/>
    </row>
    <row r="41" spans="1:8">
      <c r="A41" s="86" t="s">
        <v>65</v>
      </c>
      <c r="B41" s="94" t="s">
        <v>66</v>
      </c>
      <c r="C41" s="26" t="s">
        <v>67</v>
      </c>
      <c r="D41" s="16">
        <v>19</v>
      </c>
      <c r="E41" s="95">
        <f>9100/3.78</f>
        <v>2407.4074074074074</v>
      </c>
      <c r="F41" s="44">
        <f>D41*E41</f>
        <v>45740.740740740737</v>
      </c>
      <c r="G41"/>
    </row>
    <row r="42" spans="1:8">
      <c r="A42" s="17"/>
      <c r="B42" s="24"/>
      <c r="C42" s="25"/>
      <c r="D42" s="21"/>
      <c r="E42" s="42"/>
      <c r="F42" s="43"/>
    </row>
    <row r="43" spans="1:8" ht="24.75" customHeight="1">
      <c r="A43" s="128" t="s">
        <v>18</v>
      </c>
      <c r="B43" s="128"/>
      <c r="C43" s="128"/>
      <c r="D43" s="128"/>
      <c r="E43" s="129"/>
      <c r="F43" s="102">
        <f>SUM(F40:F42)</f>
        <v>45740.740740740737</v>
      </c>
      <c r="G43"/>
    </row>
    <row r="44" spans="1:8" ht="30">
      <c r="A44" s="116" t="s">
        <v>1</v>
      </c>
      <c r="B44" s="117"/>
      <c r="C44" s="46" t="s">
        <v>13</v>
      </c>
      <c r="D44" s="46" t="s">
        <v>6</v>
      </c>
      <c r="E44" s="46" t="s">
        <v>24</v>
      </c>
      <c r="F44" s="46" t="s">
        <v>51</v>
      </c>
    </row>
    <row r="45" spans="1:8" ht="16.5" customHeight="1">
      <c r="A45" s="130" t="s">
        <v>15</v>
      </c>
      <c r="B45" s="131"/>
      <c r="C45" s="26" t="s">
        <v>16</v>
      </c>
      <c r="D45" s="16">
        <v>1</v>
      </c>
      <c r="E45" s="79">
        <v>200000</v>
      </c>
      <c r="F45" s="45">
        <f>(D45*E45)</f>
        <v>200000</v>
      </c>
      <c r="G45"/>
    </row>
    <row r="46" spans="1:8">
      <c r="A46" s="132" t="s">
        <v>17</v>
      </c>
      <c r="B46" s="133"/>
      <c r="C46" s="26" t="s">
        <v>16</v>
      </c>
      <c r="D46" s="16">
        <v>1</v>
      </c>
      <c r="E46" s="27">
        <f>(1985916*18000)/500000</f>
        <v>71492.975999999995</v>
      </c>
      <c r="F46" s="59">
        <f>(D46*E46)</f>
        <v>71492.975999999995</v>
      </c>
      <c r="G46" s="103"/>
      <c r="H46" s="65"/>
    </row>
    <row r="47" spans="1:8" ht="30" customHeight="1">
      <c r="A47" s="127" t="s">
        <v>31</v>
      </c>
      <c r="B47" s="128"/>
      <c r="C47" s="128"/>
      <c r="D47" s="128"/>
      <c r="E47" s="129"/>
      <c r="F47" s="82">
        <f>SUM(F45:F46)</f>
        <v>271492.97600000002</v>
      </c>
      <c r="G47" s="103"/>
    </row>
    <row r="48" spans="1:8">
      <c r="A48" s="28"/>
      <c r="B48" s="19"/>
      <c r="C48" s="20"/>
      <c r="D48" s="18"/>
      <c r="E48" s="19"/>
      <c r="F48" s="44"/>
    </row>
    <row r="49" spans="1:9" ht="30">
      <c r="A49" s="116" t="s">
        <v>10</v>
      </c>
      <c r="B49" s="117"/>
      <c r="C49" s="46" t="s">
        <v>13</v>
      </c>
      <c r="D49" s="46" t="s">
        <v>6</v>
      </c>
      <c r="E49" s="46" t="s">
        <v>24</v>
      </c>
      <c r="F49" s="46" t="s">
        <v>51</v>
      </c>
      <c r="G49" s="76"/>
      <c r="H49" s="76"/>
      <c r="I49" s="76"/>
    </row>
    <row r="50" spans="1:9">
      <c r="A50" s="134" t="s">
        <v>83</v>
      </c>
      <c r="B50" s="135"/>
      <c r="C50" s="16" t="s">
        <v>26</v>
      </c>
      <c r="D50" s="16">
        <f>4+2</f>
        <v>6</v>
      </c>
      <c r="E50" s="30">
        <f>38000/8</f>
        <v>4750</v>
      </c>
      <c r="F50" s="44">
        <f>D50*E50</f>
        <v>28500</v>
      </c>
    </row>
    <row r="51" spans="1:9" ht="24" customHeight="1">
      <c r="A51" s="127" t="s">
        <v>11</v>
      </c>
      <c r="B51" s="128"/>
      <c r="C51" s="128"/>
      <c r="D51" s="128"/>
      <c r="E51" s="129"/>
      <c r="F51" s="81">
        <f>SUM(F50:F50)</f>
        <v>28500</v>
      </c>
      <c r="G51" s="56"/>
    </row>
    <row r="52" spans="1:9">
      <c r="A52" s="124"/>
      <c r="B52" s="125"/>
      <c r="C52" s="125"/>
      <c r="D52" s="125"/>
      <c r="E52" s="125"/>
      <c r="F52" s="126"/>
    </row>
    <row r="53" spans="1:9" ht="30.75" customHeight="1">
      <c r="A53" s="118" t="s">
        <v>32</v>
      </c>
      <c r="B53" s="119"/>
      <c r="C53" s="119"/>
      <c r="D53" s="119"/>
      <c r="E53" s="120"/>
      <c r="F53" s="66">
        <f>F43+F47+F51</f>
        <v>345733.71674074075</v>
      </c>
      <c r="G53"/>
    </row>
    <row r="54" spans="1:9" ht="15.75">
      <c r="A54" s="121"/>
      <c r="B54" s="122"/>
      <c r="C54" s="122"/>
      <c r="D54" s="122"/>
      <c r="E54" s="122"/>
      <c r="F54" s="123"/>
    </row>
    <row r="55" spans="1:9" ht="36.75" customHeight="1">
      <c r="A55" s="118" t="s">
        <v>12</v>
      </c>
      <c r="B55" s="119"/>
      <c r="C55" s="119"/>
      <c r="D55" s="119"/>
      <c r="E55" s="120"/>
      <c r="F55" s="66">
        <f>F37+F53</f>
        <v>1706108.5177913534</v>
      </c>
    </row>
    <row r="56" spans="1:9">
      <c r="B56" s="31"/>
      <c r="C56" s="32"/>
      <c r="D56" s="32"/>
      <c r="E56" s="33"/>
    </row>
    <row r="57" spans="1:9" ht="15.75">
      <c r="A57" s="107" t="s">
        <v>57</v>
      </c>
      <c r="B57" s="107"/>
      <c r="C57" s="107"/>
      <c r="D57" s="107"/>
      <c r="E57" s="107"/>
      <c r="F57" s="70">
        <v>0</v>
      </c>
      <c r="G57"/>
    </row>
    <row r="58" spans="1:9" ht="15" customHeight="1">
      <c r="A58" s="108" t="s">
        <v>35</v>
      </c>
      <c r="B58" s="109"/>
      <c r="C58" s="109"/>
      <c r="D58" s="109"/>
      <c r="E58" s="110"/>
      <c r="F58" s="83" t="str">
        <f>IF(F57=0,"--",F55/F57)</f>
        <v>--</v>
      </c>
      <c r="G58"/>
    </row>
    <row r="59" spans="1:9" ht="15" customHeight="1">
      <c r="A59" s="56"/>
      <c r="B59" s="56"/>
      <c r="C59" s="63"/>
      <c r="E59" s="34"/>
    </row>
    <row r="60" spans="1:9">
      <c r="A60" s="61"/>
      <c r="B60" s="62"/>
      <c r="C60" s="35"/>
      <c r="D60" s="36"/>
      <c r="E60" s="36"/>
    </row>
    <row r="61" spans="1:9">
      <c r="A61" s="61"/>
      <c r="B61" s="62"/>
      <c r="C61" s="35"/>
      <c r="D61" s="36"/>
      <c r="E61" s="36"/>
    </row>
    <row r="62" spans="1:9" ht="15.75">
      <c r="A62" s="67" t="s">
        <v>39</v>
      </c>
      <c r="B62" s="111" t="s">
        <v>54</v>
      </c>
      <c r="C62" s="111"/>
      <c r="D62" s="111"/>
      <c r="E62" s="68"/>
      <c r="F62" t="s">
        <v>84</v>
      </c>
    </row>
    <row r="63" spans="1:9" ht="15.75">
      <c r="A63" s="70" t="s">
        <v>36</v>
      </c>
      <c r="B63" s="112">
        <v>43578</v>
      </c>
      <c r="C63" s="113"/>
      <c r="D63" s="113"/>
      <c r="E63" s="69"/>
      <c r="F63" s="69"/>
    </row>
    <row r="64" spans="1:9" ht="15.75">
      <c r="A64" s="71"/>
      <c r="B64" s="72"/>
      <c r="C64" s="72"/>
      <c r="D64" s="72"/>
      <c r="E64" s="69"/>
      <c r="F64" s="69"/>
    </row>
    <row r="65" spans="1:6" ht="15.75">
      <c r="A65" s="106" t="s">
        <v>44</v>
      </c>
      <c r="B65" s="106"/>
      <c r="C65" s="106"/>
      <c r="D65" s="106"/>
      <c r="E65" s="106"/>
      <c r="F65" s="106"/>
    </row>
    <row r="66" spans="1:6" ht="47.25">
      <c r="A66" s="75" t="s">
        <v>45</v>
      </c>
      <c r="B66" s="73" t="s">
        <v>37</v>
      </c>
      <c r="C66" s="114"/>
      <c r="D66" s="115"/>
      <c r="E66" s="67" t="s">
        <v>38</v>
      </c>
      <c r="F66" s="78"/>
    </row>
    <row r="67" spans="1:6" ht="15.75">
      <c r="A67" s="70" t="s">
        <v>46</v>
      </c>
      <c r="B67" s="74" t="s">
        <v>36</v>
      </c>
      <c r="C67" s="104"/>
      <c r="D67" s="105"/>
      <c r="E67" s="70" t="s">
        <v>36</v>
      </c>
      <c r="F67" s="77"/>
    </row>
  </sheetData>
  <mergeCells count="33">
    <mergeCell ref="A43:E43"/>
    <mergeCell ref="A25:B25"/>
    <mergeCell ref="A32:B32"/>
    <mergeCell ref="A38:F38"/>
    <mergeCell ref="A34:B34"/>
    <mergeCell ref="A23:F23"/>
    <mergeCell ref="A36:F36"/>
    <mergeCell ref="A22:E22"/>
    <mergeCell ref="A35:E35"/>
    <mergeCell ref="A37:E37"/>
    <mergeCell ref="A33:B33"/>
    <mergeCell ref="A24:B24"/>
    <mergeCell ref="A26:B26"/>
    <mergeCell ref="A29:B29"/>
    <mergeCell ref="A30:B30"/>
    <mergeCell ref="A44:B44"/>
    <mergeCell ref="A49:B49"/>
    <mergeCell ref="A55:E55"/>
    <mergeCell ref="A54:F54"/>
    <mergeCell ref="A52:F52"/>
    <mergeCell ref="A47:E47"/>
    <mergeCell ref="A51:E51"/>
    <mergeCell ref="A53:E53"/>
    <mergeCell ref="A45:B45"/>
    <mergeCell ref="A46:B46"/>
    <mergeCell ref="A50:B50"/>
    <mergeCell ref="C67:D67"/>
    <mergeCell ref="A65:F65"/>
    <mergeCell ref="A57:E57"/>
    <mergeCell ref="A58:E58"/>
    <mergeCell ref="B62:D62"/>
    <mergeCell ref="B63:D63"/>
    <mergeCell ref="C66:D66"/>
  </mergeCells>
  <pageMargins left="0.7" right="0.7" top="0.75" bottom="0.75" header="0.3" footer="0.3"/>
  <pageSetup paperSize="5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topLeftCell="C1" workbookViewId="0">
      <selection activeCell="I6" sqref="I6"/>
    </sheetView>
  </sheetViews>
  <sheetFormatPr baseColWidth="10" defaultColWidth="11.42578125" defaultRowHeight="12.75"/>
  <cols>
    <col min="1" max="1" width="11.42578125" style="1"/>
    <col min="2" max="2" width="29" style="1" customWidth="1"/>
    <col min="3" max="3" width="13.85546875" style="1" customWidth="1"/>
    <col min="4" max="6" width="13" style="1" bestFit="1" customWidth="1"/>
    <col min="7" max="7" width="12" style="1" bestFit="1" customWidth="1"/>
    <col min="8" max="8" width="14.5703125" style="1" bestFit="1" customWidth="1"/>
    <col min="9" max="16384" width="11.42578125" style="1"/>
  </cols>
  <sheetData>
    <row r="1" spans="2:12">
      <c r="B1" s="142" t="s">
        <v>85</v>
      </c>
      <c r="C1" s="142"/>
      <c r="D1" s="142"/>
      <c r="E1" s="142"/>
      <c r="F1" s="142"/>
      <c r="G1" s="142"/>
      <c r="H1" s="142"/>
    </row>
    <row r="2" spans="2:12">
      <c r="B2" s="142"/>
      <c r="C2" s="142"/>
      <c r="D2" s="142"/>
      <c r="E2" s="142"/>
      <c r="F2" s="142"/>
      <c r="G2" s="142"/>
      <c r="H2" s="142"/>
    </row>
    <row r="3" spans="2:12">
      <c r="B3" s="142"/>
      <c r="C3" s="142"/>
      <c r="D3" s="142"/>
      <c r="E3" s="142"/>
      <c r="F3" s="142"/>
      <c r="G3" s="142"/>
      <c r="H3" s="142"/>
    </row>
    <row r="4" spans="2:12" ht="38.25">
      <c r="B4" s="10" t="s">
        <v>19</v>
      </c>
      <c r="C4" s="11" t="s">
        <v>56</v>
      </c>
      <c r="D4" s="11" t="s">
        <v>0</v>
      </c>
      <c r="E4" s="11" t="s">
        <v>2</v>
      </c>
      <c r="F4" s="11" t="s">
        <v>1</v>
      </c>
      <c r="G4" s="11" t="s">
        <v>10</v>
      </c>
      <c r="H4" s="11" t="s">
        <v>3</v>
      </c>
    </row>
    <row r="5" spans="2:12">
      <c r="B5" s="2" t="s">
        <v>4</v>
      </c>
      <c r="C5" s="3">
        <f>'COSTOS MANGO'!F22</f>
        <v>453124.80105061276</v>
      </c>
      <c r="D5" s="3">
        <f>'COSTOS MANGO'!F35</f>
        <v>907250</v>
      </c>
      <c r="E5" s="3">
        <f>'COSTOS MANGO'!F43</f>
        <v>45740.740740740737</v>
      </c>
      <c r="F5" s="3">
        <f>'COSTOS MANGO'!F47</f>
        <v>271492.97600000002</v>
      </c>
      <c r="G5" s="3">
        <f>'COSTOS MANGO'!F51</f>
        <v>28500</v>
      </c>
      <c r="H5" s="3">
        <f>SUM(C5:G5)</f>
        <v>1706108.5177913534</v>
      </c>
    </row>
    <row r="6" spans="2:12">
      <c r="B6" s="2" t="s">
        <v>14</v>
      </c>
      <c r="C6" s="4">
        <f>C5/H5</f>
        <v>0.26558967165652891</v>
      </c>
      <c r="D6" s="4">
        <f>D5/H5</f>
        <v>0.53176570572104198</v>
      </c>
      <c r="E6" s="4">
        <f>E5/H5</f>
        <v>2.680998322425265E-2</v>
      </c>
      <c r="F6" s="4">
        <f>F5/H5</f>
        <v>0.15912995754306525</v>
      </c>
      <c r="G6" s="4">
        <f>G5/H5</f>
        <v>1.6704681855111269E-2</v>
      </c>
      <c r="H6" s="5">
        <f>SUM(C6:G6)</f>
        <v>1</v>
      </c>
      <c r="I6" s="6"/>
    </row>
    <row r="8" spans="2:12">
      <c r="D8" s="9"/>
      <c r="J8" s="7"/>
    </row>
    <row r="10" spans="2:12">
      <c r="L10" s="12"/>
    </row>
    <row r="13" spans="2:12">
      <c r="L13" s="12"/>
    </row>
    <row r="14" spans="2:12">
      <c r="K14" s="8"/>
    </row>
    <row r="21" spans="12:12">
      <c r="L21" s="12"/>
    </row>
  </sheetData>
  <mergeCells count="1">
    <mergeCell ref="B1:H3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MANGO</vt:lpstr>
      <vt:lpstr>GRAFICA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2019-04-25T17:35:04Z</cp:lastPrinted>
  <dcterms:created xsi:type="dcterms:W3CDTF">2014-09-10T02:29:02Z</dcterms:created>
  <dcterms:modified xsi:type="dcterms:W3CDTF">2019-04-25T17:36:00Z</dcterms:modified>
</cp:coreProperties>
</file>