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050"/>
  </bookViews>
  <sheets>
    <sheet name="COSTOS LIMAS ACIDAS Y CITRICOS" sheetId="1" r:id="rId1"/>
    <sheet name="GRAFICA LIMAS ACIDAS" sheetId="6" r:id="rId2"/>
    <sheet name="GRAFICA CITRICOS" sheetId="9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F53" i="1" l="1"/>
  <c r="F27" i="1"/>
  <c r="G20" i="1"/>
  <c r="F20" i="1"/>
  <c r="F19" i="1"/>
  <c r="F14" i="1"/>
  <c r="G21" i="1" l="1"/>
  <c r="F21" i="1"/>
  <c r="F22" i="1" l="1"/>
  <c r="G23" i="1" l="1"/>
  <c r="F28" i="1" l="1"/>
  <c r="F32" i="1" l="1"/>
  <c r="G41" i="1"/>
  <c r="G40" i="1"/>
  <c r="F31" i="1"/>
  <c r="G14" i="1" l="1"/>
  <c r="F16" i="1"/>
  <c r="F18" i="1"/>
  <c r="F17" i="1"/>
  <c r="G42" i="1" l="1"/>
  <c r="F34" i="1"/>
  <c r="F33" i="1"/>
  <c r="G58" i="1"/>
  <c r="F58" i="1"/>
  <c r="G22" i="1"/>
  <c r="F23" i="1" l="1"/>
  <c r="G39" i="1"/>
  <c r="F30" i="1"/>
  <c r="F35" i="1"/>
  <c r="F29" i="1"/>
  <c r="G38" i="1"/>
  <c r="G37" i="1"/>
  <c r="E54" i="1" l="1"/>
  <c r="F60" i="1" l="1"/>
  <c r="G60" i="1"/>
  <c r="F54" i="1"/>
  <c r="G53" i="1"/>
  <c r="F55" i="1"/>
  <c r="G51" i="1"/>
  <c r="G62" i="1" s="1"/>
  <c r="F51" i="1"/>
  <c r="F62" i="1" l="1"/>
  <c r="G54" i="1"/>
  <c r="G55" i="1" s="1"/>
  <c r="C5" i="9"/>
  <c r="E5" i="9"/>
  <c r="E5" i="6"/>
  <c r="F5" i="6"/>
  <c r="G43" i="1" l="1"/>
  <c r="G45" i="1" s="1"/>
  <c r="G64" i="1" s="1"/>
  <c r="G67" i="1" s="1"/>
  <c r="F43" i="1"/>
  <c r="D5" i="6" s="1"/>
  <c r="C5" i="6"/>
  <c r="F5" i="9"/>
  <c r="G5" i="6"/>
  <c r="H5" i="6" l="1"/>
  <c r="F6" i="6" s="1"/>
  <c r="F45" i="1"/>
  <c r="F64" i="1" s="1"/>
  <c r="F67" i="1" s="1"/>
  <c r="C6" i="6"/>
  <c r="D5" i="9"/>
  <c r="G5" i="9"/>
  <c r="D6" i="6" l="1"/>
  <c r="E6" i="6"/>
  <c r="G6" i="6"/>
  <c r="H5" i="9"/>
  <c r="H6" i="6" l="1"/>
  <c r="E6" i="9"/>
  <c r="C6" i="9"/>
  <c r="F6" i="9"/>
  <c r="D6" i="9"/>
  <c r="G6" i="9"/>
  <c r="H6" i="9" l="1"/>
</calcChain>
</file>

<file path=xl/comments1.xml><?xml version="1.0" encoding="utf-8"?>
<comments xmlns="http://schemas.openxmlformats.org/spreadsheetml/2006/main">
  <authors>
    <author>Usuario</author>
    <author>GOLDEN-PC</author>
    <author>FREDI</author>
  </authors>
  <commentList>
    <comment ref="E1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EL 20% DE LA APLICACION SE REALIZO EN LIMAS ACIDAS Y EL 80% EN LIMAS DULCES.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VALOR DEL ML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EL 20% DE LA APLICACION SE REALIZO EN LIMAS ACIDAS Y EL 80% SE REALIZO EN LIMAS DULCES. 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VALOR DEL ML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EL 40% DE LA FERTILIZACION SE REALIZO EN ACIDAS Y EL 60% EN LIMAS DULCES. 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suministrado por bioinsumos
VALOR DEL LITRO</t>
        </r>
      </text>
    </comment>
    <comment ref="E49" authorId="0" shapeId="0">
      <text>
        <r>
          <rPr>
            <b/>
            <sz val="9"/>
            <color indexed="81"/>
            <rFont val="Tahoma"/>
            <charset val="1"/>
          </rPr>
          <t>1 GALON DE GASOLINA VALE $ 9,670 Y EQUIVALE A 3,78 LITROS</t>
        </r>
      </text>
    </comment>
    <comment ref="A59" authorId="1" shapeId="0">
      <text>
        <r>
          <rPr>
            <b/>
            <sz val="9"/>
            <color indexed="81"/>
            <rFont val="Tahoma"/>
            <family val="2"/>
          </rPr>
          <t>control de arvenses 
adecuacion de postes 
lavado de tanques
limpieza de barbechos
adecuacion de pediluvio</t>
        </r>
      </text>
    </comment>
    <comment ref="G66" authorId="2" shapeId="0">
      <text>
        <r>
          <rPr>
            <b/>
            <sz val="9"/>
            <color indexed="81"/>
            <rFont val="Tahoma"/>
            <family val="2"/>
          </rPr>
          <t>PRODUCTOS EN PROCESO</t>
        </r>
      </text>
    </comment>
  </commentList>
</comments>
</file>

<file path=xl/sharedStrings.xml><?xml version="1.0" encoding="utf-8"?>
<sst xmlns="http://schemas.openxmlformats.org/spreadsheetml/2006/main" count="154" uniqueCount="98">
  <si>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</si>
  <si>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</si>
  <si>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</si>
  <si>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</si>
  <si>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</si>
  <si>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</si>
  <si>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</si>
  <si>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</si>
  <si>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</si>
  <si>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</si>
  <si>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</si>
  <si>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</si>
  <si>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</si>
  <si>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</si>
  <si>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</si>
  <si>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</si>
  <si>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</si>
  <si>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</si>
  <si>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</si>
  <si>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</si>
  <si>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</si>
  <si>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</si>
  <si>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</si>
  <si>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</si>
  <si>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</si>
  <si>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</si>
  <si>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</si>
  <si>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COSTO TOTAL LIMAS ACIDAS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</si>
  <si>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</si>
  <si>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</si>
  <si>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</si>
  <si>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</si>
  <si>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</si>
  <si>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</si>
  <si>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>PRODUCCION EN KG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</si>
  <si>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</si>
  <si>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</si>
  <si>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</si>
  <si>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</si>
  <si>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</si>
  <si>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</si>
  <si>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</si>
  <si>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>2,8 ha = 28,000 m²</t>
  </si>
  <si>
    <t xml:space="preserve">FECHA DE SIEMBRA: </t>
  </si>
  <si>
    <t xml:space="preserve"> 28 de Octubre de 2013</t>
  </si>
  <si>
    <t>CONTROL DE DOCUMENTO</t>
  </si>
  <si>
    <t>FECHA: 19-09-2018</t>
  </si>
  <si>
    <t>COSTO TOTAL CITRICOS</t>
  </si>
  <si>
    <t>LIMAS ACIDAS Y CITRICOS</t>
  </si>
  <si>
    <t>ELABORO: MARIA INES MUÑOZ, LINA VARGAS, MIGUEL A. VILLALBA</t>
  </si>
  <si>
    <t>MATERIA PRIMA E INSUMOS  DIRECTOS</t>
  </si>
  <si>
    <t>MATERIA PRIMA</t>
  </si>
  <si>
    <t>MIGUEL ANGEL VILLALBA</t>
  </si>
  <si>
    <t>MANTENIMIENTO LIMAS ACIDAS</t>
  </si>
  <si>
    <t>MANTENIMIENTO CITRICOS</t>
  </si>
  <si>
    <t>INSUMOS DIRECTOS</t>
  </si>
  <si>
    <t>NOTA: PRODUCTOS DE CITRICOS EN PROCESO</t>
  </si>
  <si>
    <t>COSTOS DE PRODUCCIÓN CULTIVO DE CITRICOS MES DE ABRIL DE 2019</t>
  </si>
  <si>
    <t>COSTOS DE PRODUCCIÓN CULTIVO DE LIMAS ACIDAS MES DE ABRIL DE 2019</t>
  </si>
  <si>
    <t>MAYO</t>
  </si>
  <si>
    <t>PASTA CICATRIZANTE</t>
  </si>
  <si>
    <t>GR</t>
  </si>
  <si>
    <t>RAFAGA</t>
  </si>
  <si>
    <t>ML</t>
  </si>
  <si>
    <t>OXICLORURO</t>
  </si>
  <si>
    <t>SUPER MAGRO</t>
  </si>
  <si>
    <t>LT</t>
  </si>
  <si>
    <t>DITHANE</t>
  </si>
  <si>
    <t>Manejo de arvenses ( manual)</t>
  </si>
  <si>
    <t>horas</t>
  </si>
  <si>
    <t>m3</t>
  </si>
  <si>
    <t>PINTURA PREMIUM</t>
  </si>
  <si>
    <t>FUNGICIDA</t>
  </si>
  <si>
    <t>FERTILIZANTE</t>
  </si>
  <si>
    <t>manejo de arvenses (mecanico)</t>
  </si>
  <si>
    <t>Coseha</t>
  </si>
  <si>
    <t>Poda mecanizada</t>
  </si>
  <si>
    <t>Fertilizacion</t>
  </si>
  <si>
    <t xml:space="preserve">fertilizacion </t>
  </si>
  <si>
    <t>Recoleccion de ramas</t>
  </si>
  <si>
    <t>Manejo de arvenses (mecanico)</t>
  </si>
  <si>
    <t>lt</t>
  </si>
  <si>
    <t xml:space="preserve">Agua </t>
  </si>
  <si>
    <t xml:space="preserve">Para fertilizar </t>
  </si>
  <si>
    <t>Horas</t>
  </si>
  <si>
    <t>manteniemiento de la caseta BPA</t>
  </si>
  <si>
    <t>PINTURA</t>
  </si>
  <si>
    <t>INSECTICIDA</t>
  </si>
  <si>
    <t>Recoleccion de fruto</t>
  </si>
  <si>
    <t>Aplicación fitosanitaria</t>
  </si>
  <si>
    <t>plateo</t>
  </si>
  <si>
    <t xml:space="preserve">cicatrizacion </t>
  </si>
  <si>
    <t>manejo de arvenses mecanico (rotospeed)</t>
  </si>
  <si>
    <t>M2</t>
  </si>
  <si>
    <t>CIPERMETRINA</t>
  </si>
  <si>
    <t xml:space="preserve">GASOLINA </t>
  </si>
  <si>
    <t>COMBUSTRIBLE</t>
  </si>
  <si>
    <t>MERTECT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</si>
</sst>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$&quot;\ * #,##0_-;\-&quot;$&quot;\ * #,##0_-;_-&quot;$&quot;\ * &quot;-&quot;_-;_-@_-"/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0" fillId="0" borderId="0" xfId="0" applyFont="1"/>
    <xf numFmtId="0" fontId="7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8" xfId="0" applyFont="1" applyFill="1" applyBorder="1"/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ont="1" applyFill="1" applyBorder="1" applyAlignment="1">
      <alignment horizontal="center"/>
    </xf>
    <xf numFmtId="166" fontId="0" fillId="3" borderId="4" xfId="1" applyNumberFormat="1" applyFont="1" applyFill="1" applyBorder="1"/>
    <xf numFmtId="0" fontId="7" fillId="3" borderId="2" xfId="0" applyFont="1" applyFill="1" applyBorder="1" applyAlignment="1">
      <alignment horizontal="left"/>
    </xf>
    <xf numFmtId="166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6" fontId="7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6" fontId="0" fillId="0" borderId="1" xfId="0" applyNumberFormat="1" applyFont="1" applyBorder="1"/>
    <xf numFmtId="168" fontId="0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left"/>
    </xf>
    <xf numFmtId="166" fontId="0" fillId="0" borderId="1" xfId="1" applyNumberFormat="1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6" fontId="9" fillId="5" borderId="1" xfId="0" applyNumberFormat="1" applyFont="1" applyFill="1" applyBorder="1" applyAlignment="1">
      <alignment vertical="center"/>
    </xf>
    <xf numFmtId="0" fontId="9" fillId="0" borderId="1" xfId="0" applyFont="1" applyFill="1" applyBorder="1"/>
    <xf numFmtId="0" fontId="10" fillId="0" borderId="0" xfId="0" applyFont="1" applyFill="1"/>
    <xf numFmtId="0" fontId="10" fillId="0" borderId="0" xfId="0" applyFont="1"/>
    <xf numFmtId="0" fontId="9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165" fontId="0" fillId="0" borderId="0" xfId="0" applyNumberFormat="1" applyFont="1"/>
    <xf numFmtId="3" fontId="0" fillId="0" borderId="0" xfId="0" applyNumberFormat="1" applyFont="1"/>
    <xf numFmtId="164" fontId="0" fillId="3" borderId="4" xfId="0" applyNumberFormat="1" applyFont="1" applyFill="1" applyBorder="1"/>
    <xf numFmtId="42" fontId="0" fillId="0" borderId="1" xfId="12" applyFont="1" applyBorder="1"/>
    <xf numFmtId="0" fontId="0" fillId="3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6" fontId="7" fillId="4" borderId="1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68" fontId="7" fillId="4" borderId="1" xfId="0" applyNumberFormat="1" applyFont="1" applyFill="1" applyBorder="1" applyAlignment="1">
      <alignment vertical="center"/>
    </xf>
    <xf numFmtId="166" fontId="7" fillId="4" borderId="1" xfId="1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3" borderId="1" xfId="1" applyNumberFormat="1" applyFont="1" applyFill="1" applyBorder="1" applyAlignment="1">
      <alignment horizontal="center" wrapText="1"/>
    </xf>
    <xf numFmtId="0" fontId="0" fillId="0" borderId="0" xfId="0" applyFill="1"/>
    <xf numFmtId="166" fontId="0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166" fontId="0" fillId="0" borderId="0" xfId="1" applyNumberFormat="1" applyFont="1"/>
    <xf numFmtId="42" fontId="0" fillId="0" borderId="1" xfId="0" applyNumberFormat="1" applyFont="1" applyBorder="1"/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166" fontId="0" fillId="0" borderId="1" xfId="0" applyNumberFormat="1" applyFont="1" applyBorder="1" applyAlignment="1">
      <alignment vertical="center"/>
    </xf>
    <xf numFmtId="0" fontId="0" fillId="0" borderId="5" xfId="0" applyFont="1" applyBorder="1" applyAlignment="1">
      <alignment horizontal="left"/>
    </xf>
    <xf numFmtId="42" fontId="1" fillId="3" borderId="1" xfId="12" applyFont="1" applyFill="1" applyBorder="1" applyAlignment="1">
      <alignment horizontal="center" vertical="center" wrapText="1"/>
    </xf>
    <xf numFmtId="166" fontId="0" fillId="0" borderId="0" xfId="0" applyNumberFormat="1" applyFont="1"/>
    <xf numFmtId="166" fontId="0" fillId="3" borderId="1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3" borderId="4" xfId="0" applyFont="1" applyFill="1" applyBorder="1"/>
    <xf numFmtId="42" fontId="0" fillId="0" borderId="0" xfId="0" applyNumberFormat="1"/>
    <xf numFmtId="1" fontId="9" fillId="0" borderId="1" xfId="0" applyNumberFormat="1" applyFont="1" applyBorder="1"/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42" fontId="0" fillId="3" borderId="1" xfId="0" applyNumberFormat="1" applyFont="1" applyFill="1" applyBorder="1" applyAlignment="1">
      <alignment horizontal="center" vertical="center" wrapText="1"/>
    </xf>
    <xf numFmtId="166" fontId="1" fillId="0" borderId="10" xfId="12" applyNumberFormat="1" applyBorder="1" applyAlignment="1" applyProtection="1">
      <alignment horizontal="center" vertical="center"/>
      <protection hidden="1"/>
    </xf>
    <xf numFmtId="42" fontId="1" fillId="0" borderId="10" xfId="2" applyNumberFormat="1" applyBorder="1" applyAlignment="1" applyProtection="1">
      <alignment horizontal="center" vertical="center"/>
      <protection hidden="1"/>
    </xf>
    <xf numFmtId="166" fontId="0" fillId="0" borderId="0" xfId="0" applyNumberFormat="1"/>
    <xf numFmtId="166" fontId="1" fillId="3" borderId="1" xfId="1" applyNumberFormat="1" applyFont="1" applyFill="1" applyBorder="1" applyAlignment="1">
      <alignment horizontal="center" vertical="center" wrapText="1"/>
    </xf>
    <xf numFmtId="42" fontId="0" fillId="0" borderId="0" xfId="0" applyNumberFormat="1" applyFont="1"/>
    <xf numFmtId="0" fontId="0" fillId="3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LIMAS ACIDAS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ABRIL DE 2019</a:t>
            </a:r>
          </a:p>
        </c:rich>
      </c:tx>
      <c:layout>
        <c:manualLayout>
          <c:xMode val="edge"/>
          <c:yMode val="edge"/>
          <c:x val="0.10440788185058959"/>
          <c:y val="5.555555555555551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'GRAFICA LIMAS ACIDAS'!$B$5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LIMAS ACIDAS'!$C$4:$H$4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LIMAS ACIDAS'!$C$5:$H$5</c:f>
              <c:numCache>
                <c:formatCode>_("$"\ * #,##0_);_("$"\ * \(#,##0\);_("$"\ * "-"??_);_(@_)</c:formatCode>
                <c:ptCount val="6"/>
                <c:pt idx="0">
                  <c:v>44429.858666666667</c:v>
                </c:pt>
                <c:pt idx="1">
                  <c:v>321750</c:v>
                </c:pt>
                <c:pt idx="2">
                  <c:v>12791.005291005293</c:v>
                </c:pt>
                <c:pt idx="3">
                  <c:v>155605.64799999999</c:v>
                </c:pt>
                <c:pt idx="4">
                  <c:v>4750</c:v>
                </c:pt>
                <c:pt idx="5">
                  <c:v>539326.51195767196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4516-8405-40AD1D34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0793600"/>
        <c:axId val="60795136"/>
        <c:axId val="60256704"/>
      </c:bar3DChart>
      <c:catAx>
        <c:axId val="607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136"/>
        <c:crosses val="autoZero"/>
        <c:auto val="1"/>
        <c:lblAlgn val="ctr"/>
        <c:lblOffset val="100"/>
        <c:noMultiLvlLbl val="0"/>
      </c:catAx>
      <c:valAx>
        <c:axId val="607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600"/>
        <c:crosses val="autoZero"/>
        <c:crossBetween val="between"/>
      </c:valAx>
      <c:serAx>
        <c:axId val="60256704"/>
        <c:scaling>
          <c:orientation val="minMax"/>
        </c:scaling>
        <c:delete val="1"/>
        <c:axPos val="b"/>
        <c:majorTickMark val="none"/>
        <c:minorTickMark val="none"/>
        <c:tickLblPos val="none"/>
        <c:crossAx val="607951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CITRICOS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ABRIL DE 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'GRAFICA CITRICOS'!$B$5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CITRICOS'!$C$4:$H$4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CITRICOS'!$C$5:$H$5</c:f>
              <c:numCache>
                <c:formatCode>_("$"\ * #,##0_);_("$"\ * \(#,##0\);_("$"\ * "-"??_);_(@_)</c:formatCode>
                <c:ptCount val="6"/>
                <c:pt idx="0">
                  <c:v>113270.048</c:v>
                </c:pt>
                <c:pt idx="1">
                  <c:v>142500</c:v>
                </c:pt>
                <c:pt idx="2">
                  <c:v>76746.03174603176</c:v>
                </c:pt>
                <c:pt idx="3">
                  <c:v>155605.64799999999</c:v>
                </c:pt>
                <c:pt idx="4">
                  <c:v>4750</c:v>
                </c:pt>
                <c:pt idx="5">
                  <c:v>492871.72774603177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C65-B8E2-CCCD10ED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4893696"/>
        <c:axId val="64895232"/>
        <c:axId val="60797824"/>
      </c:bar3DChart>
      <c:catAx>
        <c:axId val="648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5232"/>
        <c:crosses val="autoZero"/>
        <c:auto val="1"/>
        <c:lblAlgn val="ctr"/>
        <c:lblOffset val="100"/>
        <c:noMultiLvlLbl val="0"/>
      </c:catAx>
      <c:valAx>
        <c:axId val="64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3696"/>
        <c:crosses val="autoZero"/>
        <c:crossBetween val="between"/>
      </c:valAx>
      <c:serAx>
        <c:axId val="60797824"/>
        <c:scaling>
          <c:orientation val="minMax"/>
        </c:scaling>
        <c:delete val="1"/>
        <c:axPos val="b"/>
        <c:majorTickMark val="none"/>
        <c:minorTickMark val="none"/>
        <c:tickLblPos val="none"/>
        <c:crossAx val="648952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7</xdr:row>
      <xdr:rowOff>4762</xdr:rowOff>
    </xdr:from>
    <xdr:to>
      <xdr:col>7</xdr:col>
      <xdr:colOff>942975</xdr:colOff>
      <xdr:row>23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176CC3-C962-4668-9856-EF262EBB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6</xdr:row>
      <xdr:rowOff>138112</xdr:rowOff>
    </xdr:from>
    <xdr:to>
      <xdr:col>8</xdr:col>
      <xdr:colOff>19049</xdr:colOff>
      <xdr:row>23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36D3E9-20E6-412D-BD89-55D05FCB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"/>
  <sheetViews>
    <sheetView tabSelected="1" topLeftCell="A28" zoomScale="109" zoomScaleNormal="100" workbookViewId="0">
      <selection activeCell="F28" sqref="F28"/>
    </sheetView>
  </sheetViews>
  <sheetFormatPr baseColWidth="10" defaultColWidth="11.42578125" defaultRowHeight="15" x14ac:dyDescent="0.25"/>
  <cols>
    <col min="1" max="1" width="31.42578125" style="13" customWidth="1"/>
    <col min="2" max="2" width="30.42578125" style="13" customWidth="1"/>
    <col min="3" max="3" width="15.42578125" style="31" customWidth="1"/>
    <col min="4" max="4" width="15" style="13" customWidth="1"/>
    <col min="5" max="5" width="14.42578125" style="13" customWidth="1"/>
    <col min="6" max="6" width="18" style="13" customWidth="1"/>
    <col min="7" max="7" width="18.7109375" style="13" customWidth="1"/>
    <col min="8" max="8" width="18.28515625" style="13" customWidth="1"/>
    <col min="9" max="9" width="12.140625" style="13" bestFit="1" customWidth="1"/>
    <col min="10" max="10" width="14.5703125" style="13" customWidth="1"/>
    <col min="11" max="16384" width="11.42578125" style="13"/>
  </cols>
  <sheetData>
    <row r="1" spans="1:8" ht="34.5" customHeight="1" x14ac:dyDescent="0.25">
      <c r="A1" s="41" t="s">
        <v>29</v>
      </c>
      <c r="B1" s="42"/>
      <c r="C1" s="43"/>
      <c r="D1" s="42"/>
      <c r="E1" s="42"/>
      <c r="F1" s="44"/>
      <c r="G1" s="44"/>
    </row>
    <row r="2" spans="1:8" ht="22.5" customHeight="1" x14ac:dyDescent="0.25">
      <c r="A2" s="41" t="s">
        <v>39</v>
      </c>
      <c r="B2" s="42" t="s">
        <v>59</v>
      </c>
      <c r="C2" s="43"/>
      <c r="D2" s="42"/>
      <c r="E2" s="42"/>
      <c r="F2" s="44"/>
      <c r="G2" s="44"/>
    </row>
    <row r="3" spans="1:8" ht="22.5" customHeight="1" x14ac:dyDescent="0.25">
      <c r="A3" s="41" t="s">
        <v>40</v>
      </c>
      <c r="B3" s="45">
        <v>2019</v>
      </c>
      <c r="C3" s="43"/>
      <c r="D3" s="42"/>
      <c r="E3" s="42"/>
      <c r="F3" s="44"/>
      <c r="G3" s="44"/>
    </row>
    <row r="4" spans="1:8" ht="15.75" customHeight="1" x14ac:dyDescent="0.25">
      <c r="A4" s="42" t="s">
        <v>41</v>
      </c>
      <c r="B4" s="42" t="s">
        <v>42</v>
      </c>
      <c r="C4" s="42"/>
      <c r="D4" s="42"/>
      <c r="E4" s="42"/>
      <c r="F4" s="44"/>
      <c r="G4" s="44"/>
    </row>
    <row r="5" spans="1:8" x14ac:dyDescent="0.25">
      <c r="A5" s="42" t="s">
        <v>43</v>
      </c>
      <c r="B5" s="42" t="s">
        <v>44</v>
      </c>
      <c r="C5" s="43"/>
      <c r="D5" s="42"/>
      <c r="E5" s="42"/>
      <c r="F5" s="44"/>
      <c r="G5" s="44"/>
    </row>
    <row r="6" spans="1:8" ht="18" customHeight="1" x14ac:dyDescent="0.25">
      <c r="A6" s="42" t="s">
        <v>28</v>
      </c>
      <c r="B6" s="45">
        <v>628</v>
      </c>
      <c r="C6" s="42"/>
      <c r="D6" s="42"/>
      <c r="E6" s="42"/>
      <c r="F6" s="44"/>
      <c r="G6" s="44"/>
    </row>
    <row r="7" spans="1:8" ht="18" customHeight="1" x14ac:dyDescent="0.25">
      <c r="A7" s="42" t="s">
        <v>22</v>
      </c>
      <c r="B7" s="42" t="s">
        <v>23</v>
      </c>
      <c r="C7" s="44"/>
      <c r="D7" s="44"/>
      <c r="E7" s="42"/>
      <c r="F7" s="44"/>
      <c r="G7" s="44"/>
    </row>
    <row r="8" spans="1:8" ht="18" customHeight="1" x14ac:dyDescent="0.25">
      <c r="A8" s="42" t="s">
        <v>20</v>
      </c>
      <c r="B8" s="42" t="s">
        <v>21</v>
      </c>
      <c r="C8" s="78"/>
      <c r="D8" s="44"/>
      <c r="E8" s="42"/>
      <c r="F8" s="44"/>
      <c r="G8" s="44"/>
    </row>
    <row r="9" spans="1:8" ht="18" customHeight="1" x14ac:dyDescent="0.25">
      <c r="A9" s="42" t="s">
        <v>24</v>
      </c>
      <c r="B9" s="42" t="s">
        <v>48</v>
      </c>
      <c r="C9" s="42"/>
      <c r="D9" s="44"/>
      <c r="E9" s="42"/>
      <c r="F9" s="44"/>
      <c r="G9" s="44"/>
    </row>
    <row r="10" spans="1:8" ht="18" customHeight="1" x14ac:dyDescent="0.25">
      <c r="A10" s="42"/>
      <c r="B10" s="42"/>
      <c r="C10" s="42"/>
      <c r="D10" s="44"/>
      <c r="E10" s="42"/>
      <c r="F10" s="44"/>
      <c r="G10" s="44"/>
    </row>
    <row r="11" spans="1:8" ht="18" customHeight="1" x14ac:dyDescent="0.25">
      <c r="A11" s="42"/>
      <c r="B11" s="42"/>
      <c r="C11" s="43"/>
      <c r="D11" s="42"/>
      <c r="E11" s="42"/>
      <c r="F11" s="44"/>
      <c r="G11" s="44"/>
    </row>
    <row r="12" spans="1:8" ht="42" customHeight="1" x14ac:dyDescent="0.25">
      <c r="A12" s="36" t="s">
        <v>33</v>
      </c>
      <c r="B12" s="35" t="s">
        <v>5</v>
      </c>
      <c r="C12" s="35" t="s">
        <v>13</v>
      </c>
      <c r="D12" s="35" t="s">
        <v>6</v>
      </c>
      <c r="E12" s="35" t="s">
        <v>25</v>
      </c>
      <c r="F12" s="35" t="s">
        <v>27</v>
      </c>
      <c r="G12" s="35" t="s">
        <v>47</v>
      </c>
    </row>
    <row r="13" spans="1:8" ht="27.75" customHeight="1" x14ac:dyDescent="0.25">
      <c r="A13" s="70" t="s">
        <v>51</v>
      </c>
      <c r="B13" s="71"/>
      <c r="C13" s="71"/>
      <c r="D13" s="71"/>
      <c r="E13" s="71"/>
      <c r="F13" s="71"/>
      <c r="G13" s="71"/>
    </row>
    <row r="14" spans="1:8" ht="27.75" customHeight="1" x14ac:dyDescent="0.25">
      <c r="A14" s="74" t="s">
        <v>82</v>
      </c>
      <c r="B14" s="74" t="s">
        <v>83</v>
      </c>
      <c r="C14" s="74" t="s">
        <v>70</v>
      </c>
      <c r="D14" s="74">
        <v>0.27</v>
      </c>
      <c r="E14" s="117">
        <v>32</v>
      </c>
      <c r="F14" s="128">
        <f>E14*D14*0.3</f>
        <v>2.5920000000000001</v>
      </c>
      <c r="G14" s="128">
        <f>E14*D14*0.7</f>
        <v>6.048</v>
      </c>
    </row>
    <row r="15" spans="1:8" ht="27.75" customHeight="1" x14ac:dyDescent="0.25">
      <c r="A15" s="70" t="s">
        <v>55</v>
      </c>
      <c r="B15" s="74"/>
      <c r="C15" s="74"/>
      <c r="D15" s="74"/>
      <c r="E15" s="77"/>
      <c r="F15" s="76"/>
      <c r="G15" s="74"/>
    </row>
    <row r="16" spans="1:8" ht="27.75" customHeight="1" x14ac:dyDescent="0.25">
      <c r="A16" s="74" t="s">
        <v>87</v>
      </c>
      <c r="B16" s="74" t="s">
        <v>62</v>
      </c>
      <c r="C16" s="74" t="s">
        <v>61</v>
      </c>
      <c r="D16" s="74">
        <v>30</v>
      </c>
      <c r="E16" s="79">
        <v>64430</v>
      </c>
      <c r="F16" s="76">
        <f>E16/D16</f>
        <v>2147.6666666666665</v>
      </c>
      <c r="G16" s="119"/>
      <c r="H16" s="123"/>
    </row>
    <row r="17" spans="1:10" ht="27.75" customHeight="1" x14ac:dyDescent="0.25">
      <c r="A17" s="74" t="s">
        <v>72</v>
      </c>
      <c r="B17" s="74" t="s">
        <v>64</v>
      </c>
      <c r="C17" s="74" t="s">
        <v>61</v>
      </c>
      <c r="D17" s="74">
        <v>35</v>
      </c>
      <c r="E17" s="79">
        <v>30</v>
      </c>
      <c r="F17" s="76">
        <f>E17*D17</f>
        <v>1050</v>
      </c>
      <c r="G17" s="74"/>
      <c r="H17"/>
    </row>
    <row r="18" spans="1:10" ht="27.75" customHeight="1" x14ac:dyDescent="0.25">
      <c r="A18" s="74" t="s">
        <v>60</v>
      </c>
      <c r="B18" s="74" t="s">
        <v>97</v>
      </c>
      <c r="C18" s="74" t="s">
        <v>63</v>
      </c>
      <c r="D18" s="74">
        <v>5</v>
      </c>
      <c r="E18" s="132">
        <v>20</v>
      </c>
      <c r="F18" s="76">
        <f>E18*D18</f>
        <v>100</v>
      </c>
      <c r="G18" s="74"/>
      <c r="H18"/>
    </row>
    <row r="19" spans="1:10" ht="28.5" customHeight="1" x14ac:dyDescent="0.25">
      <c r="A19" s="74" t="s">
        <v>86</v>
      </c>
      <c r="B19" s="75" t="s">
        <v>71</v>
      </c>
      <c r="C19" s="74" t="s">
        <v>63</v>
      </c>
      <c r="D19" s="75">
        <v>380</v>
      </c>
      <c r="E19" s="79">
        <v>8.7200000000000006</v>
      </c>
      <c r="F19" s="76">
        <f>E19*D19</f>
        <v>3313.6000000000004</v>
      </c>
      <c r="G19" s="74"/>
      <c r="H19" s="131"/>
    </row>
    <row r="20" spans="1:10" ht="28.5" customHeight="1" x14ac:dyDescent="0.25">
      <c r="A20" s="74" t="s">
        <v>87</v>
      </c>
      <c r="B20" s="75" t="s">
        <v>94</v>
      </c>
      <c r="C20" s="74" t="s">
        <v>63</v>
      </c>
      <c r="D20" s="75">
        <v>660</v>
      </c>
      <c r="E20" s="79">
        <v>53</v>
      </c>
      <c r="F20" s="76">
        <f>D20*E20*0.2</f>
        <v>6996</v>
      </c>
      <c r="G20" s="119">
        <f>D20*E20*0.8</f>
        <v>27984</v>
      </c>
      <c r="H20" s="118"/>
    </row>
    <row r="21" spans="1:10" ht="36.75" customHeight="1" x14ac:dyDescent="0.25">
      <c r="A21" s="74" t="s">
        <v>72</v>
      </c>
      <c r="B21" s="75" t="s">
        <v>67</v>
      </c>
      <c r="C21" s="74" t="s">
        <v>63</v>
      </c>
      <c r="D21" s="75">
        <v>1100</v>
      </c>
      <c r="E21" s="79">
        <v>71</v>
      </c>
      <c r="F21" s="76">
        <f>E21*D21*0.2</f>
        <v>15620</v>
      </c>
      <c r="G21" s="119">
        <f>E21*D21*0.8</f>
        <v>62480</v>
      </c>
    </row>
    <row r="22" spans="1:10" x14ac:dyDescent="0.25">
      <c r="A22" s="74" t="s">
        <v>73</v>
      </c>
      <c r="B22" s="75" t="s">
        <v>65</v>
      </c>
      <c r="C22" s="74" t="s">
        <v>66</v>
      </c>
      <c r="D22" s="75">
        <v>38</v>
      </c>
      <c r="E22" s="76">
        <v>1000</v>
      </c>
      <c r="F22" s="76">
        <f>D22*E22*0.4</f>
        <v>15200</v>
      </c>
      <c r="G22" s="115">
        <f>D22*E22*0.6</f>
        <v>22800</v>
      </c>
      <c r="I22" s="118"/>
      <c r="J22" s="118"/>
    </row>
    <row r="23" spans="1:10" x14ac:dyDescent="0.25">
      <c r="A23" s="87"/>
      <c r="B23" s="88"/>
      <c r="C23" s="88"/>
      <c r="D23" s="88"/>
      <c r="E23" s="89"/>
      <c r="F23" s="69">
        <f>SUM(F14:F22)</f>
        <v>44429.858666666667</v>
      </c>
      <c r="G23" s="69">
        <f>SUM(G14:G22)</f>
        <v>113270.048</v>
      </c>
    </row>
    <row r="24" spans="1:10" x14ac:dyDescent="0.25">
      <c r="A24" s="96"/>
      <c r="B24" s="97"/>
      <c r="C24" s="97"/>
      <c r="D24" s="97"/>
      <c r="E24" s="97"/>
      <c r="F24" s="97"/>
      <c r="G24" s="98"/>
    </row>
    <row r="25" spans="1:10" ht="30" x14ac:dyDescent="0.25">
      <c r="A25" s="144" t="s">
        <v>26</v>
      </c>
      <c r="B25" s="146"/>
      <c r="C25" s="38" t="s">
        <v>13</v>
      </c>
      <c r="D25" s="39" t="s">
        <v>6</v>
      </c>
      <c r="E25" s="40" t="s">
        <v>25</v>
      </c>
      <c r="F25" s="35" t="s">
        <v>27</v>
      </c>
      <c r="G25" s="35" t="s">
        <v>47</v>
      </c>
    </row>
    <row r="26" spans="1:10" x14ac:dyDescent="0.25">
      <c r="A26" s="94" t="s">
        <v>53</v>
      </c>
      <c r="B26" s="95"/>
      <c r="C26" s="15"/>
      <c r="D26" s="67"/>
      <c r="E26" s="24"/>
      <c r="F26" s="32"/>
      <c r="G26" s="33"/>
    </row>
    <row r="27" spans="1:10" x14ac:dyDescent="0.25">
      <c r="A27" s="147" t="s">
        <v>74</v>
      </c>
      <c r="B27" s="143"/>
      <c r="C27" s="15" t="s">
        <v>69</v>
      </c>
      <c r="D27" s="68">
        <v>11</v>
      </c>
      <c r="E27" s="24">
        <v>4750</v>
      </c>
      <c r="F27" s="33">
        <f>E27*D27</f>
        <v>52250</v>
      </c>
      <c r="G27" s="33"/>
    </row>
    <row r="28" spans="1:10" x14ac:dyDescent="0.25">
      <c r="A28" s="125" t="s">
        <v>92</v>
      </c>
      <c r="B28" s="126"/>
      <c r="C28" s="68" t="s">
        <v>93</v>
      </c>
      <c r="D28" s="68">
        <v>4000</v>
      </c>
      <c r="E28" s="24">
        <v>8</v>
      </c>
      <c r="F28" s="33">
        <f>E28*D28</f>
        <v>32000</v>
      </c>
      <c r="G28" s="33"/>
    </row>
    <row r="29" spans="1:10" x14ac:dyDescent="0.25">
      <c r="A29" s="147" t="s">
        <v>75</v>
      </c>
      <c r="B29" s="143"/>
      <c r="C29" s="15" t="s">
        <v>69</v>
      </c>
      <c r="D29" s="68">
        <v>15</v>
      </c>
      <c r="E29" s="24">
        <v>4750</v>
      </c>
      <c r="F29" s="33">
        <f t="shared" ref="F29:F35" si="0">E29*D29</f>
        <v>71250</v>
      </c>
      <c r="G29" s="33"/>
    </row>
    <row r="30" spans="1:10" x14ac:dyDescent="0.25">
      <c r="A30" s="142" t="s">
        <v>77</v>
      </c>
      <c r="B30" s="143"/>
      <c r="C30" s="68" t="s">
        <v>69</v>
      </c>
      <c r="D30" s="68">
        <v>2</v>
      </c>
      <c r="E30" s="24">
        <v>4750</v>
      </c>
      <c r="F30" s="33">
        <f t="shared" si="0"/>
        <v>9500</v>
      </c>
      <c r="G30" s="33"/>
    </row>
    <row r="31" spans="1:10" ht="20.25" customHeight="1" x14ac:dyDescent="0.25">
      <c r="A31" s="142" t="s">
        <v>89</v>
      </c>
      <c r="B31" s="143"/>
      <c r="C31" s="68" t="s">
        <v>69</v>
      </c>
      <c r="D31" s="68">
        <v>2</v>
      </c>
      <c r="E31" s="24">
        <v>4750</v>
      </c>
      <c r="F31" s="33">
        <f>E31*D31</f>
        <v>9500</v>
      </c>
      <c r="G31" s="33"/>
      <c r="H31"/>
    </row>
    <row r="32" spans="1:10" x14ac:dyDescent="0.25">
      <c r="A32" s="127" t="s">
        <v>91</v>
      </c>
      <c r="B32" s="126"/>
      <c r="C32" s="68" t="s">
        <v>69</v>
      </c>
      <c r="D32" s="68">
        <v>6</v>
      </c>
      <c r="E32" s="24">
        <v>4750</v>
      </c>
      <c r="F32" s="33">
        <f>E32*D32</f>
        <v>28500</v>
      </c>
      <c r="G32" s="33"/>
    </row>
    <row r="33" spans="1:11" ht="19.5" customHeight="1" x14ac:dyDescent="0.25">
      <c r="A33" s="142" t="s">
        <v>79</v>
      </c>
      <c r="B33" s="143"/>
      <c r="C33" s="68" t="s">
        <v>69</v>
      </c>
      <c r="D33" s="68">
        <v>7</v>
      </c>
      <c r="E33" s="24">
        <v>4750</v>
      </c>
      <c r="F33" s="33">
        <f t="shared" si="0"/>
        <v>33250</v>
      </c>
      <c r="G33" s="33"/>
      <c r="H33"/>
    </row>
    <row r="34" spans="1:11" x14ac:dyDescent="0.25">
      <c r="A34" s="120" t="s">
        <v>88</v>
      </c>
      <c r="B34" s="116"/>
      <c r="C34" s="68" t="s">
        <v>69</v>
      </c>
      <c r="D34" s="68">
        <v>10</v>
      </c>
      <c r="E34" s="24">
        <v>4750</v>
      </c>
      <c r="F34" s="33">
        <f t="shared" si="0"/>
        <v>47500</v>
      </c>
      <c r="G34" s="33"/>
    </row>
    <row r="35" spans="1:11" x14ac:dyDescent="0.25">
      <c r="A35" s="142" t="s">
        <v>76</v>
      </c>
      <c r="B35" s="143"/>
      <c r="C35" s="65" t="s">
        <v>69</v>
      </c>
      <c r="D35" s="68">
        <v>8</v>
      </c>
      <c r="E35" s="24">
        <v>4750</v>
      </c>
      <c r="F35" s="33">
        <f t="shared" si="0"/>
        <v>38000</v>
      </c>
      <c r="G35" s="33"/>
    </row>
    <row r="36" spans="1:11" x14ac:dyDescent="0.25">
      <c r="A36" s="94" t="s">
        <v>54</v>
      </c>
      <c r="B36" s="95"/>
      <c r="C36" s="68"/>
      <c r="D36" s="68"/>
      <c r="E36" s="24"/>
      <c r="F36" s="33"/>
      <c r="G36" s="33"/>
    </row>
    <row r="37" spans="1:11" x14ac:dyDescent="0.25">
      <c r="A37" s="147" t="s">
        <v>68</v>
      </c>
      <c r="B37" s="143"/>
      <c r="C37" s="68" t="s">
        <v>69</v>
      </c>
      <c r="D37" s="68">
        <v>8</v>
      </c>
      <c r="E37" s="24">
        <v>4750</v>
      </c>
      <c r="F37" s="33"/>
      <c r="G37" s="33">
        <f t="shared" ref="G37:G42" si="1">E37*D37</f>
        <v>38000</v>
      </c>
      <c r="I37" s="62"/>
      <c r="K37" s="13">
        <v>9068</v>
      </c>
    </row>
    <row r="38" spans="1:11" ht="15.75" customHeight="1" x14ac:dyDescent="0.25">
      <c r="A38" s="147" t="s">
        <v>80</v>
      </c>
      <c r="B38" s="143"/>
      <c r="C38" s="68" t="s">
        <v>69</v>
      </c>
      <c r="D38" s="68">
        <v>8</v>
      </c>
      <c r="E38" s="24">
        <v>4750</v>
      </c>
      <c r="F38" s="33"/>
      <c r="G38" s="33">
        <f t="shared" si="1"/>
        <v>38000</v>
      </c>
      <c r="H38"/>
    </row>
    <row r="39" spans="1:11" x14ac:dyDescent="0.25">
      <c r="A39" s="147" t="s">
        <v>78</v>
      </c>
      <c r="B39" s="143"/>
      <c r="C39" s="68" t="s">
        <v>69</v>
      </c>
      <c r="D39" s="68">
        <v>2</v>
      </c>
      <c r="E39" s="24">
        <v>4750</v>
      </c>
      <c r="F39" s="33"/>
      <c r="G39" s="33">
        <f t="shared" si="1"/>
        <v>9500</v>
      </c>
    </row>
    <row r="40" spans="1:11" ht="16.5" customHeight="1" x14ac:dyDescent="0.25">
      <c r="A40" s="125" t="s">
        <v>89</v>
      </c>
      <c r="B40" s="126"/>
      <c r="C40" s="68" t="s">
        <v>69</v>
      </c>
      <c r="D40" s="68">
        <v>7</v>
      </c>
      <c r="E40" s="24">
        <v>4750</v>
      </c>
      <c r="F40" s="33"/>
      <c r="G40" s="33">
        <f t="shared" si="1"/>
        <v>33250</v>
      </c>
      <c r="H40"/>
    </row>
    <row r="41" spans="1:11" x14ac:dyDescent="0.25">
      <c r="A41" s="125" t="s">
        <v>90</v>
      </c>
      <c r="B41" s="126"/>
      <c r="C41" s="68" t="s">
        <v>69</v>
      </c>
      <c r="D41" s="68">
        <v>4</v>
      </c>
      <c r="E41" s="24">
        <v>4750</v>
      </c>
      <c r="F41" s="33"/>
      <c r="G41" s="33">
        <f t="shared" si="1"/>
        <v>19000</v>
      </c>
      <c r="H41" s="80"/>
      <c r="I41" s="50"/>
    </row>
    <row r="42" spans="1:11" ht="30" customHeight="1" x14ac:dyDescent="0.25">
      <c r="A42" s="93" t="s">
        <v>75</v>
      </c>
      <c r="B42" s="93"/>
      <c r="C42" s="68" t="s">
        <v>69</v>
      </c>
      <c r="D42" s="68">
        <v>1</v>
      </c>
      <c r="E42" s="24">
        <v>4750</v>
      </c>
      <c r="F42" s="33"/>
      <c r="G42" s="33">
        <f t="shared" si="1"/>
        <v>4750</v>
      </c>
      <c r="H42" s="81"/>
    </row>
    <row r="43" spans="1:11" x14ac:dyDescent="0.25">
      <c r="A43" s="87" t="s">
        <v>7</v>
      </c>
      <c r="B43" s="88"/>
      <c r="C43" s="88"/>
      <c r="D43" s="88"/>
      <c r="E43" s="89"/>
      <c r="F43" s="69">
        <f>SUM(F27:F42)</f>
        <v>321750</v>
      </c>
      <c r="G43" s="69">
        <f>SUM(G26:G42)</f>
        <v>142500</v>
      </c>
    </row>
    <row r="44" spans="1:11" x14ac:dyDescent="0.25">
      <c r="A44" s="85"/>
      <c r="B44" s="85"/>
      <c r="C44" s="85"/>
      <c r="D44" s="85"/>
      <c r="E44" s="85"/>
      <c r="F44" s="85"/>
      <c r="G44" s="86"/>
      <c r="H44" s="61"/>
      <c r="I44" s="61"/>
      <c r="J44" s="61"/>
    </row>
    <row r="45" spans="1:11" ht="15.75" x14ac:dyDescent="0.25">
      <c r="A45" s="90" t="s">
        <v>8</v>
      </c>
      <c r="B45" s="91"/>
      <c r="C45" s="91"/>
      <c r="D45" s="91"/>
      <c r="E45" s="92"/>
      <c r="F45" s="51">
        <f>F23+F43</f>
        <v>366179.85866666667</v>
      </c>
      <c r="G45" s="51">
        <f>G23+G43</f>
        <v>255770.04800000001</v>
      </c>
      <c r="H45" s="61"/>
      <c r="I45" s="61"/>
      <c r="J45" s="61"/>
    </row>
    <row r="46" spans="1:11" x14ac:dyDescent="0.25">
      <c r="A46" s="96"/>
      <c r="B46" s="97"/>
      <c r="C46" s="97"/>
      <c r="D46" s="97"/>
      <c r="E46" s="97"/>
      <c r="F46" s="97"/>
      <c r="G46" s="98"/>
      <c r="H46" s="44"/>
      <c r="I46" s="44"/>
      <c r="J46" s="44"/>
    </row>
    <row r="47" spans="1:11" ht="24" customHeight="1" x14ac:dyDescent="0.25">
      <c r="A47" s="37" t="s">
        <v>30</v>
      </c>
      <c r="B47" s="35" t="s">
        <v>5</v>
      </c>
      <c r="C47" s="35" t="s">
        <v>13</v>
      </c>
      <c r="D47" s="35" t="s">
        <v>6</v>
      </c>
      <c r="E47" s="35" t="s">
        <v>25</v>
      </c>
      <c r="F47" s="35" t="s">
        <v>27</v>
      </c>
      <c r="G47" s="35" t="s">
        <v>47</v>
      </c>
      <c r="H47" s="44"/>
      <c r="I47" s="44"/>
      <c r="J47" s="44"/>
    </row>
    <row r="48" spans="1:11" x14ac:dyDescent="0.25">
      <c r="A48" s="37" t="s">
        <v>9</v>
      </c>
      <c r="B48" s="14"/>
      <c r="C48" s="19"/>
      <c r="D48" s="20"/>
      <c r="E48" s="14"/>
      <c r="F48" s="32"/>
      <c r="G48" s="33"/>
      <c r="H48" s="44"/>
      <c r="I48" s="44"/>
      <c r="J48" s="44"/>
    </row>
    <row r="49" spans="1:9" ht="30.75" customHeight="1" x14ac:dyDescent="0.25">
      <c r="A49" s="122" t="s">
        <v>96</v>
      </c>
      <c r="B49" s="122" t="s">
        <v>95</v>
      </c>
      <c r="C49" s="21" t="s">
        <v>81</v>
      </c>
      <c r="D49" s="68">
        <v>20</v>
      </c>
      <c r="E49" s="64">
        <f>9670/3.78</f>
        <v>2558.2010582010585</v>
      </c>
      <c r="F49" s="84">
        <f>E49*D49*0.25</f>
        <v>12791.005291005293</v>
      </c>
      <c r="G49" s="33">
        <f>E49*D49*0.75</f>
        <v>38373.01587301588</v>
      </c>
      <c r="H49" s="123"/>
    </row>
    <row r="50" spans="1:9" x14ac:dyDescent="0.25">
      <c r="A50" s="32"/>
      <c r="B50" s="32"/>
      <c r="C50" s="121"/>
      <c r="D50" s="121"/>
      <c r="E50" s="64"/>
      <c r="F50" s="84"/>
      <c r="G50" s="84"/>
    </row>
    <row r="51" spans="1:9" ht="36.75" customHeight="1" x14ac:dyDescent="0.25">
      <c r="A51" s="88" t="s">
        <v>18</v>
      </c>
      <c r="B51" s="88"/>
      <c r="C51" s="88"/>
      <c r="D51" s="88"/>
      <c r="E51" s="89"/>
      <c r="F51" s="73">
        <f>SUM(F48:F50)</f>
        <v>12791.005291005293</v>
      </c>
      <c r="G51" s="73">
        <f>SUM(G48:G50)</f>
        <v>38373.01587301588</v>
      </c>
      <c r="H51" s="133"/>
      <c r="I51"/>
    </row>
    <row r="52" spans="1:9" ht="30" x14ac:dyDescent="0.25">
      <c r="A52" s="104" t="s">
        <v>1</v>
      </c>
      <c r="B52" s="105"/>
      <c r="C52" s="35" t="s">
        <v>13</v>
      </c>
      <c r="D52" s="35" t="s">
        <v>6</v>
      </c>
      <c r="E52" s="35" t="s">
        <v>25</v>
      </c>
      <c r="F52" s="35" t="s">
        <v>27</v>
      </c>
      <c r="G52" s="35" t="s">
        <v>47</v>
      </c>
    </row>
    <row r="53" spans="1:9" x14ac:dyDescent="0.25">
      <c r="A53" s="109" t="s">
        <v>15</v>
      </c>
      <c r="B53" s="110"/>
      <c r="C53" s="21" t="s">
        <v>16</v>
      </c>
      <c r="D53" s="67">
        <v>1</v>
      </c>
      <c r="E53" s="63">
        <v>200000</v>
      </c>
      <c r="F53" s="34">
        <f>(D53*E53)/2</f>
        <v>100000</v>
      </c>
      <c r="G53" s="34">
        <f>(D53*E53)/2</f>
        <v>100000</v>
      </c>
      <c r="H53"/>
    </row>
    <row r="54" spans="1:9" ht="24" customHeight="1" x14ac:dyDescent="0.25">
      <c r="A54" s="111" t="s">
        <v>17</v>
      </c>
      <c r="B54" s="112"/>
      <c r="C54" s="21" t="s">
        <v>16</v>
      </c>
      <c r="D54" s="67">
        <v>1</v>
      </c>
      <c r="E54" s="22">
        <f>1985916*28000/500000</f>
        <v>111211.296</v>
      </c>
      <c r="F54" s="46">
        <f>(D54*E54)/2</f>
        <v>55605.648000000001</v>
      </c>
      <c r="G54" s="46">
        <f>(D54*E54)/2</f>
        <v>55605.648000000001</v>
      </c>
      <c r="H54" s="82"/>
      <c r="I54"/>
    </row>
    <row r="55" spans="1:9" ht="15" customHeight="1" x14ac:dyDescent="0.25">
      <c r="A55" s="144" t="s">
        <v>31</v>
      </c>
      <c r="B55" s="145"/>
      <c r="C55" s="88"/>
      <c r="D55" s="88"/>
      <c r="E55" s="89"/>
      <c r="F55" s="72">
        <f>SUM(F53:F54)</f>
        <v>155605.64799999999</v>
      </c>
      <c r="G55" s="72">
        <f>SUM(G53:G54)</f>
        <v>155605.64799999999</v>
      </c>
    </row>
    <row r="56" spans="1:9" x14ac:dyDescent="0.25">
      <c r="A56" s="23"/>
      <c r="B56" s="17"/>
      <c r="C56" s="18"/>
      <c r="D56" s="16"/>
      <c r="E56" s="17"/>
      <c r="F56" s="32"/>
      <c r="G56" s="33"/>
    </row>
    <row r="57" spans="1:9" ht="30" x14ac:dyDescent="0.25">
      <c r="A57" s="104" t="s">
        <v>10</v>
      </c>
      <c r="B57" s="105"/>
      <c r="C57" s="35" t="s">
        <v>13</v>
      </c>
      <c r="D57" s="35" t="s">
        <v>6</v>
      </c>
      <c r="E57" s="35" t="s">
        <v>25</v>
      </c>
      <c r="F57" s="35" t="s">
        <v>27</v>
      </c>
      <c r="G57" s="35" t="s">
        <v>47</v>
      </c>
      <c r="H57"/>
    </row>
    <row r="58" spans="1:9" x14ac:dyDescent="0.25">
      <c r="A58" s="113" t="s">
        <v>85</v>
      </c>
      <c r="B58" s="114"/>
      <c r="C58" s="74" t="s">
        <v>84</v>
      </c>
      <c r="D58" s="134">
        <v>2</v>
      </c>
      <c r="E58" s="24">
        <v>4750</v>
      </c>
      <c r="F58" s="119">
        <f>E58*D58/2</f>
        <v>4750</v>
      </c>
      <c r="G58" s="119">
        <f>E58*D58/2</f>
        <v>4750</v>
      </c>
    </row>
    <row r="59" spans="1:9" x14ac:dyDescent="0.25">
      <c r="A59" s="109"/>
      <c r="B59" s="110"/>
      <c r="C59" s="15"/>
      <c r="D59" s="66"/>
      <c r="E59" s="24"/>
      <c r="F59" s="64"/>
      <c r="G59" s="64"/>
    </row>
    <row r="60" spans="1:9" x14ac:dyDescent="0.25">
      <c r="A60" s="87" t="s">
        <v>11</v>
      </c>
      <c r="B60" s="88"/>
      <c r="C60" s="88"/>
      <c r="D60" s="88"/>
      <c r="E60" s="89"/>
      <c r="F60" s="69">
        <f>SUM(F58:F59)</f>
        <v>4750</v>
      </c>
      <c r="G60" s="69">
        <f>SUM(G58:G59)</f>
        <v>4750</v>
      </c>
      <c r="H60" s="118"/>
    </row>
    <row r="61" spans="1:9" x14ac:dyDescent="0.25">
      <c r="A61" s="96"/>
      <c r="B61" s="97"/>
      <c r="C61" s="97"/>
      <c r="D61" s="97"/>
      <c r="E61" s="97"/>
      <c r="F61" s="97"/>
      <c r="G61" s="98"/>
    </row>
    <row r="62" spans="1:9" ht="15.75" x14ac:dyDescent="0.25">
      <c r="A62" s="90" t="s">
        <v>32</v>
      </c>
      <c r="B62" s="91"/>
      <c r="C62" s="91"/>
      <c r="D62" s="91"/>
      <c r="E62" s="92"/>
      <c r="F62" s="51">
        <f>F51+F55+F60</f>
        <v>173146.65329100529</v>
      </c>
      <c r="G62" s="51">
        <f>G51+G55+G60</f>
        <v>198728.66387301587</v>
      </c>
    </row>
    <row r="63" spans="1:9" ht="15.75" x14ac:dyDescent="0.25">
      <c r="A63" s="106"/>
      <c r="B63" s="107"/>
      <c r="C63" s="107"/>
      <c r="D63" s="107"/>
      <c r="E63" s="107"/>
      <c r="F63" s="107"/>
      <c r="G63" s="108"/>
    </row>
    <row r="64" spans="1:9" ht="15.75" x14ac:dyDescent="0.25">
      <c r="A64" s="90" t="s">
        <v>12</v>
      </c>
      <c r="B64" s="91"/>
      <c r="C64" s="91"/>
      <c r="D64" s="91"/>
      <c r="E64" s="92"/>
      <c r="F64" s="51">
        <f>F45+F62</f>
        <v>539326.51195767196</v>
      </c>
      <c r="G64" s="51">
        <f>G45+G62</f>
        <v>454498.71187301585</v>
      </c>
    </row>
    <row r="65" spans="1:7" x14ac:dyDescent="0.25">
      <c r="B65" s="25"/>
      <c r="C65" s="26"/>
      <c r="D65" s="26"/>
      <c r="E65" s="27"/>
    </row>
    <row r="66" spans="1:7" ht="15.75" x14ac:dyDescent="0.25">
      <c r="A66" s="100" t="s">
        <v>34</v>
      </c>
      <c r="B66" s="100"/>
      <c r="C66" s="100"/>
      <c r="D66" s="100"/>
      <c r="E66" s="100"/>
      <c r="F66" s="124">
        <v>320</v>
      </c>
      <c r="G66" s="55">
        <v>7</v>
      </c>
    </row>
    <row r="67" spans="1:7" ht="15.75" x14ac:dyDescent="0.25">
      <c r="A67" s="101"/>
      <c r="B67" s="102"/>
      <c r="C67" s="102"/>
      <c r="D67" s="102"/>
      <c r="E67" s="103"/>
      <c r="F67" s="129">
        <f>F64/F66</f>
        <v>1685.3953498677249</v>
      </c>
      <c r="G67" s="130">
        <f>G64/G66</f>
        <v>64928.387410430834</v>
      </c>
    </row>
    <row r="68" spans="1:7" x14ac:dyDescent="0.25">
      <c r="A68" s="44"/>
      <c r="B68" s="44"/>
      <c r="C68" s="49"/>
      <c r="E68" s="28"/>
    </row>
    <row r="69" spans="1:7" x14ac:dyDescent="0.25">
      <c r="A69" s="47" t="s">
        <v>56</v>
      </c>
      <c r="B69" s="48"/>
      <c r="C69" s="29"/>
      <c r="D69" s="30"/>
      <c r="E69" s="30"/>
      <c r="F69" s="83"/>
    </row>
    <row r="70" spans="1:7" x14ac:dyDescent="0.25">
      <c r="A70" s="47"/>
      <c r="B70" s="48"/>
      <c r="C70" s="29"/>
      <c r="D70" s="30"/>
      <c r="E70" s="30"/>
      <c r="F70" s="44"/>
    </row>
    <row r="71" spans="1:7" ht="15.75" x14ac:dyDescent="0.25">
      <c r="A71" s="52" t="s">
        <v>38</v>
      </c>
      <c r="B71" s="139" t="s">
        <v>52</v>
      </c>
      <c r="C71" s="139"/>
      <c r="D71" s="139"/>
      <c r="E71" s="53"/>
      <c r="F71" s="53"/>
      <c r="G71"/>
    </row>
    <row r="72" spans="1:7" ht="15.75" x14ac:dyDescent="0.25">
      <c r="A72" s="55" t="s">
        <v>35</v>
      </c>
      <c r="B72" s="140"/>
      <c r="C72" s="141"/>
      <c r="D72" s="141"/>
      <c r="E72" s="54"/>
      <c r="F72" s="54"/>
      <c r="G72" s="54"/>
    </row>
    <row r="73" spans="1:7" ht="15.75" x14ac:dyDescent="0.25">
      <c r="A73" s="56"/>
      <c r="B73" s="57"/>
      <c r="C73" s="57"/>
      <c r="D73" s="57"/>
      <c r="E73" s="54"/>
      <c r="F73" s="54"/>
      <c r="G73" s="54"/>
    </row>
    <row r="74" spans="1:7" ht="15.75" x14ac:dyDescent="0.25">
      <c r="A74" s="99" t="s">
        <v>45</v>
      </c>
      <c r="B74" s="99"/>
      <c r="C74" s="99"/>
      <c r="D74" s="99"/>
      <c r="E74" s="99"/>
      <c r="F74" s="99"/>
      <c r="G74" s="99"/>
    </row>
    <row r="75" spans="1:7" ht="47.25" x14ac:dyDescent="0.25">
      <c r="A75" s="60" t="s">
        <v>49</v>
      </c>
      <c r="B75" s="58" t="s">
        <v>36</v>
      </c>
      <c r="C75" s="135"/>
      <c r="D75" s="136"/>
      <c r="E75" s="52" t="s">
        <v>37</v>
      </c>
      <c r="F75" s="135"/>
      <c r="G75" s="136"/>
    </row>
    <row r="76" spans="1:7" ht="15.75" x14ac:dyDescent="0.25">
      <c r="A76" s="55" t="s">
        <v>46</v>
      </c>
      <c r="B76" s="59" t="s">
        <v>35</v>
      </c>
      <c r="C76" s="137"/>
      <c r="D76" s="138"/>
      <c r="E76" s="55" t="s">
        <v>35</v>
      </c>
      <c r="F76" s="137"/>
      <c r="G76" s="138"/>
    </row>
  </sheetData>
  <mergeCells count="17">
    <mergeCell ref="A31:B31"/>
    <mergeCell ref="A33:B33"/>
    <mergeCell ref="A55:B55"/>
    <mergeCell ref="A25:B25"/>
    <mergeCell ref="C76:D76"/>
    <mergeCell ref="A27:B27"/>
    <mergeCell ref="A37:B37"/>
    <mergeCell ref="A29:B29"/>
    <mergeCell ref="A38:B38"/>
    <mergeCell ref="A39:B39"/>
    <mergeCell ref="A35:B35"/>
    <mergeCell ref="A30:B30"/>
    <mergeCell ref="F75:G75"/>
    <mergeCell ref="F76:G76"/>
    <mergeCell ref="B71:D71"/>
    <mergeCell ref="B72:D72"/>
    <mergeCell ref="C75:D75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B1" zoomScaleNormal="100" workbookViewId="0">
      <selection activeCell="B1" sqref="B1:H3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x14ac:dyDescent="0.2">
      <c r="B1" s="148" t="s">
        <v>58</v>
      </c>
      <c r="C1" s="148"/>
      <c r="D1" s="148"/>
      <c r="E1" s="148"/>
      <c r="F1" s="148"/>
      <c r="G1" s="148"/>
      <c r="H1" s="148"/>
    </row>
    <row r="2" spans="2:12" x14ac:dyDescent="0.2">
      <c r="B2" s="148"/>
      <c r="C2" s="148"/>
      <c r="D2" s="148"/>
      <c r="E2" s="148"/>
      <c r="F2" s="148"/>
      <c r="G2" s="148"/>
      <c r="H2" s="148"/>
    </row>
    <row r="3" spans="2:12" x14ac:dyDescent="0.2">
      <c r="B3" s="148"/>
      <c r="C3" s="148"/>
      <c r="D3" s="148"/>
      <c r="E3" s="148"/>
      <c r="F3" s="148"/>
      <c r="G3" s="148"/>
      <c r="H3" s="148"/>
    </row>
    <row r="4" spans="2:12" ht="51" x14ac:dyDescent="0.2">
      <c r="B4" s="10" t="s">
        <v>19</v>
      </c>
      <c r="C4" s="11" t="s">
        <v>50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 x14ac:dyDescent="0.2">
      <c r="B5" s="2" t="s">
        <v>4</v>
      </c>
      <c r="C5" s="3">
        <f>'COSTOS LIMAS ACIDAS Y CITRICOS'!F23</f>
        <v>44429.858666666667</v>
      </c>
      <c r="D5" s="3">
        <f>'COSTOS LIMAS ACIDAS Y CITRICOS'!F43</f>
        <v>321750</v>
      </c>
      <c r="E5" s="3">
        <f>'COSTOS LIMAS ACIDAS Y CITRICOS'!F51</f>
        <v>12791.005291005293</v>
      </c>
      <c r="F5" s="3">
        <f>'COSTOS LIMAS ACIDAS Y CITRICOS'!F55</f>
        <v>155605.64799999999</v>
      </c>
      <c r="G5" s="3">
        <f>'COSTOS LIMAS ACIDAS Y CITRICOS'!F60</f>
        <v>4750</v>
      </c>
      <c r="H5" s="3">
        <f>SUM(C5:G5)</f>
        <v>539326.51195767196</v>
      </c>
    </row>
    <row r="6" spans="2:12" x14ac:dyDescent="0.2">
      <c r="B6" s="2" t="s">
        <v>14</v>
      </c>
      <c r="C6" s="4">
        <f>C5/H5</f>
        <v>8.2380260717006368E-2</v>
      </c>
      <c r="D6" s="4">
        <f>D5/H5</f>
        <v>0.59657738469428689</v>
      </c>
      <c r="E6" s="4">
        <f>E5/H5</f>
        <v>2.3716626213267207E-2</v>
      </c>
      <c r="F6" s="4">
        <f>F5/H5</f>
        <v>0.28851844763791701</v>
      </c>
      <c r="G6" s="4">
        <f>G5/H5</f>
        <v>8.8072807375224951E-3</v>
      </c>
      <c r="H6" s="5">
        <f>SUM(C6:G6)</f>
        <v>0.99999999999999989</v>
      </c>
      <c r="I6" s="6"/>
    </row>
    <row r="8" spans="2:12" x14ac:dyDescent="0.2">
      <c r="C8" s="9"/>
      <c r="J8" s="7"/>
    </row>
    <row r="10" spans="2:12" x14ac:dyDescent="0.2">
      <c r="L10" s="12"/>
    </row>
    <row r="13" spans="2:12" x14ac:dyDescent="0.2">
      <c r="L13" s="12"/>
    </row>
    <row r="14" spans="2:12" x14ac:dyDescent="0.2">
      <c r="K14" s="8"/>
    </row>
    <row r="21" spans="12:12" x14ac:dyDescent="0.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B1" zoomScaleNormal="100" workbookViewId="0">
      <selection activeCell="B1" sqref="B1:H3"/>
    </sheetView>
  </sheetViews>
  <sheetFormatPr baseColWidth="10" defaultColWidth="11.42578125" defaultRowHeight="12.75" x14ac:dyDescent="0.2"/>
  <cols>
    <col min="1" max="1" width="8.42578125" style="1" customWidth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x14ac:dyDescent="0.2">
      <c r="B1" s="148" t="s">
        <v>57</v>
      </c>
      <c r="C1" s="148"/>
      <c r="D1" s="148"/>
      <c r="E1" s="148"/>
      <c r="F1" s="148"/>
      <c r="G1" s="148"/>
      <c r="H1" s="148"/>
    </row>
    <row r="2" spans="2:12" x14ac:dyDescent="0.2">
      <c r="B2" s="148"/>
      <c r="C2" s="148"/>
      <c r="D2" s="148"/>
      <c r="E2" s="148"/>
      <c r="F2" s="148"/>
      <c r="G2" s="148"/>
      <c r="H2" s="148"/>
    </row>
    <row r="3" spans="2:12" x14ac:dyDescent="0.2">
      <c r="B3" s="148"/>
      <c r="C3" s="148"/>
      <c r="D3" s="148"/>
      <c r="E3" s="148"/>
      <c r="F3" s="148"/>
      <c r="G3" s="148"/>
      <c r="H3" s="148"/>
    </row>
    <row r="4" spans="2:12" ht="51" x14ac:dyDescent="0.2">
      <c r="B4" s="10" t="s">
        <v>19</v>
      </c>
      <c r="C4" s="11" t="s">
        <v>50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 x14ac:dyDescent="0.2">
      <c r="B5" s="2" t="s">
        <v>4</v>
      </c>
      <c r="C5" s="3">
        <f>'COSTOS LIMAS ACIDAS Y CITRICOS'!G23</f>
        <v>113270.048</v>
      </c>
      <c r="D5" s="3">
        <f>'COSTOS LIMAS ACIDAS Y CITRICOS'!G43</f>
        <v>142500</v>
      </c>
      <c r="E5" s="3">
        <f>'COSTOS LIMAS ACIDAS Y CITRICOS'!G51+'COSTOS LIMAS ACIDAS Y CITRICOS'!G51</f>
        <v>76746.03174603176</v>
      </c>
      <c r="F5" s="3">
        <f>'COSTOS LIMAS ACIDAS Y CITRICOS'!G55</f>
        <v>155605.64799999999</v>
      </c>
      <c r="G5" s="3">
        <f>'COSTOS LIMAS ACIDAS Y CITRICOS'!G60</f>
        <v>4750</v>
      </c>
      <c r="H5" s="3">
        <f>SUM(C5:G5)</f>
        <v>492871.72774603177</v>
      </c>
    </row>
    <row r="6" spans="2:12" x14ac:dyDescent="0.2">
      <c r="B6" s="2" t="s">
        <v>14</v>
      </c>
      <c r="C6" s="4">
        <f>C5/H5</f>
        <v>0.22981648494629434</v>
      </c>
      <c r="D6" s="4">
        <f>D5/H5</f>
        <v>0.28912187893525876</v>
      </c>
      <c r="E6" s="4">
        <f>E5/H5</f>
        <v>0.1557119782402647</v>
      </c>
      <c r="F6" s="4">
        <f>F5/H5</f>
        <v>0.31571226191367358</v>
      </c>
      <c r="G6" s="4">
        <f>G5/H5</f>
        <v>9.637395964508624E-3</v>
      </c>
      <c r="H6" s="5">
        <f>SUM(C6:G6)</f>
        <v>1</v>
      </c>
      <c r="I6" s="6"/>
    </row>
    <row r="8" spans="2:12" x14ac:dyDescent="0.2">
      <c r="C8" s="9"/>
      <c r="J8" s="7"/>
    </row>
    <row r="10" spans="2:12" x14ac:dyDescent="0.2">
      <c r="L10" s="12"/>
    </row>
    <row r="13" spans="2:12" x14ac:dyDescent="0.2">
      <c r="L13" s="12"/>
    </row>
    <row r="14" spans="2:12" x14ac:dyDescent="0.2">
      <c r="K14" s="8"/>
    </row>
    <row r="21" spans="12:12" x14ac:dyDescent="0.2">
      <c r="L21" s="12"/>
    </row>
  </sheetData>
  <mergeCells count="1">
    <mergeCell ref="B1:H3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LIMAS ACIDAS Y CITRICOS</vt:lpstr>
      <vt:lpstr>GRAFICA LIMAS ACIDAS</vt:lpstr>
      <vt:lpstr>GRAFICA CITRICOS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Usuario</cp:lastModifiedBy>
  <cp:lastPrinted>2019-04-25T17:25:55Z</cp:lastPrinted>
  <dcterms:created xsi:type="dcterms:W3CDTF">2014-09-10T02:29:02Z</dcterms:created>
  <dcterms:modified xsi:type="dcterms:W3CDTF">2019-06-27T16:03:58Z</dcterms:modified>
</cp:coreProperties>
</file>