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hidePivotFieldList="1" defaultThemeVersion="124226"/>
  <bookViews>
    <workbookView xWindow="-120" yWindow="-120" windowWidth="15600" windowHeight="9240"/>
  </bookViews>
  <sheets>
    <sheet name="COSTOS PASSIFLORAS" sheetId="1" r:id="rId1"/>
    <sheet name="GRAFICA" sheetId="6" r:id="rId2"/>
    <sheet name="INVERSION TUTORADO" sheetId="9" r:id="rId3"/>
  </sheets>
  <calcPr calcId="125725"/>
</workbook>
</file>

<file path=xl/calcChain.xml><?xml version="1.0" encoding="utf-8"?>
<calcChain xmlns="http://schemas.openxmlformats.org/spreadsheetml/2006/main">
  <c r="G5" i="6"/>
  <c r="F5"/>
  <c r="E5"/>
  <c r="D5"/>
  <c r="C5"/>
  <c r="I65" i="1"/>
  <c r="H65"/>
  <c r="G65"/>
  <c r="F65"/>
  <c r="E56"/>
  <c r="H56" s="1"/>
  <c r="E52"/>
  <c r="I52" s="1"/>
  <c r="I51"/>
  <c r="I53" s="1"/>
  <c r="H51"/>
  <c r="G51"/>
  <c r="F51"/>
  <c r="I48"/>
  <c r="F48"/>
  <c r="E47"/>
  <c r="G47" s="1"/>
  <c r="G48" s="1"/>
  <c r="H5" i="6" l="1"/>
  <c r="E6" s="1"/>
  <c r="H47" i="1"/>
  <c r="H48" s="1"/>
  <c r="F52"/>
  <c r="F53" s="1"/>
  <c r="H52"/>
  <c r="H53" s="1"/>
  <c r="G56"/>
  <c r="I56"/>
  <c r="G52"/>
  <c r="G53" s="1"/>
  <c r="F56"/>
  <c r="F41"/>
  <c r="E39"/>
  <c r="I39" s="1"/>
  <c r="I41" s="1"/>
  <c r="I23"/>
  <c r="I43" s="1"/>
  <c r="E22"/>
  <c r="G22" s="1"/>
  <c r="H21"/>
  <c r="G21"/>
  <c r="H19"/>
  <c r="G19"/>
  <c r="H17"/>
  <c r="D15"/>
  <c r="H15" s="1"/>
  <c r="B7"/>
  <c r="F6" i="6" l="1"/>
  <c r="G6"/>
  <c r="C6"/>
  <c r="D6"/>
  <c r="F22" i="1"/>
  <c r="F23" s="1"/>
  <c r="F43" s="1"/>
  <c r="H22"/>
  <c r="E40"/>
  <c r="H40" s="1"/>
  <c r="H6" i="6" l="1"/>
  <c r="D16" i="1"/>
  <c r="G16" s="1"/>
  <c r="E38" l="1"/>
  <c r="H38" s="1"/>
  <c r="E37"/>
  <c r="H37" s="1"/>
  <c r="E26"/>
  <c r="G26" s="1"/>
  <c r="E20"/>
  <c r="G20" l="1"/>
  <c r="G23" s="1"/>
  <c r="H20"/>
  <c r="H23" s="1"/>
  <c r="E27" l="1"/>
  <c r="H27" s="1"/>
  <c r="E36" l="1"/>
  <c r="H36" s="1"/>
  <c r="E31"/>
  <c r="E29"/>
  <c r="G29" s="1"/>
  <c r="E28"/>
  <c r="H28" s="1"/>
  <c r="E33"/>
  <c r="H33" s="1"/>
  <c r="E34"/>
  <c r="G34" s="1"/>
  <c r="E35"/>
  <c r="H35" s="1"/>
  <c r="E32"/>
  <c r="H32" l="1"/>
  <c r="G32"/>
  <c r="H31"/>
  <c r="G31"/>
  <c r="G41" s="1"/>
  <c r="E30"/>
  <c r="H30" s="1"/>
  <c r="H41" s="1"/>
  <c r="H43" s="1"/>
  <c r="G43" l="1"/>
  <c r="E6" i="9"/>
  <c r="E11" l="1"/>
  <c r="E10"/>
  <c r="E9"/>
  <c r="E8"/>
  <c r="E7"/>
  <c r="E12" l="1"/>
  <c r="H15" s="1"/>
  <c r="I15" s="1"/>
  <c r="E57" i="1" s="1"/>
  <c r="H57" l="1"/>
  <c r="H58" s="1"/>
  <c r="H60" s="1"/>
  <c r="H62" s="1"/>
  <c r="F57"/>
  <c r="F58" s="1"/>
  <c r="F60" s="1"/>
  <c r="F62" s="1"/>
  <c r="I57"/>
  <c r="I58" s="1"/>
  <c r="I60" s="1"/>
  <c r="I62" s="1"/>
  <c r="G57"/>
  <c r="G58" s="1"/>
  <c r="G60" s="1"/>
  <c r="G62" s="1"/>
</calcChain>
</file>

<file path=xl/comments1.xml><?xml version="1.0" encoding="utf-8"?>
<comments xmlns="http://schemas.openxmlformats.org/spreadsheetml/2006/main">
  <authors>
    <author>FREDI</author>
    <author>MASTER</author>
    <author>Abelardo</author>
    <author>Asus</author>
    <author>majo useche</author>
  </authors>
  <commentList>
    <comment ref="D15" authorId="0">
      <text>
        <r>
          <rPr>
            <b/>
            <sz val="9"/>
            <color indexed="81"/>
            <rFont val="Tahoma"/>
            <charset val="1"/>
          </rPr>
          <t>5 LITROS X PLANTA Y SE HICIERON 4 APLICACIONES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5 LITROS X PLANTA Y SE HICIERON 4 APLICACIONES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CONSULTADO MERCADO LIBRE - 21-05-2019</t>
        </r>
      </text>
    </comment>
    <comment ref="E20" authorId="1">
      <text>
        <r>
          <rPr>
            <b/>
            <sz val="9"/>
            <color indexed="81"/>
            <rFont val="Tahoma"/>
            <family val="2"/>
          </rPr>
          <t>segun catalogo productos sena empresa</t>
        </r>
      </text>
    </comment>
    <comment ref="E21" authorId="2">
      <text>
        <r>
          <rPr>
            <b/>
            <sz val="9"/>
            <color indexed="81"/>
            <rFont val="Tahoma"/>
            <charset val="1"/>
          </rPr>
          <t>https://tienda.tierragro.com.co/agro/control-de-plagas-y-enfermedades/quimicos/fungicidas/ridomil-gold-40-375-grs.html</t>
        </r>
      </text>
    </comment>
    <comment ref="A22" authorId="2">
      <text>
        <r>
          <rPr>
            <b/>
            <sz val="9"/>
            <color indexed="81"/>
            <rFont val="Tahoma"/>
            <charset val="1"/>
          </rPr>
          <t xml:space="preserve">fertilizacion aplicada al semillero </t>
        </r>
      </text>
    </comment>
    <comment ref="E22" authorId="2">
      <text>
        <r>
          <rPr>
            <b/>
            <sz val="9"/>
            <color indexed="81"/>
            <rFont val="Tahoma"/>
            <charset val="1"/>
          </rPr>
          <t>https://tienda.tierragro.com.co/agro/fertilizantes/dap-50-kgs.html</t>
        </r>
      </text>
    </comment>
    <comment ref="E47" authorId="3">
      <text>
        <r>
          <rPr>
            <sz val="9"/>
            <color indexed="81"/>
            <rFont val="Tahoma"/>
            <charset val="1"/>
          </rPr>
          <t>1 GALON DE GASOLINA VALE $9.586 Y EQUIVALE A 3,78 LITROS</t>
        </r>
      </text>
    </comment>
    <comment ref="A56" authorId="4">
      <text>
        <r>
          <rPr>
            <b/>
            <sz val="9"/>
            <color indexed="81"/>
            <rFont val="Tahoma"/>
            <family val="2"/>
          </rPr>
          <t xml:space="preserve">plateo
lavado de tanque
limpieza de barbechos
aplicación de cal al pediluvio
revision de bioseguridad
</t>
        </r>
      </text>
    </comment>
  </commentList>
</comments>
</file>

<file path=xl/sharedStrings.xml><?xml version="1.0" encoding="utf-8"?>
<sst xmlns="http://schemas.openxmlformats.org/spreadsheetml/2006/main" count="188" uniqueCount="125">
  <si>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</si>
  <si>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</si>
  <si>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</si>
  <si>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</si>
  <si>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</si>
  <si>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</si>
  <si>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</si>
  <si>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</si>
  <si>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</si>
  <si>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</si>
  <si>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</si>
  <si>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</si>
  <si>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</si>
  <si>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</si>
  <si>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m3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</si>
  <si>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</si>
  <si>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</si>
  <si>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</si>
  <si>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</si>
  <si>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</si>
  <si>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</si>
  <si>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</si>
  <si>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</si>
  <si>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</si>
  <si>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</si>
  <si>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</si>
  <si>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</si>
  <si>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</si>
  <si>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</si>
  <si>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</si>
  <si>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</si>
  <si>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</si>
  <si>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</si>
  <si>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</si>
  <si>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</si>
  <si>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</si>
  <si>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</si>
  <si>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</si>
  <si>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</si>
  <si>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</si>
  <si>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</si>
  <si>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</si>
  <si>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FECHA DE SIEMBRA: </t>
  </si>
  <si>
    <t>agua</t>
  </si>
  <si>
    <t>CONTROL DE DOCUMENTO</t>
  </si>
  <si>
    <t>ELABORO: MARIA INES MIÑOZ, LINA VARGAS, MIGUEL A. VILLALBA</t>
  </si>
  <si>
    <t>FECHA: 19-09-2018</t>
  </si>
  <si>
    <t>LOTE 2</t>
  </si>
  <si>
    <t>MANTENIMIENTO CASETA BPA</t>
  </si>
  <si>
    <t>HORA</t>
  </si>
  <si>
    <t>COSTO TOTAL MODULO A</t>
  </si>
  <si>
    <t>COSTO TOTAL MODULO C</t>
  </si>
  <si>
    <t>MES</t>
  </si>
  <si>
    <t xml:space="preserve">                     CULTIVO: </t>
  </si>
  <si>
    <t xml:space="preserve">MARACUYA  </t>
  </si>
  <si>
    <t>CONCEPTO</t>
  </si>
  <si>
    <t>VALOR UNITARIO</t>
  </si>
  <si>
    <t>VALOR TOTAL</t>
  </si>
  <si>
    <t>TUTORADO</t>
  </si>
  <si>
    <t>Postes Reciclados</t>
  </si>
  <si>
    <t>und</t>
  </si>
  <si>
    <t>Postes negros</t>
  </si>
  <si>
    <t>tensor de cable</t>
  </si>
  <si>
    <t>alambre galvanizado</t>
  </si>
  <si>
    <t>kg</t>
  </si>
  <si>
    <t>varilla corugada /3mtr</t>
  </si>
  <si>
    <t>grapas</t>
  </si>
  <si>
    <t>TOTAL PRESUPUESTO DE INVERSION FISICA</t>
  </si>
  <si>
    <t>VIDA UTIL EN AÑOS</t>
  </si>
  <si>
    <t>DEPREC. POR AÑO</t>
  </si>
  <si>
    <t>DEPREC. POR MES</t>
  </si>
  <si>
    <t>OK REVISADO AL 12/12/2017</t>
  </si>
  <si>
    <t>MATERIA PRIMA</t>
  </si>
  <si>
    <t>METERIA PRIMA E INSUMOS DIRECTOS</t>
  </si>
  <si>
    <t>Mayo de 2011</t>
  </si>
  <si>
    <t>SUBTOTAL  MATERIA PRIMA E INSUMOS  DIRECTOS:</t>
  </si>
  <si>
    <t xml:space="preserve">AREA TOTAL: </t>
  </si>
  <si>
    <t xml:space="preserve">10000 M2 </t>
  </si>
  <si>
    <t>DEPRECIACION TUTORADO AÑO 2016</t>
  </si>
  <si>
    <t>GASOLINA</t>
  </si>
  <si>
    <t>LT</t>
  </si>
  <si>
    <t>nativo</t>
  </si>
  <si>
    <t>cm3</t>
  </si>
  <si>
    <t>fungicida</t>
  </si>
  <si>
    <t xml:space="preserve">FECHA DE RESIEMBRA: </t>
  </si>
  <si>
    <t>13 DE JUNIO DE 2016</t>
  </si>
  <si>
    <t>g</t>
  </si>
  <si>
    <t>COSTO TOTAL MODULO B</t>
  </si>
  <si>
    <t>COSTO TOTAL MODULO D</t>
  </si>
  <si>
    <t>ABRIL</t>
  </si>
  <si>
    <t>2500 m2</t>
  </si>
  <si>
    <t>lorsban</t>
  </si>
  <si>
    <t xml:space="preserve">fertilizante </t>
  </si>
  <si>
    <t>dap</t>
  </si>
  <si>
    <t>PLATEO MANUAL modulo B</t>
  </si>
  <si>
    <t>PLATEO MANUAL MODULO C</t>
  </si>
  <si>
    <t>manejo de arvenses mecanico modulo  c</t>
  </si>
  <si>
    <t>manejo de arvenses mecanico modulo b</t>
  </si>
  <si>
    <t xml:space="preserve">fertilizacion al semillero </t>
  </si>
  <si>
    <t>riego modulo C</t>
  </si>
  <si>
    <t>riego modulo B</t>
  </si>
  <si>
    <t>siembra modulo C</t>
  </si>
  <si>
    <t>Trasplante de semillero</t>
  </si>
  <si>
    <t>manejo de arvenses manual modulo  C</t>
  </si>
  <si>
    <t xml:space="preserve">adecuacion del semillero </t>
  </si>
  <si>
    <t>m2</t>
  </si>
  <si>
    <t>Ridomil</t>
  </si>
  <si>
    <t xml:space="preserve">recoleccion de frutos caidos </t>
  </si>
  <si>
    <t>COSTO TOTAL MODULO A                   ( MARACUYA )</t>
  </si>
  <si>
    <t>COSTO TOTAL MODULO B                ( CHOLUPA )</t>
  </si>
  <si>
    <t>COSTO TOTAL MODULO C                         ( MARACUYA )</t>
  </si>
  <si>
    <t>COSTO TOTAL MODULO D                        ( BADEA )</t>
  </si>
  <si>
    <t>MARACUYA , CHOLUPA Y BADEA</t>
  </si>
  <si>
    <t>Agua para riego mòdulo C</t>
  </si>
  <si>
    <t xml:space="preserve">Agua para riego mòdulo B </t>
  </si>
  <si>
    <t>MARACUYA</t>
  </si>
  <si>
    <t>PLANTULA DE MARACUYA - MODULO C</t>
  </si>
  <si>
    <t>aplicación de fungicida a modulo B Y C</t>
  </si>
  <si>
    <t xml:space="preserve">Guiado de plantas al tutorado </t>
  </si>
  <si>
    <t>manejo de arvenses mecanico (rotospeed)</t>
  </si>
  <si>
    <t>COMBUSTIBLE</t>
  </si>
  <si>
    <t>PRODUCCION EN KG PRODUCTOS DE PASSIFLORA EN PROCESO</t>
  </si>
  <si>
    <t>MIGUEL A.VILLALBA</t>
  </si>
  <si>
    <t>COSTOS DE PRODUCCIÓN CULTIVOS DE PASSIFLORAS MES DE ABRIL 2019</t>
  </si>
  <si>
    <t>OK REVISADO</t>
  </si>
</sst>
</file>

<file path=xl/styles.xml><?xml version="1.0" encoding="utf-8"?>
<styleSheet xmlns="http://schemas.openxmlformats.org/spreadsheetml/2006/main">
  <numFmts count="8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* #,##0_-;\-* #,##0_-;_-* &quot;-&quot;_-;_-@_-"/>
    <numFmt numFmtId="165" formatCode="_-&quot;$&quot;\ * #,##0_-;\-&quot;$&quot;\ * #,##0_-;_-&quot;$&quot;\ * &quot;-&quot;_-;_-@_-"/>
    <numFmt numFmtId="166" formatCode="_(&quot;$&quot;\ * #,##0_);_(&quot;$&quot;\ * \(#,##0\);_(&quot;$&quot;\ * &quot;-&quot;??_);_(@_)"/>
    <numFmt numFmtId="167" formatCode="0.0%"/>
    <numFmt numFmtId="168" formatCode="_(&quot;$&quot;* #,##0_);_(&quot;$&quot;* \(#,##0\);_(&quot;$&quot;* &quot;-&quot;??_);_(@_)"/>
    <numFmt numFmtId="169" formatCode="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4" fillId="0" borderId="1" xfId="0" applyFont="1" applyBorder="1"/>
    <xf numFmtId="166" fontId="4" fillId="0" borderId="1" xfId="1" applyNumberFormat="1" applyFont="1" applyBorder="1"/>
    <xf numFmtId="167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7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6" fontId="4" fillId="0" borderId="0" xfId="0" applyNumberFormat="1" applyFont="1"/>
    <xf numFmtId="0" fontId="7" fillId="3" borderId="4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7" fillId="3" borderId="2" xfId="0" applyFont="1" applyFill="1" applyBorder="1"/>
    <xf numFmtId="0" fontId="7" fillId="3" borderId="9" xfId="0" applyFont="1" applyFill="1" applyBorder="1"/>
    <xf numFmtId="0" fontId="7" fillId="3" borderId="10" xfId="0" applyFont="1" applyFill="1" applyBorder="1" applyAlignment="1">
      <alignment horizontal="center"/>
    </xf>
    <xf numFmtId="0" fontId="7" fillId="3" borderId="1" xfId="0" applyFont="1" applyFill="1" applyBorder="1"/>
    <xf numFmtId="0" fontId="0" fillId="3" borderId="3" xfId="0" applyFill="1" applyBorder="1" applyAlignment="1">
      <alignment horizontal="center"/>
    </xf>
    <xf numFmtId="166" fontId="0" fillId="3" borderId="4" xfId="1" applyNumberFormat="1" applyFont="1" applyFill="1" applyBorder="1"/>
    <xf numFmtId="0" fontId="7" fillId="3" borderId="2" xfId="0" applyFont="1" applyFill="1" applyBorder="1" applyAlignment="1">
      <alignment horizontal="left"/>
    </xf>
    <xf numFmtId="166" fontId="0" fillId="3" borderId="3" xfId="1" applyNumberFormat="1" applyFont="1" applyFill="1" applyBorder="1"/>
    <xf numFmtId="166" fontId="0" fillId="3" borderId="9" xfId="1" applyNumberFormat="1" applyFont="1" applyFill="1" applyBorder="1"/>
    <xf numFmtId="0" fontId="0" fillId="0" borderId="0" xfId="0" applyAlignment="1">
      <alignment horizontal="center"/>
    </xf>
    <xf numFmtId="166" fontId="0" fillId="0" borderId="0" xfId="1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6" fontId="0" fillId="3" borderId="3" xfId="0" applyNumberFormat="1" applyFill="1" applyBorder="1"/>
    <xf numFmtId="0" fontId="0" fillId="0" borderId="1" xfId="0" applyBorder="1"/>
    <xf numFmtId="166" fontId="0" fillId="0" borderId="1" xfId="0" applyNumberFormat="1" applyBorder="1"/>
    <xf numFmtId="168" fontId="0" fillId="0" borderId="1" xfId="0" applyNumberForma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4" fontId="0" fillId="0" borderId="1" xfId="1" applyFont="1" applyBorder="1"/>
    <xf numFmtId="166" fontId="0" fillId="0" borderId="1" xfId="1" applyNumberFormat="1" applyFont="1" applyBorder="1"/>
    <xf numFmtId="166" fontId="1" fillId="3" borderId="3" xfId="1" applyNumberFormat="1" applyFill="1" applyBorder="1"/>
    <xf numFmtId="6" fontId="0" fillId="0" borderId="1" xfId="0" applyNumberFormat="1" applyBorder="1"/>
    <xf numFmtId="166" fontId="9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44" fontId="0" fillId="0" borderId="0" xfId="0" applyNumberFormat="1"/>
    <xf numFmtId="0" fontId="0" fillId="3" borderId="5" xfId="0" applyFill="1" applyBorder="1" applyAlignment="1">
      <alignment horizontal="center"/>
    </xf>
    <xf numFmtId="6" fontId="0" fillId="3" borderId="4" xfId="0" applyNumberFormat="1" applyFill="1" applyBorder="1"/>
    <xf numFmtId="0" fontId="11" fillId="6" borderId="1" xfId="7" applyFont="1" applyFill="1" applyBorder="1" applyAlignment="1">
      <alignment horizontal="left" vertical="center"/>
    </xf>
    <xf numFmtId="3" fontId="11" fillId="3" borderId="1" xfId="7" applyNumberFormat="1" applyFont="1" applyFill="1" applyBorder="1" applyAlignment="1">
      <alignment horizontal="left"/>
    </xf>
    <xf numFmtId="3" fontId="11" fillId="3" borderId="1" xfId="7" applyNumberFormat="1" applyFont="1" applyFill="1" applyBorder="1"/>
    <xf numFmtId="0" fontId="11" fillId="3" borderId="1" xfId="7" applyFont="1" applyFill="1" applyBorder="1"/>
    <xf numFmtId="0" fontId="4" fillId="0" borderId="1" xfId="7" applyFont="1" applyBorder="1"/>
    <xf numFmtId="0" fontId="4" fillId="0" borderId="1" xfId="7" applyFont="1" applyBorder="1" applyAlignment="1">
      <alignment horizontal="center"/>
    </xf>
    <xf numFmtId="0" fontId="12" fillId="0" borderId="1" xfId="7" applyFont="1" applyBorder="1" applyAlignment="1">
      <alignment horizontal="center" vertical="center"/>
    </xf>
    <xf numFmtId="166" fontId="12" fillId="0" borderId="1" xfId="8" applyNumberFormat="1" applyFont="1" applyBorder="1"/>
    <xf numFmtId="0" fontId="12" fillId="0" borderId="1" xfId="7" applyFont="1" applyBorder="1"/>
    <xf numFmtId="0" fontId="12" fillId="0" borderId="1" xfId="7" applyFont="1" applyBorder="1" applyAlignment="1">
      <alignment horizontal="center"/>
    </xf>
    <xf numFmtId="166" fontId="11" fillId="0" borderId="1" xfId="8" applyNumberFormat="1" applyFont="1" applyBorder="1" applyAlignment="1">
      <alignment vertical="center"/>
    </xf>
    <xf numFmtId="0" fontId="5" fillId="7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6" fontId="1" fillId="4" borderId="3" xfId="1" applyNumberFormat="1" applyFill="1" applyBorder="1"/>
    <xf numFmtId="0" fontId="0" fillId="4" borderId="1" xfId="0" applyFill="1" applyBorder="1"/>
    <xf numFmtId="6" fontId="0" fillId="4" borderId="1" xfId="0" applyNumberFormat="1" applyFill="1" applyBorder="1"/>
    <xf numFmtId="166" fontId="0" fillId="0" borderId="0" xfId="0" applyNumberFormat="1"/>
    <xf numFmtId="0" fontId="0" fillId="0" borderId="2" xfId="0" applyBorder="1" applyAlignment="1">
      <alignment horizontal="left"/>
    </xf>
    <xf numFmtId="0" fontId="0" fillId="3" borderId="4" xfId="0" applyFill="1" applyBorder="1"/>
    <xf numFmtId="166" fontId="7" fillId="4" borderId="1" xfId="0" applyNumberFormat="1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44" fontId="7" fillId="3" borderId="1" xfId="1" applyFont="1" applyFill="1" applyBorder="1"/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0" fillId="0" borderId="1" xfId="12" applyFont="1" applyBorder="1"/>
    <xf numFmtId="168" fontId="7" fillId="4" borderId="1" xfId="0" applyNumberFormat="1" applyFont="1" applyFill="1" applyBorder="1" applyAlignment="1">
      <alignment vertical="center"/>
    </xf>
    <xf numFmtId="44" fontId="7" fillId="4" borderId="1" xfId="1" applyFont="1" applyFill="1" applyBorder="1" applyAlignment="1">
      <alignment vertical="center"/>
    </xf>
    <xf numFmtId="167" fontId="1" fillId="0" borderId="6" xfId="2" applyNumberFormat="1" applyBorder="1" applyAlignment="1" applyProtection="1">
      <alignment horizontal="center" vertical="center"/>
      <protection hidden="1"/>
    </xf>
    <xf numFmtId="164" fontId="0" fillId="0" borderId="1" xfId="13" applyFont="1" applyBorder="1"/>
    <xf numFmtId="164" fontId="0" fillId="0" borderId="1" xfId="0" applyNumberFormat="1" applyBorder="1"/>
    <xf numFmtId="0" fontId="9" fillId="3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center"/>
    </xf>
    <xf numFmtId="166" fontId="9" fillId="5" borderId="6" xfId="0" applyNumberFormat="1" applyFont="1" applyFill="1" applyBorder="1" applyAlignment="1">
      <alignment vertical="center"/>
    </xf>
    <xf numFmtId="165" fontId="0" fillId="0" borderId="0" xfId="12" applyFont="1"/>
    <xf numFmtId="166" fontId="0" fillId="3" borderId="1" xfId="1" applyNumberFormat="1" applyFont="1" applyFill="1" applyBorder="1"/>
    <xf numFmtId="166" fontId="7" fillId="4" borderId="1" xfId="1" applyNumberFormat="1" applyFont="1" applyFill="1" applyBorder="1" applyAlignment="1">
      <alignment vertical="center"/>
    </xf>
    <xf numFmtId="168" fontId="0" fillId="0" borderId="0" xfId="0" applyNumberFormat="1"/>
    <xf numFmtId="0" fontId="8" fillId="0" borderId="7" xfId="0" applyFont="1" applyBorder="1" applyAlignment="1">
      <alignment horizontal="left"/>
    </xf>
    <xf numFmtId="44" fontId="1" fillId="3" borderId="3" xfId="1" applyNumberFormat="1" applyFill="1" applyBorder="1"/>
    <xf numFmtId="1" fontId="7" fillId="0" borderId="0" xfId="0" applyNumberFormat="1" applyFont="1"/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169" fontId="0" fillId="3" borderId="2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4" fontId="4" fillId="0" borderId="0" xfId="1" applyFont="1"/>
    <xf numFmtId="0" fontId="0" fillId="0" borderId="1" xfId="0" applyBorder="1" applyAlignment="1">
      <alignment horizontal="left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7" fillId="3" borderId="1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9" fillId="0" borderId="7" xfId="0" applyFont="1" applyBorder="1" applyAlignment="1">
      <alignment horizontal="center"/>
    </xf>
    <xf numFmtId="14" fontId="10" fillId="0" borderId="3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1" fillId="7" borderId="3" xfId="7" applyFont="1" applyFill="1" applyBorder="1" applyAlignment="1">
      <alignment horizontal="center" vertical="center" wrapText="1"/>
    </xf>
    <xf numFmtId="0" fontId="11" fillId="7" borderId="4" xfId="7" applyFont="1" applyFill="1" applyBorder="1" applyAlignment="1">
      <alignment horizontal="center" vertical="center" wrapText="1"/>
    </xf>
    <xf numFmtId="0" fontId="11" fillId="7" borderId="5" xfId="7" applyFont="1" applyFill="1" applyBorder="1" applyAlignment="1">
      <alignment horizontal="center" vertical="center" wrapText="1"/>
    </xf>
    <xf numFmtId="0" fontId="11" fillId="6" borderId="3" xfId="7" applyFont="1" applyFill="1" applyBorder="1" applyAlignment="1">
      <alignment horizontal="left" vertical="center"/>
    </xf>
    <xf numFmtId="0" fontId="11" fillId="6" borderId="4" xfId="7" applyFont="1" applyFill="1" applyBorder="1" applyAlignment="1">
      <alignment horizontal="left" vertical="center"/>
    </xf>
    <xf numFmtId="0" fontId="11" fillId="6" borderId="5" xfId="7" applyFont="1" applyFill="1" applyBorder="1" applyAlignment="1">
      <alignment horizontal="left" vertical="center"/>
    </xf>
    <xf numFmtId="0" fontId="11" fillId="7" borderId="1" xfId="7" applyFont="1" applyFill="1" applyBorder="1" applyAlignment="1">
      <alignment horizontal="center" vertical="center" wrapText="1"/>
    </xf>
  </cellXfs>
  <cellStyles count="14">
    <cellStyle name="Millares [0]" xfId="13" builtinId="6"/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CULTIVOS DE PASSIFLORAS 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ABRIL 2019</a:t>
            </a:r>
          </a:p>
        </c:rich>
      </c:tx>
      <c:layout>
        <c:manualLayout>
          <c:xMode val="edge"/>
          <c:yMode val="edge"/>
          <c:x val="0.14755073298764484"/>
          <c:y val="5.0142441143649692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dLbls>
            <c:dLbl>
              <c:idx val="5"/>
              <c:layout>
                <c:manualLayout>
                  <c:x val="-1.7897091722595081E-3"/>
                  <c:y val="-2.735042244199077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4C-43CA-93BE-EA43E82261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METERIA PRIMA E INSUMOS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49301.918799999999</c:v>
                </c:pt>
                <c:pt idx="1">
                  <c:v>338250</c:v>
                </c:pt>
                <c:pt idx="2">
                  <c:v>10143.915343915345</c:v>
                </c:pt>
                <c:pt idx="3">
                  <c:v>239718.32</c:v>
                </c:pt>
                <c:pt idx="4">
                  <c:v>91916.045999999988</c:v>
                </c:pt>
                <c:pt idx="5">
                  <c:v>729330.20014391525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50-40FC-B1F5-2084B3FFA6D2}"/>
            </c:ext>
          </c:extLst>
        </c:ser>
        <c:dLbls>
          <c:showVal val="1"/>
        </c:dLbls>
        <c:shape val="box"/>
        <c:axId val="64004864"/>
        <c:axId val="64006400"/>
        <c:axId val="0"/>
      </c:bar3DChart>
      <c:catAx>
        <c:axId val="640048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06400"/>
        <c:crosses val="autoZero"/>
        <c:auto val="1"/>
        <c:lblAlgn val="ctr"/>
        <c:lblOffset val="100"/>
      </c:catAx>
      <c:valAx>
        <c:axId val="640064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0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</xdr:row>
      <xdr:rowOff>157161</xdr:rowOff>
    </xdr:from>
    <xdr:to>
      <xdr:col>8</xdr:col>
      <xdr:colOff>9524</xdr:colOff>
      <xdr:row>24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tabSelected="1" topLeftCell="B58" zoomScale="95" zoomScaleNormal="95" workbookViewId="0">
      <selection activeCell="I58" sqref="I58"/>
    </sheetView>
  </sheetViews>
  <sheetFormatPr baseColWidth="10" defaultColWidth="11.42578125" defaultRowHeight="15"/>
  <cols>
    <col min="1" max="1" width="43" customWidth="1"/>
    <col min="2" max="2" width="23.140625" customWidth="1"/>
    <col min="3" max="3" width="13" style="25" customWidth="1"/>
    <col min="4" max="4" width="12.28515625" customWidth="1"/>
    <col min="5" max="5" width="11.28515625" customWidth="1"/>
    <col min="6" max="6" width="15.7109375" customWidth="1"/>
    <col min="7" max="7" width="16.42578125" customWidth="1"/>
    <col min="8" max="9" width="17.28515625" customWidth="1"/>
    <col min="10" max="10" width="18.28515625" customWidth="1"/>
    <col min="11" max="11" width="12.140625" bestFit="1" customWidth="1"/>
    <col min="12" max="12" width="13.28515625" bestFit="1" customWidth="1"/>
  </cols>
  <sheetData>
    <row r="1" spans="1:9" ht="34.5" customHeight="1">
      <c r="A1" s="43" t="s">
        <v>29</v>
      </c>
      <c r="B1" s="27"/>
      <c r="C1" s="28"/>
      <c r="D1" s="27"/>
      <c r="E1" s="27"/>
    </row>
    <row r="2" spans="1:9" ht="22.5" customHeight="1">
      <c r="A2" s="43" t="s">
        <v>40</v>
      </c>
      <c r="B2" s="27" t="s">
        <v>89</v>
      </c>
      <c r="C2" s="28"/>
      <c r="D2" s="27"/>
      <c r="E2" s="27"/>
    </row>
    <row r="3" spans="1:9" ht="52.5" customHeight="1">
      <c r="A3" s="43" t="s">
        <v>41</v>
      </c>
      <c r="B3" s="44">
        <v>2019</v>
      </c>
      <c r="C3" s="28"/>
      <c r="D3" s="27"/>
      <c r="E3" s="27"/>
      <c r="F3" s="85" t="s">
        <v>50</v>
      </c>
      <c r="G3" s="85" t="s">
        <v>87</v>
      </c>
      <c r="H3" s="85" t="s">
        <v>51</v>
      </c>
      <c r="I3" s="85" t="s">
        <v>88</v>
      </c>
    </row>
    <row r="4" spans="1:9" ht="15.75" customHeight="1">
      <c r="A4" s="27" t="s">
        <v>76</v>
      </c>
      <c r="B4" s="27" t="s">
        <v>77</v>
      </c>
      <c r="C4" s="27"/>
      <c r="D4" s="27"/>
      <c r="E4" s="27"/>
      <c r="F4" s="28" t="s">
        <v>90</v>
      </c>
      <c r="G4" s="28" t="s">
        <v>90</v>
      </c>
      <c r="H4" s="28" t="s">
        <v>90</v>
      </c>
      <c r="I4" s="28" t="s">
        <v>90</v>
      </c>
    </row>
    <row r="5" spans="1:9">
      <c r="A5" s="27" t="s">
        <v>42</v>
      </c>
      <c r="B5" s="27" t="s">
        <v>74</v>
      </c>
      <c r="C5" s="28"/>
      <c r="D5" s="27"/>
      <c r="E5" s="27"/>
    </row>
    <row r="6" spans="1:9">
      <c r="A6" s="27" t="s">
        <v>84</v>
      </c>
      <c r="B6" s="27" t="s">
        <v>85</v>
      </c>
      <c r="C6" s="28"/>
      <c r="D6" s="27"/>
      <c r="E6" s="27"/>
    </row>
    <row r="7" spans="1:9" ht="18" customHeight="1">
      <c r="A7" s="27" t="s">
        <v>28</v>
      </c>
      <c r="B7" s="44">
        <f>F7+G7+H7+I7</f>
        <v>100</v>
      </c>
      <c r="C7" s="27"/>
      <c r="D7" s="27"/>
      <c r="E7" s="27"/>
      <c r="F7" s="86">
        <v>0</v>
      </c>
      <c r="G7" s="86">
        <v>10</v>
      </c>
      <c r="H7" s="86">
        <v>90</v>
      </c>
      <c r="I7" s="86">
        <v>0</v>
      </c>
    </row>
    <row r="8" spans="1:9" ht="18" customHeight="1">
      <c r="A8" s="27" t="s">
        <v>22</v>
      </c>
      <c r="B8" s="27" t="s">
        <v>23</v>
      </c>
      <c r="C8"/>
      <c r="D8" s="27"/>
      <c r="E8" s="27"/>
    </row>
    <row r="9" spans="1:9" ht="18" customHeight="1">
      <c r="A9" s="27" t="s">
        <v>21</v>
      </c>
      <c r="B9" s="27" t="s">
        <v>47</v>
      </c>
      <c r="C9"/>
      <c r="D9" s="27"/>
      <c r="E9" s="27"/>
    </row>
    <row r="10" spans="1:9" ht="18" customHeight="1">
      <c r="A10" s="27" t="s">
        <v>24</v>
      </c>
      <c r="B10" s="142" t="s">
        <v>112</v>
      </c>
      <c r="C10" s="142"/>
      <c r="D10" s="142"/>
      <c r="E10" s="142"/>
    </row>
    <row r="11" spans="1:9" ht="18" customHeight="1">
      <c r="A11" s="27"/>
      <c r="B11" s="27"/>
      <c r="C11" s="27"/>
      <c r="E11" s="27"/>
    </row>
    <row r="12" spans="1:9" ht="18" customHeight="1">
      <c r="A12" s="27"/>
      <c r="B12" s="27"/>
      <c r="C12" s="28"/>
      <c r="D12" s="27"/>
      <c r="E12" s="27"/>
    </row>
    <row r="13" spans="1:9" ht="52.5" customHeight="1">
      <c r="A13" s="37" t="s">
        <v>33</v>
      </c>
      <c r="B13" s="36" t="s">
        <v>5</v>
      </c>
      <c r="C13" s="36" t="s">
        <v>13</v>
      </c>
      <c r="D13" s="36" t="s">
        <v>6</v>
      </c>
      <c r="E13" s="36" t="s">
        <v>25</v>
      </c>
      <c r="F13" s="36" t="s">
        <v>108</v>
      </c>
      <c r="G13" s="36" t="s">
        <v>109</v>
      </c>
      <c r="H13" s="36" t="s">
        <v>110</v>
      </c>
      <c r="I13" s="36" t="s">
        <v>111</v>
      </c>
    </row>
    <row r="14" spans="1:9" ht="29.25" customHeight="1">
      <c r="A14" s="38" t="s">
        <v>72</v>
      </c>
      <c r="B14" s="72"/>
      <c r="C14" s="73"/>
      <c r="D14" s="74"/>
      <c r="E14" s="75"/>
      <c r="F14" s="76"/>
      <c r="G14" s="77"/>
      <c r="H14" s="77"/>
      <c r="I14" s="77"/>
    </row>
    <row r="15" spans="1:9" ht="18.75" customHeight="1">
      <c r="A15" s="15" t="s">
        <v>113</v>
      </c>
      <c r="B15" s="14" t="s">
        <v>43</v>
      </c>
      <c r="C15" s="14" t="s">
        <v>14</v>
      </c>
      <c r="D15" s="14">
        <f>(5*90)*(4)/1000</f>
        <v>1.8</v>
      </c>
      <c r="E15" s="32">
        <v>32</v>
      </c>
      <c r="F15" s="48"/>
      <c r="G15" s="48"/>
      <c r="H15" s="48">
        <f>(D15*E15)</f>
        <v>57.6</v>
      </c>
      <c r="I15" s="48"/>
    </row>
    <row r="16" spans="1:9" ht="25.5" customHeight="1">
      <c r="A16" s="15" t="s">
        <v>114</v>
      </c>
      <c r="B16" s="14" t="s">
        <v>43</v>
      </c>
      <c r="C16" s="14" t="s">
        <v>14</v>
      </c>
      <c r="D16" s="14">
        <f>(5*10)*(4)/1000</f>
        <v>0.2</v>
      </c>
      <c r="E16" s="32">
        <v>32</v>
      </c>
      <c r="F16" s="48"/>
      <c r="G16" s="48">
        <f>D16*E16</f>
        <v>6.4</v>
      </c>
      <c r="H16" s="48"/>
      <c r="I16" s="48"/>
    </row>
    <row r="17" spans="1:10" ht="25.5" customHeight="1">
      <c r="A17" s="106" t="s">
        <v>116</v>
      </c>
      <c r="B17" s="14" t="s">
        <v>115</v>
      </c>
      <c r="C17" s="14" t="s">
        <v>60</v>
      </c>
      <c r="D17" s="14">
        <v>30</v>
      </c>
      <c r="E17" s="32">
        <v>1200</v>
      </c>
      <c r="F17" s="48"/>
      <c r="G17" s="48"/>
      <c r="H17" s="48">
        <f>D17*E17</f>
        <v>36000</v>
      </c>
      <c r="I17" s="48"/>
    </row>
    <row r="18" spans="1:10" ht="27.75" customHeight="1">
      <c r="A18" s="38" t="s">
        <v>34</v>
      </c>
      <c r="B18" s="86"/>
      <c r="C18" s="33"/>
      <c r="D18" s="33"/>
      <c r="E18" s="91"/>
      <c r="F18" s="92"/>
      <c r="G18" s="33"/>
      <c r="H18" s="33"/>
      <c r="I18" s="33"/>
    </row>
    <row r="19" spans="1:10" ht="28.5" customHeight="1">
      <c r="A19" s="79" t="s">
        <v>83</v>
      </c>
      <c r="B19" s="86" t="s">
        <v>81</v>
      </c>
      <c r="C19" s="86" t="s">
        <v>82</v>
      </c>
      <c r="D19" s="86">
        <v>50</v>
      </c>
      <c r="E19" s="91">
        <v>123</v>
      </c>
      <c r="F19" s="92"/>
      <c r="G19" s="46">
        <f>(D19*E19)/2</f>
        <v>3075</v>
      </c>
      <c r="H19" s="46">
        <f>(D19*E19)/2</f>
        <v>3075</v>
      </c>
      <c r="I19" s="45"/>
    </row>
    <row r="20" spans="1:10" ht="28.5" customHeight="1">
      <c r="A20" s="79" t="s">
        <v>83</v>
      </c>
      <c r="B20" s="105" t="s">
        <v>91</v>
      </c>
      <c r="C20" s="30" t="s">
        <v>86</v>
      </c>
      <c r="D20" s="31">
        <v>75</v>
      </c>
      <c r="E20" s="47">
        <f>23782/1000</f>
        <v>23.782</v>
      </c>
      <c r="F20" s="46"/>
      <c r="G20" s="46">
        <f>(D20*E20)/2</f>
        <v>891.82500000000005</v>
      </c>
      <c r="H20" s="46">
        <f>(D20*E20)/2</f>
        <v>891.82500000000005</v>
      </c>
      <c r="I20" s="45"/>
    </row>
    <row r="21" spans="1:10" ht="28.5" customHeight="1">
      <c r="A21" s="79" t="s">
        <v>83</v>
      </c>
      <c r="B21" s="105" t="s">
        <v>106</v>
      </c>
      <c r="C21" s="30" t="s">
        <v>86</v>
      </c>
      <c r="D21" s="31">
        <v>50</v>
      </c>
      <c r="E21" s="103">
        <v>62.67</v>
      </c>
      <c r="F21" s="46"/>
      <c r="G21" s="46">
        <f>(D21*E21)/2</f>
        <v>1566.75</v>
      </c>
      <c r="H21" s="46">
        <f>(D21*E21)/2</f>
        <v>1566.75</v>
      </c>
      <c r="I21" s="45"/>
      <c r="J21" s="98"/>
    </row>
    <row r="22" spans="1:10" ht="28.5" customHeight="1">
      <c r="A22" s="79" t="s">
        <v>92</v>
      </c>
      <c r="B22" s="105" t="s">
        <v>93</v>
      </c>
      <c r="C22" s="30" t="s">
        <v>86</v>
      </c>
      <c r="D22" s="107">
        <v>1109.8</v>
      </c>
      <c r="E22" s="103">
        <f>1956/1000</f>
        <v>1.956</v>
      </c>
      <c r="F22" s="46">
        <f>(D22*E22)/3</f>
        <v>723.5895999999999</v>
      </c>
      <c r="G22" s="46">
        <f>(D22*E22)/3</f>
        <v>723.5895999999999</v>
      </c>
      <c r="H22" s="46">
        <f>(D22*E22)/3</f>
        <v>723.5895999999999</v>
      </c>
      <c r="I22" s="45"/>
    </row>
    <row r="23" spans="1:10" ht="28.5" customHeight="1">
      <c r="A23" s="128" t="s">
        <v>75</v>
      </c>
      <c r="B23" s="112"/>
      <c r="C23" s="112"/>
      <c r="D23" s="112"/>
      <c r="E23" s="113"/>
      <c r="F23" s="81">
        <f>SUM(F15:F22)</f>
        <v>723.5895999999999</v>
      </c>
      <c r="G23" s="81">
        <f>SUM(G15:G22)</f>
        <v>6263.5646000000006</v>
      </c>
      <c r="H23" s="81">
        <f>SUM(H15:H22)</f>
        <v>42314.764599999995</v>
      </c>
      <c r="I23" s="81">
        <f>SUM(I15:I22)</f>
        <v>0</v>
      </c>
      <c r="J23" s="78"/>
    </row>
    <row r="24" spans="1:10" ht="28.5" customHeight="1">
      <c r="A24" s="149"/>
      <c r="B24" s="150"/>
      <c r="C24" s="150"/>
      <c r="D24" s="150"/>
      <c r="E24" s="150"/>
      <c r="F24" s="150"/>
      <c r="G24" s="150"/>
      <c r="H24" s="150"/>
      <c r="I24" s="151"/>
      <c r="J24" s="78"/>
    </row>
    <row r="25" spans="1:10" ht="54.75" customHeight="1">
      <c r="A25" s="128" t="s">
        <v>26</v>
      </c>
      <c r="B25" s="113"/>
      <c r="C25" s="40" t="s">
        <v>13</v>
      </c>
      <c r="D25" s="41" t="s">
        <v>6</v>
      </c>
      <c r="E25" s="42" t="s">
        <v>25</v>
      </c>
      <c r="F25" s="36" t="s">
        <v>108</v>
      </c>
      <c r="G25" s="36" t="s">
        <v>109</v>
      </c>
      <c r="H25" s="36" t="s">
        <v>110</v>
      </c>
      <c r="I25" s="36" t="s">
        <v>111</v>
      </c>
      <c r="J25" s="78"/>
    </row>
    <row r="26" spans="1:10">
      <c r="A26" s="114" t="s">
        <v>94</v>
      </c>
      <c r="B26" s="115"/>
      <c r="C26" s="14" t="s">
        <v>27</v>
      </c>
      <c r="D26" s="14">
        <v>5</v>
      </c>
      <c r="E26" s="23">
        <f>38000/8</f>
        <v>4750</v>
      </c>
      <c r="F26" s="34"/>
      <c r="G26" s="34">
        <f>D26*E26</f>
        <v>23750</v>
      </c>
      <c r="H26" s="34"/>
      <c r="I26" s="34"/>
      <c r="J26" s="78"/>
    </row>
    <row r="27" spans="1:10">
      <c r="A27" s="114" t="s">
        <v>95</v>
      </c>
      <c r="B27" s="115"/>
      <c r="C27" s="14" t="s">
        <v>27</v>
      </c>
      <c r="D27" s="14">
        <v>12.5</v>
      </c>
      <c r="E27" s="23">
        <f t="shared" ref="E27:E38" si="0">38000/8</f>
        <v>4750</v>
      </c>
      <c r="F27" s="34"/>
      <c r="G27" s="34"/>
      <c r="H27" s="34">
        <f>D27*E27</f>
        <v>59375</v>
      </c>
      <c r="I27" s="34"/>
      <c r="J27" s="78"/>
    </row>
    <row r="28" spans="1:10" ht="15.75">
      <c r="A28" s="120" t="s">
        <v>96</v>
      </c>
      <c r="B28" s="121"/>
      <c r="C28" s="14" t="s">
        <v>27</v>
      </c>
      <c r="D28" s="14">
        <v>8</v>
      </c>
      <c r="E28" s="23">
        <f t="shared" si="0"/>
        <v>4750</v>
      </c>
      <c r="F28" s="34"/>
      <c r="G28" s="34"/>
      <c r="H28" s="34">
        <f>D28*E28</f>
        <v>38000</v>
      </c>
      <c r="I28" s="34"/>
      <c r="J28" s="78"/>
    </row>
    <row r="29" spans="1:10" ht="15.75">
      <c r="A29" s="120" t="s">
        <v>97</v>
      </c>
      <c r="B29" s="121"/>
      <c r="C29" s="14" t="s">
        <v>27</v>
      </c>
      <c r="D29" s="14">
        <v>4</v>
      </c>
      <c r="E29" s="23">
        <f t="shared" si="0"/>
        <v>4750</v>
      </c>
      <c r="F29" s="34"/>
      <c r="G29" s="34">
        <f>D29*E29</f>
        <v>19000</v>
      </c>
      <c r="H29" s="34"/>
      <c r="I29" s="34"/>
      <c r="J29" s="78"/>
    </row>
    <row r="30" spans="1:10">
      <c r="A30" s="114" t="s">
        <v>103</v>
      </c>
      <c r="B30" s="115"/>
      <c r="C30" s="14" t="s">
        <v>27</v>
      </c>
      <c r="D30" s="14">
        <v>11</v>
      </c>
      <c r="E30" s="23">
        <f t="shared" si="0"/>
        <v>4750</v>
      </c>
      <c r="F30" s="34"/>
      <c r="G30" s="34"/>
      <c r="H30" s="34">
        <f>D30*E30</f>
        <v>52250</v>
      </c>
      <c r="I30" s="34"/>
      <c r="J30" s="78"/>
    </row>
    <row r="31" spans="1:10">
      <c r="A31" s="114" t="s">
        <v>117</v>
      </c>
      <c r="B31" s="115"/>
      <c r="C31" s="14" t="s">
        <v>27</v>
      </c>
      <c r="D31" s="14">
        <v>3</v>
      </c>
      <c r="E31" s="23">
        <f t="shared" si="0"/>
        <v>4750</v>
      </c>
      <c r="F31" s="34"/>
      <c r="G31" s="34">
        <f>(D31*E31)/2</f>
        <v>7125</v>
      </c>
      <c r="H31" s="34">
        <f>(D31*E31)/2</f>
        <v>7125</v>
      </c>
      <c r="I31" s="34"/>
      <c r="J31" s="78"/>
    </row>
    <row r="32" spans="1:10">
      <c r="A32" s="116" t="s">
        <v>98</v>
      </c>
      <c r="B32" s="117"/>
      <c r="C32" s="14" t="s">
        <v>27</v>
      </c>
      <c r="D32" s="14">
        <v>2</v>
      </c>
      <c r="E32" s="23">
        <f t="shared" si="0"/>
        <v>4750</v>
      </c>
      <c r="F32" s="34"/>
      <c r="G32" s="34">
        <f>(D32*E32)/2</f>
        <v>4750</v>
      </c>
      <c r="H32" s="34">
        <f>(D32*E32)/2</f>
        <v>4750</v>
      </c>
      <c r="I32" s="34"/>
      <c r="J32" s="78"/>
    </row>
    <row r="33" spans="1:10">
      <c r="A33" s="114" t="s">
        <v>99</v>
      </c>
      <c r="B33" s="115"/>
      <c r="C33" s="14" t="s">
        <v>27</v>
      </c>
      <c r="D33" s="14">
        <v>7</v>
      </c>
      <c r="E33" s="23">
        <f t="shared" si="0"/>
        <v>4750</v>
      </c>
      <c r="F33" s="34"/>
      <c r="G33" s="34"/>
      <c r="H33" s="34">
        <f>D33*E33</f>
        <v>33250</v>
      </c>
      <c r="I33" s="34"/>
      <c r="J33" s="78"/>
    </row>
    <row r="34" spans="1:10">
      <c r="A34" s="114" t="s">
        <v>100</v>
      </c>
      <c r="B34" s="115"/>
      <c r="C34" s="14" t="s">
        <v>27</v>
      </c>
      <c r="D34" s="14">
        <v>0.5</v>
      </c>
      <c r="E34" s="23">
        <f t="shared" si="0"/>
        <v>4750</v>
      </c>
      <c r="F34" s="34"/>
      <c r="G34" s="34">
        <f>D34*E34</f>
        <v>2375</v>
      </c>
      <c r="H34" s="34"/>
      <c r="I34" s="34"/>
      <c r="J34" s="78"/>
    </row>
    <row r="35" spans="1:10">
      <c r="A35" s="116" t="s">
        <v>101</v>
      </c>
      <c r="B35" s="117"/>
      <c r="C35" s="14" t="s">
        <v>27</v>
      </c>
      <c r="D35" s="14">
        <v>4</v>
      </c>
      <c r="E35" s="23">
        <f t="shared" si="0"/>
        <v>4750</v>
      </c>
      <c r="F35" s="34"/>
      <c r="G35" s="33"/>
      <c r="H35" s="34">
        <f>D35*E35</f>
        <v>19000</v>
      </c>
      <c r="I35" s="33"/>
      <c r="J35" s="78"/>
    </row>
    <row r="36" spans="1:10">
      <c r="A36" s="116" t="s">
        <v>102</v>
      </c>
      <c r="B36" s="117"/>
      <c r="C36" s="14" t="s">
        <v>27</v>
      </c>
      <c r="D36" s="14">
        <v>1</v>
      </c>
      <c r="E36" s="23">
        <f t="shared" si="0"/>
        <v>4750</v>
      </c>
      <c r="F36" s="34"/>
      <c r="G36" s="34"/>
      <c r="H36" s="34">
        <f>D36*E36</f>
        <v>4750</v>
      </c>
      <c r="I36" s="34"/>
      <c r="J36" s="78"/>
    </row>
    <row r="37" spans="1:10">
      <c r="A37" s="114" t="s">
        <v>118</v>
      </c>
      <c r="B37" s="114"/>
      <c r="C37" s="14" t="s">
        <v>27</v>
      </c>
      <c r="D37" s="14">
        <v>3</v>
      </c>
      <c r="E37" s="23">
        <f t="shared" si="0"/>
        <v>4750</v>
      </c>
      <c r="F37" s="34"/>
      <c r="G37" s="34"/>
      <c r="H37" s="34">
        <f>D37*E37</f>
        <v>14250</v>
      </c>
      <c r="I37" s="34"/>
      <c r="J37" s="104"/>
    </row>
    <row r="38" spans="1:10">
      <c r="A38" s="111" t="s">
        <v>104</v>
      </c>
      <c r="B38" s="111"/>
      <c r="C38" s="14" t="s">
        <v>27</v>
      </c>
      <c r="D38" s="14">
        <v>3</v>
      </c>
      <c r="E38" s="23">
        <f t="shared" si="0"/>
        <v>4750</v>
      </c>
      <c r="F38" s="34"/>
      <c r="G38" s="34"/>
      <c r="H38" s="34">
        <f>D38*E38</f>
        <v>14250</v>
      </c>
      <c r="I38" s="34"/>
      <c r="J38" s="27"/>
    </row>
    <row r="39" spans="1:10">
      <c r="A39" s="111" t="s">
        <v>119</v>
      </c>
      <c r="B39" s="111"/>
      <c r="C39" s="14" t="s">
        <v>105</v>
      </c>
      <c r="D39" s="14">
        <v>2500</v>
      </c>
      <c r="E39" s="99">
        <f>80000/10000</f>
        <v>8</v>
      </c>
      <c r="F39" s="34"/>
      <c r="G39" s="34"/>
      <c r="H39" s="34"/>
      <c r="I39" s="34">
        <f>D39*E39</f>
        <v>20000</v>
      </c>
      <c r="J39" s="27"/>
    </row>
    <row r="40" spans="1:10">
      <c r="A40" s="119" t="s">
        <v>107</v>
      </c>
      <c r="B40" s="115"/>
      <c r="C40" s="14" t="s">
        <v>27</v>
      </c>
      <c r="D40" s="14">
        <v>3</v>
      </c>
      <c r="E40" s="99">
        <f>38000/8</f>
        <v>4750</v>
      </c>
      <c r="F40" s="34"/>
      <c r="G40" s="34"/>
      <c r="H40" s="34">
        <f>D40*E40</f>
        <v>14250</v>
      </c>
      <c r="I40" s="34"/>
      <c r="J40" s="27"/>
    </row>
    <row r="41" spans="1:10">
      <c r="A41" s="128" t="s">
        <v>7</v>
      </c>
      <c r="B41" s="112"/>
      <c r="C41" s="112"/>
      <c r="D41" s="112"/>
      <c r="E41" s="113"/>
      <c r="F41" s="81">
        <f>SUM(F26:F40)</f>
        <v>0</v>
      </c>
      <c r="G41" s="81">
        <f>SUM(G26:G40)</f>
        <v>57000</v>
      </c>
      <c r="H41" s="81">
        <f>SUM(H26:H40)</f>
        <v>261250</v>
      </c>
      <c r="I41" s="81">
        <f>SUM(I26:I40)</f>
        <v>20000</v>
      </c>
      <c r="J41" s="27"/>
    </row>
    <row r="42" spans="1:10" ht="30" customHeight="1">
      <c r="A42" s="118"/>
      <c r="B42" s="118"/>
      <c r="C42" s="118"/>
      <c r="D42" s="118"/>
      <c r="E42" s="118"/>
      <c r="F42" s="118"/>
      <c r="G42" s="118"/>
      <c r="H42" s="118"/>
      <c r="I42" s="118"/>
    </row>
    <row r="43" spans="1:10" ht="15.75">
      <c r="A43" s="139" t="s">
        <v>8</v>
      </c>
      <c r="B43" s="140"/>
      <c r="C43" s="140"/>
      <c r="D43" s="140"/>
      <c r="E43" s="141"/>
      <c r="F43" s="49">
        <f>F23+F41</f>
        <v>723.5895999999999</v>
      </c>
      <c r="G43" s="49">
        <f>G23+G41</f>
        <v>63263.564599999998</v>
      </c>
      <c r="H43" s="49">
        <f>SUM(H23+H41)</f>
        <v>303564.76459999999</v>
      </c>
      <c r="I43" s="49">
        <f>SUM(I23+I41)</f>
        <v>20000</v>
      </c>
      <c r="J43" s="27"/>
    </row>
    <row r="44" spans="1:10" ht="18" customHeight="1">
      <c r="A44" s="118"/>
      <c r="B44" s="118"/>
      <c r="C44" s="118"/>
      <c r="D44" s="118"/>
      <c r="E44" s="118"/>
      <c r="F44" s="118"/>
      <c r="G44" s="118"/>
      <c r="H44" s="118"/>
      <c r="I44" s="118"/>
    </row>
    <row r="45" spans="1:10" ht="48" customHeight="1">
      <c r="A45" s="39" t="s">
        <v>30</v>
      </c>
      <c r="B45" s="36" t="s">
        <v>5</v>
      </c>
      <c r="C45" s="36" t="s">
        <v>13</v>
      </c>
      <c r="D45" s="36" t="s">
        <v>6</v>
      </c>
      <c r="E45" s="36" t="s">
        <v>25</v>
      </c>
      <c r="F45" s="36" t="s">
        <v>108</v>
      </c>
      <c r="G45" s="36" t="s">
        <v>109</v>
      </c>
      <c r="H45" s="36" t="s">
        <v>110</v>
      </c>
      <c r="I45" s="36" t="s">
        <v>111</v>
      </c>
    </row>
    <row r="46" spans="1:10">
      <c r="A46" s="39" t="s">
        <v>9</v>
      </c>
      <c r="B46" s="80"/>
      <c r="C46" s="20"/>
      <c r="D46" s="19"/>
      <c r="E46" s="13"/>
      <c r="F46" s="33"/>
      <c r="G46" s="34"/>
      <c r="H46" s="34"/>
      <c r="I46" s="34"/>
    </row>
    <row r="47" spans="1:10">
      <c r="A47" s="33" t="s">
        <v>120</v>
      </c>
      <c r="B47" s="108" t="s">
        <v>79</v>
      </c>
      <c r="C47" s="20" t="s">
        <v>80</v>
      </c>
      <c r="D47" s="109">
        <v>4</v>
      </c>
      <c r="E47" s="23">
        <f>9586/3.78</f>
        <v>2535.9788359788363</v>
      </c>
      <c r="F47" s="34"/>
      <c r="G47" s="34">
        <f>(D47*E47)/2</f>
        <v>5071.9576719576726</v>
      </c>
      <c r="H47" s="34">
        <f>(D47*E47)/2</f>
        <v>5071.9576719576726</v>
      </c>
      <c r="I47" s="34"/>
    </row>
    <row r="48" spans="1:10">
      <c r="A48" s="112" t="s">
        <v>19</v>
      </c>
      <c r="B48" s="112"/>
      <c r="C48" s="112"/>
      <c r="D48" s="112"/>
      <c r="E48" s="113"/>
      <c r="F48" s="89">
        <f>SUM(F46:F47)</f>
        <v>0</v>
      </c>
      <c r="G48" s="89">
        <f>SUM(G46:G47)</f>
        <v>5071.9576719576726</v>
      </c>
      <c r="H48" s="100">
        <f>SUM(H46:H47)</f>
        <v>5071.9576719576726</v>
      </c>
      <c r="I48" s="89">
        <f>SUM(I46:I47)</f>
        <v>0</v>
      </c>
    </row>
    <row r="49" spans="1:12" ht="24.75" customHeight="1">
      <c r="A49" s="82"/>
      <c r="B49" s="82"/>
      <c r="C49" s="82"/>
      <c r="D49" s="82"/>
      <c r="E49" s="83"/>
      <c r="F49" s="84"/>
      <c r="G49" s="84"/>
      <c r="H49" s="84"/>
      <c r="I49" s="84"/>
    </row>
    <row r="50" spans="1:12" ht="45" customHeight="1">
      <c r="A50" s="126" t="s">
        <v>1</v>
      </c>
      <c r="B50" s="127"/>
      <c r="C50" s="36" t="s">
        <v>13</v>
      </c>
      <c r="D50" s="36" t="s">
        <v>6</v>
      </c>
      <c r="E50" s="36" t="s">
        <v>25</v>
      </c>
      <c r="F50" s="36" t="s">
        <v>108</v>
      </c>
      <c r="G50" s="36" t="s">
        <v>109</v>
      </c>
      <c r="H50" s="36" t="s">
        <v>110</v>
      </c>
      <c r="I50" s="36" t="s">
        <v>111</v>
      </c>
    </row>
    <row r="51" spans="1:12">
      <c r="A51" s="129" t="s">
        <v>16</v>
      </c>
      <c r="B51" s="130"/>
      <c r="C51" s="20" t="s">
        <v>17</v>
      </c>
      <c r="D51" s="14">
        <v>1</v>
      </c>
      <c r="E51" s="57">
        <v>200000</v>
      </c>
      <c r="F51" s="35">
        <f>(E51*D51)/4</f>
        <v>50000</v>
      </c>
      <c r="G51" s="35">
        <f>(E51*D51)/4</f>
        <v>50000</v>
      </c>
      <c r="H51" s="35">
        <f>(D51*E51)/4</f>
        <v>50000</v>
      </c>
      <c r="I51" s="35">
        <f>(D51*E51)/4</f>
        <v>50000</v>
      </c>
    </row>
    <row r="52" spans="1:12" ht="16.5" customHeight="1">
      <c r="A52" s="131" t="s">
        <v>18</v>
      </c>
      <c r="B52" s="132"/>
      <c r="C52" s="20" t="s">
        <v>17</v>
      </c>
      <c r="D52" s="14">
        <v>1</v>
      </c>
      <c r="E52" s="21">
        <f>(1985916*10000)/500000</f>
        <v>39718.32</v>
      </c>
      <c r="F52" s="46">
        <f>(E52*D52)/4</f>
        <v>9929.58</v>
      </c>
      <c r="G52" s="46">
        <f>(E52*D52)/4</f>
        <v>9929.58</v>
      </c>
      <c r="H52" s="35">
        <f>(D52*E52)/4</f>
        <v>9929.58</v>
      </c>
      <c r="I52" s="35">
        <f>(D52*E52)/4</f>
        <v>9929.58</v>
      </c>
    </row>
    <row r="53" spans="1:12">
      <c r="A53" s="128" t="s">
        <v>31</v>
      </c>
      <c r="B53" s="112"/>
      <c r="C53" s="112"/>
      <c r="D53" s="112"/>
      <c r="E53" s="113"/>
      <c r="F53" s="88">
        <f>SUM(F51:F52)</f>
        <v>59929.58</v>
      </c>
      <c r="G53" s="88">
        <f>SUM(G51:G52)</f>
        <v>59929.58</v>
      </c>
      <c r="H53" s="88">
        <f>SUM(H51:H52)</f>
        <v>59929.58</v>
      </c>
      <c r="I53" s="88">
        <f>SUM(I51:I52)</f>
        <v>59929.58</v>
      </c>
    </row>
    <row r="54" spans="1:12" ht="16.5" customHeight="1">
      <c r="A54" s="22"/>
      <c r="B54" s="17"/>
      <c r="C54" s="18"/>
      <c r="D54" s="16"/>
      <c r="E54" s="17"/>
      <c r="F54" s="33"/>
      <c r="G54" s="34"/>
      <c r="H54" s="34"/>
      <c r="I54" s="34"/>
    </row>
    <row r="55" spans="1:12" ht="54" customHeight="1">
      <c r="A55" s="126" t="s">
        <v>10</v>
      </c>
      <c r="B55" s="127"/>
      <c r="C55" s="36" t="s">
        <v>13</v>
      </c>
      <c r="D55" s="36" t="s">
        <v>6</v>
      </c>
      <c r="E55" s="36" t="s">
        <v>25</v>
      </c>
      <c r="F55" s="36" t="s">
        <v>108</v>
      </c>
      <c r="G55" s="36" t="s">
        <v>109</v>
      </c>
      <c r="H55" s="36" t="s">
        <v>110</v>
      </c>
      <c r="I55" s="36" t="s">
        <v>111</v>
      </c>
      <c r="J55" s="101"/>
    </row>
    <row r="56" spans="1:12">
      <c r="A56" s="129" t="s">
        <v>48</v>
      </c>
      <c r="B56" s="130"/>
      <c r="C56" s="14" t="s">
        <v>49</v>
      </c>
      <c r="D56" s="56">
        <v>4</v>
      </c>
      <c r="E56" s="24">
        <f>38000/8</f>
        <v>4750</v>
      </c>
      <c r="F56" s="87">
        <f>(D56*E56)/4</f>
        <v>4750</v>
      </c>
      <c r="G56" s="34">
        <f>(E56*D56)/4</f>
        <v>4750</v>
      </c>
      <c r="H56" s="34">
        <f>(D56*E56)/4</f>
        <v>4750</v>
      </c>
      <c r="I56" s="34">
        <f>(D56*E56)/4</f>
        <v>4750</v>
      </c>
      <c r="J56" s="55"/>
      <c r="K56" s="55"/>
      <c r="L56" s="55"/>
    </row>
    <row r="57" spans="1:12">
      <c r="A57" s="129" t="s">
        <v>78</v>
      </c>
      <c r="B57" s="130"/>
      <c r="C57" s="56" t="s">
        <v>52</v>
      </c>
      <c r="D57" s="56">
        <v>1</v>
      </c>
      <c r="E57" s="24">
        <f>'INVERSION TUTORADO'!I15</f>
        <v>72916.045999999988</v>
      </c>
      <c r="F57" s="87">
        <f>(D57*E57)/4</f>
        <v>18229.011499999997</v>
      </c>
      <c r="G57" s="34">
        <f>(E57*D57)/4</f>
        <v>18229.011499999997</v>
      </c>
      <c r="H57" s="34">
        <f>(D57*E57)/4</f>
        <v>18229.011499999997</v>
      </c>
      <c r="I57" s="34">
        <f>(D57*E57)/4</f>
        <v>18229.011499999997</v>
      </c>
    </row>
    <row r="58" spans="1:12">
      <c r="A58" s="128" t="s">
        <v>11</v>
      </c>
      <c r="B58" s="112"/>
      <c r="C58" s="112"/>
      <c r="D58" s="112"/>
      <c r="E58" s="113"/>
      <c r="F58" s="81">
        <f>SUM(F56:F57)</f>
        <v>22979.011499999997</v>
      </c>
      <c r="G58" s="81">
        <f>SUM(G56:G57)</f>
        <v>22979.011499999997</v>
      </c>
      <c r="H58" s="81">
        <f>SUM(H56:H57)</f>
        <v>22979.011499999997</v>
      </c>
      <c r="I58" s="81">
        <f>SUM(I56:I57)</f>
        <v>22979.011499999997</v>
      </c>
    </row>
    <row r="59" spans="1:12" ht="24" customHeight="1">
      <c r="A59" s="118"/>
      <c r="B59" s="118"/>
      <c r="C59" s="118"/>
      <c r="D59" s="118"/>
      <c r="E59" s="118"/>
      <c r="F59" s="118"/>
      <c r="G59" s="118"/>
      <c r="H59" s="118"/>
      <c r="I59" s="118"/>
    </row>
    <row r="60" spans="1:12" ht="15.75">
      <c r="A60" s="146" t="s">
        <v>32</v>
      </c>
      <c r="B60" s="147"/>
      <c r="C60" s="147"/>
      <c r="D60" s="147"/>
      <c r="E60" s="148"/>
      <c r="F60" s="97">
        <f>F48+F53+F58</f>
        <v>82908.591499999995</v>
      </c>
      <c r="G60" s="97">
        <f>G48+G53+G58</f>
        <v>87980.549171957668</v>
      </c>
      <c r="H60" s="49">
        <f>SUM(H48+H53+H58)</f>
        <v>87980.549171957668</v>
      </c>
      <c r="I60" s="49">
        <f>SUM(I48+I53+I58)</f>
        <v>82908.591499999995</v>
      </c>
    </row>
    <row r="61" spans="1:12" ht="13.5" customHeight="1">
      <c r="A61" s="143"/>
      <c r="B61" s="144"/>
      <c r="C61" s="144"/>
      <c r="D61" s="144"/>
      <c r="E61" s="144"/>
      <c r="F61" s="144"/>
      <c r="G61" s="145"/>
      <c r="H61" s="93"/>
      <c r="I61" s="93"/>
    </row>
    <row r="62" spans="1:12" ht="15.75">
      <c r="A62" s="139" t="s">
        <v>12</v>
      </c>
      <c r="B62" s="140"/>
      <c r="C62" s="140"/>
      <c r="D62" s="140"/>
      <c r="E62" s="141"/>
      <c r="F62" s="49">
        <f>F43+F60</f>
        <v>83632.181100000002</v>
      </c>
      <c r="G62" s="49">
        <f>G43+G60</f>
        <v>151244.11377195767</v>
      </c>
      <c r="H62" s="49">
        <f>H43+H60</f>
        <v>391545.31377195765</v>
      </c>
      <c r="I62" s="49">
        <f>I43+I60</f>
        <v>102908.59149999999</v>
      </c>
    </row>
    <row r="63" spans="1:12" ht="36.75" customHeight="1">
      <c r="D63" s="25"/>
      <c r="E63" s="26"/>
    </row>
    <row r="64" spans="1:12" ht="15.75">
      <c r="A64" s="136" t="s">
        <v>121</v>
      </c>
      <c r="B64" s="137"/>
      <c r="C64" s="137"/>
      <c r="D64" s="137"/>
      <c r="E64" s="138"/>
      <c r="F64" s="50">
        <v>0</v>
      </c>
      <c r="G64" s="50">
        <v>0</v>
      </c>
      <c r="H64" s="50">
        <v>0</v>
      </c>
      <c r="I64" s="50">
        <v>0</v>
      </c>
    </row>
    <row r="65" spans="1:9" ht="15.75">
      <c r="A65" s="136" t="s">
        <v>35</v>
      </c>
      <c r="B65" s="137"/>
      <c r="C65" s="137"/>
      <c r="D65" s="137"/>
      <c r="E65" s="138"/>
      <c r="F65" s="90" t="str">
        <f>IF(F64=0,"--",F62/F64)</f>
        <v>--</v>
      </c>
      <c r="G65" s="90" t="str">
        <f>IF(G64=0,"--",G62/G64)</f>
        <v>--</v>
      </c>
      <c r="H65" s="90" t="str">
        <f>IF(H64=0,"--",H62/H64)</f>
        <v>--</v>
      </c>
      <c r="I65" s="90" t="str">
        <f>IF(I64=0,"--",I62/I64)</f>
        <v>--</v>
      </c>
    </row>
    <row r="66" spans="1:9" s="27" customFormat="1" ht="15" customHeight="1">
      <c r="A66"/>
      <c r="B66"/>
      <c r="C66" s="25"/>
      <c r="D66"/>
      <c r="F66"/>
      <c r="G66"/>
      <c r="H66"/>
      <c r="I66"/>
    </row>
    <row r="67" spans="1:9">
      <c r="A67" s="102"/>
      <c r="B67" s="102"/>
      <c r="C67" s="102"/>
      <c r="D67" s="102"/>
      <c r="E67" s="29"/>
    </row>
    <row r="68" spans="1:9" ht="15.75">
      <c r="A68" s="50" t="s">
        <v>39</v>
      </c>
      <c r="B68" s="122" t="s">
        <v>122</v>
      </c>
      <c r="C68" s="135"/>
      <c r="D68" s="123"/>
      <c r="E68" s="51"/>
      <c r="F68" s="51" t="s">
        <v>124</v>
      </c>
    </row>
    <row r="69" spans="1:9" ht="15.75">
      <c r="A69" s="50" t="s">
        <v>36</v>
      </c>
      <c r="B69" s="134">
        <v>43606</v>
      </c>
      <c r="C69" s="135"/>
      <c r="D69" s="123"/>
      <c r="E69" s="51"/>
      <c r="F69" s="51"/>
      <c r="G69" s="51"/>
      <c r="H69" s="51"/>
      <c r="I69" s="51"/>
    </row>
    <row r="70" spans="1:9" ht="15.75">
      <c r="A70" s="51"/>
      <c r="B70" s="52"/>
      <c r="C70" s="52"/>
      <c r="D70" s="52"/>
      <c r="E70" s="51"/>
      <c r="F70" s="51"/>
      <c r="G70" s="51"/>
      <c r="H70" s="51"/>
      <c r="I70" s="51"/>
    </row>
    <row r="71" spans="1:9" ht="15.75">
      <c r="A71" s="133" t="s">
        <v>44</v>
      </c>
      <c r="B71" s="133"/>
      <c r="C71" s="133"/>
      <c r="D71" s="133"/>
      <c r="E71" s="133"/>
      <c r="F71" s="133"/>
      <c r="G71" s="133"/>
      <c r="H71" s="94"/>
      <c r="I71" s="94"/>
    </row>
    <row r="72" spans="1:9" ht="31.5">
      <c r="A72" s="54" t="s">
        <v>45</v>
      </c>
      <c r="B72" s="53" t="s">
        <v>37</v>
      </c>
      <c r="C72" s="124"/>
      <c r="D72" s="125"/>
      <c r="E72" s="50" t="s">
        <v>38</v>
      </c>
      <c r="F72" s="124"/>
      <c r="G72" s="125"/>
      <c r="H72" s="95"/>
      <c r="I72" s="95"/>
    </row>
    <row r="73" spans="1:9" ht="15.75">
      <c r="A73" s="50" t="s">
        <v>46</v>
      </c>
      <c r="B73" s="53" t="s">
        <v>36</v>
      </c>
      <c r="C73" s="122"/>
      <c r="D73" s="123"/>
      <c r="E73" s="50" t="s">
        <v>36</v>
      </c>
      <c r="F73" s="122"/>
      <c r="G73" s="123"/>
      <c r="H73" s="96"/>
      <c r="I73" s="96"/>
    </row>
  </sheetData>
  <mergeCells count="45">
    <mergeCell ref="B10:E10"/>
    <mergeCell ref="A61:G61"/>
    <mergeCell ref="A60:E60"/>
    <mergeCell ref="A58:E58"/>
    <mergeCell ref="A57:B57"/>
    <mergeCell ref="A59:I59"/>
    <mergeCell ref="A23:E23"/>
    <mergeCell ref="A41:E41"/>
    <mergeCell ref="A43:E43"/>
    <mergeCell ref="A35:B35"/>
    <mergeCell ref="A25:B25"/>
    <mergeCell ref="A36:B36"/>
    <mergeCell ref="A24:I24"/>
    <mergeCell ref="A42:I42"/>
    <mergeCell ref="A37:B37"/>
    <mergeCell ref="C73:D73"/>
    <mergeCell ref="F72:G72"/>
    <mergeCell ref="F73:G73"/>
    <mergeCell ref="C72:D72"/>
    <mergeCell ref="A50:B50"/>
    <mergeCell ref="A55:B55"/>
    <mergeCell ref="A53:E53"/>
    <mergeCell ref="A51:B51"/>
    <mergeCell ref="A52:B52"/>
    <mergeCell ref="A56:B56"/>
    <mergeCell ref="A71:G71"/>
    <mergeCell ref="B69:D69"/>
    <mergeCell ref="B68:D68"/>
    <mergeCell ref="A65:E65"/>
    <mergeCell ref="A64:E64"/>
    <mergeCell ref="A62:E62"/>
    <mergeCell ref="A38:B38"/>
    <mergeCell ref="A39:B39"/>
    <mergeCell ref="A48:E48"/>
    <mergeCell ref="A26:B26"/>
    <mergeCell ref="A32:B32"/>
    <mergeCell ref="A27:B27"/>
    <mergeCell ref="A30:B30"/>
    <mergeCell ref="A44:I44"/>
    <mergeCell ref="A40:B40"/>
    <mergeCell ref="A28:B28"/>
    <mergeCell ref="A29:B29"/>
    <mergeCell ref="A31:B31"/>
    <mergeCell ref="A33:B33"/>
    <mergeCell ref="A34:B34"/>
  </mergeCells>
  <pageMargins left="0.7" right="0.7" top="0.75" bottom="0.75" header="0.3" footer="0.3"/>
  <pageSetup paperSize="5" scale="5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1"/>
  <sheetViews>
    <sheetView topLeftCell="B1" workbookViewId="0">
      <selection activeCell="I4" sqref="I4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9" width="11.42578125" style="1"/>
    <col min="10" max="10" width="12.42578125" style="1" bestFit="1" customWidth="1"/>
    <col min="11" max="16384" width="11.42578125" style="1"/>
  </cols>
  <sheetData>
    <row r="1" spans="2:12" ht="12.75" customHeight="1">
      <c r="B1" s="152" t="s">
        <v>123</v>
      </c>
      <c r="C1" s="153"/>
      <c r="D1" s="153"/>
      <c r="E1" s="153"/>
      <c r="F1" s="153"/>
      <c r="G1" s="153"/>
      <c r="H1" s="154"/>
    </row>
    <row r="2" spans="2:12">
      <c r="B2" s="155"/>
      <c r="C2" s="156"/>
      <c r="D2" s="156"/>
      <c r="E2" s="156"/>
      <c r="F2" s="156"/>
      <c r="G2" s="156"/>
      <c r="H2" s="157"/>
    </row>
    <row r="3" spans="2:12">
      <c r="B3" s="158"/>
      <c r="C3" s="159"/>
      <c r="D3" s="159"/>
      <c r="E3" s="159"/>
      <c r="F3" s="159"/>
      <c r="G3" s="159"/>
      <c r="H3" s="160"/>
    </row>
    <row r="4" spans="2:12" ht="51">
      <c r="B4" s="10" t="s">
        <v>20</v>
      </c>
      <c r="C4" s="11" t="s">
        <v>73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>
      <c r="B5" s="2" t="s">
        <v>4</v>
      </c>
      <c r="C5" s="3">
        <f>'COSTOS PASSIFLORAS'!F23+'COSTOS PASSIFLORAS'!G23+'COSTOS PASSIFLORAS'!H23+'COSTOS PASSIFLORAS'!I23</f>
        <v>49301.918799999999</v>
      </c>
      <c r="D5" s="3">
        <f>'COSTOS PASSIFLORAS'!F41+'COSTOS PASSIFLORAS'!G41+'COSTOS PASSIFLORAS'!H41+'COSTOS PASSIFLORAS'!I41</f>
        <v>338250</v>
      </c>
      <c r="E5" s="3">
        <f>'COSTOS PASSIFLORAS'!F48+'COSTOS PASSIFLORAS'!G48+'COSTOS PASSIFLORAS'!H48+'COSTOS PASSIFLORAS'!I48</f>
        <v>10143.915343915345</v>
      </c>
      <c r="F5" s="3">
        <f>'COSTOS PASSIFLORAS'!F53+'COSTOS PASSIFLORAS'!G53+'COSTOS PASSIFLORAS'!H53+'COSTOS PASSIFLORAS'!I53</f>
        <v>239718.32</v>
      </c>
      <c r="G5" s="3">
        <f>'COSTOS PASSIFLORAS'!F58+'COSTOS PASSIFLORAS'!G58+'COSTOS PASSIFLORAS'!H58+'COSTOS PASSIFLORAS'!I58</f>
        <v>91916.045999999988</v>
      </c>
      <c r="H5" s="3">
        <f>SUM(C5:G5)</f>
        <v>729330.20014391525</v>
      </c>
      <c r="J5" s="110"/>
    </row>
    <row r="6" spans="2:12">
      <c r="B6" s="2" t="s">
        <v>15</v>
      </c>
      <c r="C6" s="4">
        <f>C5/H5</f>
        <v>6.7598899360360357E-2</v>
      </c>
      <c r="D6" s="4">
        <f>D5/H5</f>
        <v>0.46378169988470891</v>
      </c>
      <c r="E6" s="4">
        <f>E5/H5</f>
        <v>1.3908535999076543E-2</v>
      </c>
      <c r="F6" s="4">
        <f>F5/H5</f>
        <v>0.32868283796927311</v>
      </c>
      <c r="G6" s="4">
        <f>G5/H5</f>
        <v>0.1260280267865812</v>
      </c>
      <c r="H6" s="5">
        <f>SUM(C6:G6)</f>
        <v>1</v>
      </c>
      <c r="I6" s="6"/>
    </row>
    <row r="8" spans="2:12">
      <c r="C8" s="9"/>
      <c r="J8" s="7"/>
    </row>
    <row r="10" spans="2:12">
      <c r="L10" s="12"/>
    </row>
    <row r="13" spans="2:12">
      <c r="L13" s="12"/>
    </row>
    <row r="14" spans="2:12">
      <c r="K14" s="8"/>
    </row>
    <row r="21" spans="12:12">
      <c r="L21" s="12"/>
    </row>
  </sheetData>
  <mergeCells count="1">
    <mergeCell ref="B1:H3"/>
  </mergeCells>
  <pageMargins left="0.7" right="0.7" top="0.75" bottom="0.75" header="0.3" footer="0.3"/>
  <pageSetup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topLeftCell="A4" workbookViewId="0">
      <selection activeCell="G9" sqref="G9"/>
    </sheetView>
  </sheetViews>
  <sheetFormatPr baseColWidth="10" defaultRowHeight="15"/>
  <cols>
    <col min="1" max="1" width="26.5703125" customWidth="1"/>
  </cols>
  <sheetData>
    <row r="1" spans="1:9">
      <c r="A1" s="58" t="s">
        <v>53</v>
      </c>
      <c r="B1" s="164" t="s">
        <v>54</v>
      </c>
      <c r="C1" s="165"/>
      <c r="D1" s="165"/>
      <c r="E1" s="166"/>
      <c r="F1" s="1"/>
      <c r="G1" s="1"/>
      <c r="H1" s="1"/>
      <c r="I1" s="1"/>
    </row>
    <row r="2" spans="1:9">
      <c r="A2" s="167" t="s">
        <v>55</v>
      </c>
      <c r="B2" s="167" t="s">
        <v>13</v>
      </c>
      <c r="C2" s="167" t="s">
        <v>6</v>
      </c>
      <c r="D2" s="167" t="s">
        <v>56</v>
      </c>
      <c r="E2" s="167" t="s">
        <v>57</v>
      </c>
      <c r="F2" s="1"/>
      <c r="G2" s="1"/>
      <c r="H2" s="1"/>
      <c r="I2" s="1"/>
    </row>
    <row r="3" spans="1:9">
      <c r="A3" s="167"/>
      <c r="B3" s="167"/>
      <c r="C3" s="167"/>
      <c r="D3" s="167"/>
      <c r="E3" s="167"/>
      <c r="F3" s="1"/>
      <c r="G3" s="1"/>
      <c r="H3" s="1"/>
      <c r="I3" s="1"/>
    </row>
    <row r="4" spans="1:9">
      <c r="A4" s="167"/>
      <c r="B4" s="167"/>
      <c r="C4" s="167"/>
      <c r="D4" s="167"/>
      <c r="E4" s="167"/>
      <c r="F4" s="1"/>
      <c r="G4" s="1"/>
      <c r="H4" s="1"/>
      <c r="I4" s="1"/>
    </row>
    <row r="5" spans="1:9">
      <c r="A5" s="59" t="s">
        <v>58</v>
      </c>
      <c r="B5" s="60"/>
      <c r="C5" s="61"/>
      <c r="D5" s="61"/>
      <c r="E5" s="60"/>
      <c r="F5" s="1"/>
      <c r="G5" s="1"/>
      <c r="H5" s="1"/>
      <c r="I5" s="1"/>
    </row>
    <row r="6" spans="1:9">
      <c r="A6" s="62" t="s">
        <v>59</v>
      </c>
      <c r="B6" s="63" t="s">
        <v>60</v>
      </c>
      <c r="C6" s="64">
        <v>149</v>
      </c>
      <c r="D6" s="65">
        <v>3000</v>
      </c>
      <c r="E6" s="65">
        <f>+D6*C6</f>
        <v>447000</v>
      </c>
      <c r="F6" s="1"/>
      <c r="G6" s="1"/>
      <c r="H6" s="1"/>
      <c r="I6" s="1"/>
    </row>
    <row r="7" spans="1:9">
      <c r="A7" s="62" t="s">
        <v>61</v>
      </c>
      <c r="B7" s="63" t="s">
        <v>60</v>
      </c>
      <c r="C7" s="64">
        <v>234</v>
      </c>
      <c r="D7" s="65">
        <v>27000</v>
      </c>
      <c r="E7" s="65">
        <f>+D7*C7</f>
        <v>6318000</v>
      </c>
      <c r="F7" s="1"/>
      <c r="G7" s="1"/>
      <c r="H7" s="1"/>
      <c r="I7" s="1"/>
    </row>
    <row r="8" spans="1:9">
      <c r="A8" s="66" t="s">
        <v>62</v>
      </c>
      <c r="B8" s="63" t="s">
        <v>60</v>
      </c>
      <c r="C8" s="64">
        <v>31</v>
      </c>
      <c r="D8" s="65">
        <v>3800</v>
      </c>
      <c r="E8" s="65">
        <f t="shared" ref="E8:E9" si="0">+D8*C8</f>
        <v>117800</v>
      </c>
      <c r="F8" s="1"/>
      <c r="G8" s="1"/>
      <c r="H8" s="1"/>
      <c r="I8" s="1"/>
    </row>
    <row r="9" spans="1:9">
      <c r="A9" s="66" t="s">
        <v>63</v>
      </c>
      <c r="B9" s="67" t="s">
        <v>64</v>
      </c>
      <c r="C9" s="64">
        <v>123.22</v>
      </c>
      <c r="D9" s="65">
        <v>5716</v>
      </c>
      <c r="E9" s="65">
        <f t="shared" si="0"/>
        <v>704325.52</v>
      </c>
      <c r="F9" s="1"/>
      <c r="G9" s="1"/>
      <c r="H9" s="1"/>
      <c r="I9" s="1"/>
    </row>
    <row r="10" spans="1:9">
      <c r="A10" s="66" t="s">
        <v>65</v>
      </c>
      <c r="B10" s="63" t="s">
        <v>60</v>
      </c>
      <c r="C10" s="64">
        <v>26</v>
      </c>
      <c r="D10" s="65">
        <v>6800</v>
      </c>
      <c r="E10" s="65">
        <f>+D10*C10</f>
        <v>176800</v>
      </c>
      <c r="F10" s="1"/>
      <c r="G10" s="1"/>
      <c r="H10" s="1"/>
      <c r="I10" s="1"/>
    </row>
    <row r="11" spans="1:9">
      <c r="A11" s="66" t="s">
        <v>66</v>
      </c>
      <c r="B11" s="63" t="s">
        <v>60</v>
      </c>
      <c r="C11" s="64">
        <v>145</v>
      </c>
      <c r="D11" s="65">
        <v>6800</v>
      </c>
      <c r="E11" s="65">
        <f>+D11*C11</f>
        <v>986000</v>
      </c>
      <c r="F11" s="1"/>
      <c r="G11" s="1"/>
      <c r="H11" s="1"/>
      <c r="I11" s="1"/>
    </row>
    <row r="12" spans="1:9">
      <c r="A12" s="161" t="s">
        <v>67</v>
      </c>
      <c r="B12" s="162"/>
      <c r="C12" s="162"/>
      <c r="D12" s="163"/>
      <c r="E12" s="68">
        <f>SUM(E6:E11)</f>
        <v>8749925.5199999996</v>
      </c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 ht="26.25">
      <c r="A14" s="1"/>
      <c r="B14" s="1"/>
      <c r="C14" s="1"/>
      <c r="D14" s="1"/>
      <c r="E14" s="1"/>
      <c r="F14" s="1"/>
      <c r="G14" s="69" t="s">
        <v>68</v>
      </c>
      <c r="H14" s="69" t="s">
        <v>69</v>
      </c>
      <c r="I14" s="69" t="s">
        <v>70</v>
      </c>
    </row>
    <row r="15" spans="1:9">
      <c r="A15" s="1"/>
      <c r="B15" s="1"/>
      <c r="C15" s="1"/>
      <c r="D15" s="1"/>
      <c r="E15" s="1"/>
      <c r="F15" s="1"/>
      <c r="G15" s="70">
        <v>10</v>
      </c>
      <c r="H15" s="71">
        <f>+E12/G15</f>
        <v>874992.55199999991</v>
      </c>
      <c r="I15" s="71">
        <f>H15/12</f>
        <v>72916.045999999988</v>
      </c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G18" s="27" t="s">
        <v>71</v>
      </c>
    </row>
  </sheetData>
  <sheetProtection algorithmName="SHA-512" hashValue="b1lDyQx6HMNg9yGhTc7XMLkJcPG59daSg6q1m0eszR9gSCERYhs5fTKbB/73fOl/ZblEsd3LIzM1/06CFdSKMg==" saltValue="dAoxQ31IgFM/27C2Dg8Gtg==" spinCount="100000" sheet="1" objects="1" scenarios="1"/>
  <mergeCells count="7">
    <mergeCell ref="A12:D12"/>
    <mergeCell ref="B1:E1"/>
    <mergeCell ref="A2:A4"/>
    <mergeCell ref="B2:B4"/>
    <mergeCell ref="C2:C4"/>
    <mergeCell ref="D2:D4"/>
    <mergeCell ref="E2:E4"/>
  </mergeCells>
  <pageMargins left="0.7" right="0.7" top="0.75" bottom="0.75" header="0.3" footer="0.3"/>
  <pageSetup scale="9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 PASSIFLORAS</vt:lpstr>
      <vt:lpstr>GRAFICA</vt:lpstr>
      <vt:lpstr>INVERSION TUTORADO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2019-05-29T03:29:20Z</cp:lastPrinted>
  <dcterms:created xsi:type="dcterms:W3CDTF">2014-09-10T02:29:02Z</dcterms:created>
  <dcterms:modified xsi:type="dcterms:W3CDTF">2019-05-29T03:29:33Z</dcterms:modified>
</cp:coreProperties>
</file>