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agranja.SENA\Desktop\LIDER AGRICOLA II TRIMESTRE 2019\COSTOS\JUNIO\"/>
    </mc:Choice>
  </mc:AlternateContent>
  <bookViews>
    <workbookView xWindow="0" yWindow="0" windowWidth="20490" windowHeight="7620"/>
  </bookViews>
  <sheets>
    <sheet name="COSTOS PASSIFLORAS" sheetId="1" r:id="rId1"/>
    <sheet name="GRAFICA" sheetId="6" r:id="rId2"/>
    <sheet name="INVERSION TUTORADO" sheetId="9" r:id="rId3"/>
  </sheets>
  <calcPr calcId="162913"/>
</workbook>
</file>

<file path=xl/calcChain.xml><?xml version="1.0" encoding="utf-8"?>
<calcChain xmlns="http://schemas.openxmlformats.org/spreadsheetml/2006/main">
  <c r="H6" i="6" l="1"/>
  <c r="G6" i="6"/>
  <c r="F6" i="6"/>
  <c r="E6" i="6"/>
  <c r="D6" i="6"/>
  <c r="C6" i="6"/>
  <c r="I62" i="1"/>
  <c r="H62" i="1"/>
  <c r="G62" i="1"/>
  <c r="F62" i="1"/>
  <c r="I59" i="1"/>
  <c r="H59" i="1"/>
  <c r="G59" i="1"/>
  <c r="F59" i="1"/>
  <c r="I57" i="1"/>
  <c r="H57" i="1"/>
  <c r="G57" i="1"/>
  <c r="F57" i="1"/>
  <c r="I55" i="1"/>
  <c r="H55" i="1"/>
  <c r="G55" i="1"/>
  <c r="F55" i="1"/>
  <c r="I54" i="1"/>
  <c r="H54" i="1"/>
  <c r="G54" i="1"/>
  <c r="F54" i="1"/>
  <c r="I53" i="1"/>
  <c r="H53" i="1"/>
  <c r="G53" i="1"/>
  <c r="F53" i="1"/>
  <c r="I50" i="1"/>
  <c r="H50" i="1"/>
  <c r="G50" i="1"/>
  <c r="F50" i="1"/>
  <c r="I49" i="1"/>
  <c r="H49" i="1"/>
  <c r="G49" i="1"/>
  <c r="F49" i="1"/>
  <c r="I46" i="1"/>
  <c r="H46" i="1"/>
  <c r="G46" i="1"/>
  <c r="F46" i="1"/>
  <c r="H45" i="1"/>
  <c r="F45" i="1"/>
  <c r="I41" i="1"/>
  <c r="H41" i="1"/>
  <c r="G41" i="1"/>
  <c r="F41" i="1"/>
  <c r="I39" i="1"/>
  <c r="H39" i="1"/>
  <c r="G39" i="1"/>
  <c r="F39" i="1"/>
  <c r="F38" i="1"/>
  <c r="H37" i="1"/>
  <c r="F36" i="1"/>
  <c r="G35" i="1"/>
  <c r="H34" i="1"/>
  <c r="H33" i="1"/>
  <c r="H32" i="1"/>
  <c r="G33" i="1"/>
  <c r="G32" i="1"/>
  <c r="H31" i="1"/>
  <c r="F30" i="1"/>
  <c r="H29" i="1"/>
  <c r="H28" i="1"/>
  <c r="G27" i="1"/>
  <c r="I24" i="1"/>
  <c r="H24" i="1"/>
  <c r="G24" i="1"/>
  <c r="F24" i="1"/>
  <c r="H23" i="1"/>
  <c r="H22" i="1"/>
  <c r="H21" i="1"/>
  <c r="G23" i="1"/>
  <c r="G22" i="1"/>
  <c r="G21" i="1"/>
  <c r="F23" i="1"/>
  <c r="F22" i="1"/>
  <c r="F21" i="1"/>
  <c r="H19" i="1"/>
  <c r="F18" i="1"/>
  <c r="G17" i="1"/>
  <c r="H16" i="1"/>
  <c r="H15" i="1"/>
  <c r="E53" i="1" l="1"/>
  <c r="E38" i="1"/>
  <c r="E36" i="1"/>
  <c r="D17" i="1" l="1"/>
  <c r="D16" i="1"/>
  <c r="D15" i="1"/>
  <c r="E45" i="1" l="1"/>
  <c r="E5" i="6" l="1"/>
  <c r="B7" i="1"/>
  <c r="F5" i="6" l="1"/>
  <c r="C5" i="6" l="1"/>
  <c r="E27" i="1"/>
  <c r="E28" i="1" l="1"/>
  <c r="E32" i="1" l="1"/>
  <c r="E30" i="1"/>
  <c r="E29" i="1"/>
  <c r="E34" i="1"/>
  <c r="E35" i="1"/>
  <c r="E37" i="1"/>
  <c r="E33" i="1"/>
  <c r="E31" i="1" l="1"/>
  <c r="E6" i="9" l="1"/>
  <c r="D5" i="6" l="1"/>
  <c r="E11" i="9"/>
  <c r="E10" i="9"/>
  <c r="E9" i="9"/>
  <c r="E8" i="9"/>
  <c r="E7" i="9"/>
  <c r="E12" i="9" l="1"/>
  <c r="H15" i="9" s="1"/>
  <c r="I15" i="9" s="1"/>
  <c r="E54" i="1" s="1"/>
  <c r="G5" i="6" l="1"/>
  <c r="H5" i="6" s="1"/>
</calcChain>
</file>

<file path=xl/comments1.xml><?xml version="1.0" encoding="utf-8"?>
<comments xmlns="http://schemas.openxmlformats.org/spreadsheetml/2006/main">
  <authors>
    <author>Asus</author>
  </authors>
  <commentList>
    <comment ref="E45" authorId="0" shapeId="0">
      <text>
        <r>
          <rPr>
            <sz val="9"/>
            <color indexed="81"/>
            <rFont val="Tahoma"/>
            <family val="2"/>
          </rPr>
          <t>1 GALON DE GASOLINA VALE $9.670 Y EQUIVALE A 3,78 LITROS</t>
        </r>
      </text>
    </comment>
  </commentList>
</comments>
</file>

<file path=xl/sharedStrings.xml><?xml version="1.0" encoding="utf-8"?>
<sst xmlns="http://schemas.openxmlformats.org/spreadsheetml/2006/main" count="182" uniqueCount="120">
  <si>
    <t>MANO DE OBRA DIRECTA</t>
  </si>
  <si>
    <t>MANO DE OBRA INDIRECTA</t>
  </si>
  <si>
    <t>INSUMO INDIRECTO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</si>
  <si>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</si>
  <si>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</si>
  <si>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</si>
  <si>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</si>
  <si>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</si>
  <si>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</si>
  <si>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</si>
  <si>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</si>
  <si>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</si>
  <si>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</si>
  <si>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</si>
  <si>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m3</t>
  </si>
  <si>
    <t>PORCENTAJE DE PARTICIPACION</t>
  </si>
  <si>
    <t>Asistencia tecnica</t>
  </si>
  <si>
    <t>Mes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</si>
  <si>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</si>
  <si>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</si>
  <si>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</si>
  <si>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</si>
  <si>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</si>
  <si>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</si>
  <si>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</si>
  <si>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</si>
  <si>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</si>
  <si>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</si>
  <si>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</si>
  <si>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</si>
  <si>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</si>
  <si>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</si>
  <si>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</si>
  <si>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</si>
  <si>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</si>
  <si>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</si>
  <si>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</si>
  <si>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</si>
  <si>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</si>
  <si>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</si>
  <si>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</si>
  <si>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FECHA DE SIEMBRA: </t>
  </si>
  <si>
    <t>agua</t>
  </si>
  <si>
    <t>CONTROL DE DOCUMENTO</t>
  </si>
  <si>
    <t>FECHA: 19-09-2018</t>
  </si>
  <si>
    <t>LOTE 2</t>
  </si>
  <si>
    <t>HORA</t>
  </si>
  <si>
    <t>COSTO TOTAL MODULO A</t>
  </si>
  <si>
    <t>COSTO TOTAL MODULO C</t>
  </si>
  <si>
    <t>MES</t>
  </si>
  <si>
    <t xml:space="preserve">                     CULTIVO: </t>
  </si>
  <si>
    <t xml:space="preserve">MARACUYA  </t>
  </si>
  <si>
    <t>CONCEPTO</t>
  </si>
  <si>
    <t>VALOR UNITARIO</t>
  </si>
  <si>
    <t>VALOR TOTAL</t>
  </si>
  <si>
    <t>TUTORADO</t>
  </si>
  <si>
    <t>Postes Reciclados</t>
  </si>
  <si>
    <t>und</t>
  </si>
  <si>
    <t>Postes negros</t>
  </si>
  <si>
    <t>tensor de cable</t>
  </si>
  <si>
    <t>alambre galvanizado</t>
  </si>
  <si>
    <t>kg</t>
  </si>
  <si>
    <t>varilla corugada /3mtr</t>
  </si>
  <si>
    <t>grapas</t>
  </si>
  <si>
    <t>TOTAL PRESUPUESTO DE INVERSION FISICA</t>
  </si>
  <si>
    <t>VIDA UTIL EN AÑOS</t>
  </si>
  <si>
    <t>DEPREC. POR AÑO</t>
  </si>
  <si>
    <t>DEPREC. POR MES</t>
  </si>
  <si>
    <t>OK REVISADO AL 12/12/2017</t>
  </si>
  <si>
    <t>MATERIA PRIMA</t>
  </si>
  <si>
    <t>METERIA PRIMA E INSUMOS DIRECTOS</t>
  </si>
  <si>
    <t>Mayo de 2011</t>
  </si>
  <si>
    <t>SUBTOTAL  MATERIA PRIMA E INSUMOS  DIRECTOS:</t>
  </si>
  <si>
    <t xml:space="preserve">AREA TOTAL: </t>
  </si>
  <si>
    <t xml:space="preserve">10000 M2 </t>
  </si>
  <si>
    <t>DEPRECIACION TUTORADO AÑO 2016</t>
  </si>
  <si>
    <t>GASOLINA</t>
  </si>
  <si>
    <t>LT</t>
  </si>
  <si>
    <t>nativo</t>
  </si>
  <si>
    <t>cm3</t>
  </si>
  <si>
    <t xml:space="preserve">FECHA DE RESIEMBRA: </t>
  </si>
  <si>
    <t>13 DE JUNIO DE 2016</t>
  </si>
  <si>
    <t>g</t>
  </si>
  <si>
    <t>COSTO TOTAL MODULO B</t>
  </si>
  <si>
    <t>COSTO TOTAL MODULO D</t>
  </si>
  <si>
    <t>2500 m2</t>
  </si>
  <si>
    <t>PLATEO MANUAL modulo B</t>
  </si>
  <si>
    <t>PLATEO MANUAL MODULO C</t>
  </si>
  <si>
    <t>manejo de arvenses mecanico modulo  c</t>
  </si>
  <si>
    <t>riego modulo C</t>
  </si>
  <si>
    <t>riego modulo B</t>
  </si>
  <si>
    <t>siembra modulo C</t>
  </si>
  <si>
    <t>Ridomil</t>
  </si>
  <si>
    <t>COSTO TOTAL MODULO A                   ( MARACUYA )</t>
  </si>
  <si>
    <t>COSTO TOTAL MODULO B                ( CHOLUPA )</t>
  </si>
  <si>
    <t>COSTO TOTAL MODULO C                         ( MARACUYA )</t>
  </si>
  <si>
    <t>COSTO TOTAL MODULO D                        ( BADEA )</t>
  </si>
  <si>
    <t>MARACUYA , CHOLUPA Y BADEA</t>
  </si>
  <si>
    <t>Agua para riego mòdulo C</t>
  </si>
  <si>
    <t xml:space="preserve">Agua para riego mòdulo B </t>
  </si>
  <si>
    <t>MARACUYA</t>
  </si>
  <si>
    <t>PLANTULA DE MARACUYA - MODULO C</t>
  </si>
  <si>
    <t>aplicación de fungicida a modulo B Y C</t>
  </si>
  <si>
    <t>COMBUSTIBLE</t>
  </si>
  <si>
    <t>Fungicida</t>
  </si>
  <si>
    <t>ELABORO: MARIA INES MUÑOZ, LINA VARGAS, MIGUEL A. VILLALBA</t>
  </si>
  <si>
    <t>PRODUCCION EN KG PRODUCTOS DE PASSIFLORAS EN PROCESO</t>
  </si>
  <si>
    <t>JUNIO</t>
  </si>
  <si>
    <t>Agua para riego mòdulo A</t>
  </si>
  <si>
    <t>PLANTULA DE MARACUYA - MODULO A</t>
  </si>
  <si>
    <t>INSECTICIDA</t>
  </si>
  <si>
    <t>LORSBAN</t>
  </si>
  <si>
    <t>guiado de las plantas al tuturado a</t>
  </si>
  <si>
    <t>guiado de las plantas al tuturado c</t>
  </si>
  <si>
    <t>fertilizacion modulo b y c</t>
  </si>
  <si>
    <t>riego modulo a</t>
  </si>
  <si>
    <t>siembra modulo a</t>
  </si>
  <si>
    <t xml:space="preserve">semillero </t>
  </si>
  <si>
    <t>COSTOS DE PRODUCCIÓN CULTIVOS DE PASSIFLORAS MES DE JUNIO 2019</t>
  </si>
  <si>
    <t>DANIELA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</si>
</sst>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-* #,##0_-;\-* #,##0_-;_-* &quot;-&quot;_-;_-@_-"/>
    <numFmt numFmtId="165" formatCode="_-&quot;$&quot;\ * #,##0_-;\-&quot;$&quot;\ * #,##0_-;_-&quot;$&quot;\ * &quot;-&quot;_-;_-@_-"/>
    <numFmt numFmtId="166" formatCode="_(&quot;$&quot;\ * #,##0_);_(&quot;$&quot;\ * \(#,##0\);_(&quot;$&quot;\ * &quot;-&quot;??_);_(@_)"/>
    <numFmt numFmtId="167" formatCode="0.0%"/>
    <numFmt numFmtId="168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8">
    <xf numFmtId="0" fontId="0" fillId="0" borderId="0" xfId="0"/>
    <xf numFmtId="0" fontId="4" fillId="0" borderId="0" xfId="0" applyFont="1"/>
    <xf numFmtId="0" fontId="4" fillId="0" borderId="1" xfId="0" applyFont="1" applyBorder="1"/>
    <xf numFmtId="166" fontId="4" fillId="0" borderId="1" xfId="1" applyNumberFormat="1" applyFont="1" applyBorder="1"/>
    <xf numFmtId="167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7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6" fontId="4" fillId="0" borderId="0" xfId="0" applyNumberFormat="1" applyFont="1"/>
    <xf numFmtId="0" fontId="6" fillId="3" borderId="4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6" fillId="3" borderId="2" xfId="0" applyFont="1" applyFill="1" applyBorder="1"/>
    <xf numFmtId="0" fontId="6" fillId="3" borderId="9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3" xfId="0" applyFill="1" applyBorder="1" applyAlignment="1">
      <alignment horizontal="center"/>
    </xf>
    <xf numFmtId="0" fontId="6" fillId="3" borderId="2" xfId="0" applyFont="1" applyFill="1" applyBorder="1" applyAlignment="1">
      <alignment horizontal="left"/>
    </xf>
    <xf numFmtId="166" fontId="0" fillId="3" borderId="3" xfId="1" applyNumberFormat="1" applyFont="1" applyFill="1" applyBorder="1"/>
    <xf numFmtId="166" fontId="0" fillId="3" borderId="9" xfId="1" applyNumberFormat="1" applyFont="1" applyFill="1" applyBorder="1"/>
    <xf numFmtId="0" fontId="0" fillId="0" borderId="0" xfId="0" applyAlignment="1">
      <alignment horizontal="center"/>
    </xf>
    <xf numFmtId="166" fontId="0" fillId="0" borderId="0" xfId="1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66" fontId="6" fillId="0" borderId="0" xfId="0" applyNumberFormat="1" applyFont="1"/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6" fontId="0" fillId="3" borderId="3" xfId="0" applyNumberFormat="1" applyFill="1" applyBorder="1"/>
    <xf numFmtId="0" fontId="0" fillId="0" borderId="1" xfId="0" applyBorder="1"/>
    <xf numFmtId="166" fontId="0" fillId="0" borderId="1" xfId="0" applyNumberFormat="1" applyBorder="1"/>
    <xf numFmtId="168" fontId="0" fillId="0" borderId="1" xfId="0" applyNumberForma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44" fontId="0" fillId="0" borderId="1" xfId="1" applyFont="1" applyBorder="1"/>
    <xf numFmtId="166" fontId="0" fillId="0" borderId="1" xfId="1" applyNumberFormat="1" applyFont="1" applyBorder="1"/>
    <xf numFmtId="6" fontId="0" fillId="0" borderId="1" xfId="0" applyNumberFormat="1" applyBorder="1"/>
    <xf numFmtId="166" fontId="8" fillId="5" borderId="1" xfId="0" applyNumberFormat="1" applyFont="1" applyFill="1" applyBorder="1" applyAlignment="1">
      <alignment vertical="center"/>
    </xf>
    <xf numFmtId="0" fontId="8" fillId="0" borderId="1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44" fontId="0" fillId="0" borderId="0" xfId="0" applyNumberFormat="1"/>
    <xf numFmtId="0" fontId="0" fillId="3" borderId="5" xfId="0" applyFill="1" applyBorder="1" applyAlignment="1">
      <alignment horizontal="center"/>
    </xf>
    <xf numFmtId="6" fontId="0" fillId="3" borderId="4" xfId="0" applyNumberFormat="1" applyFill="1" applyBorder="1"/>
    <xf numFmtId="0" fontId="10" fillId="6" borderId="1" xfId="7" applyFont="1" applyFill="1" applyBorder="1" applyAlignment="1">
      <alignment horizontal="left" vertical="center"/>
    </xf>
    <xf numFmtId="3" fontId="10" fillId="3" borderId="1" xfId="7" applyNumberFormat="1" applyFont="1" applyFill="1" applyBorder="1" applyAlignment="1">
      <alignment horizontal="left"/>
    </xf>
    <xf numFmtId="3" fontId="10" fillId="3" borderId="1" xfId="7" applyNumberFormat="1" applyFont="1" applyFill="1" applyBorder="1"/>
    <xf numFmtId="0" fontId="10" fillId="3" borderId="1" xfId="7" applyFont="1" applyFill="1" applyBorder="1"/>
    <xf numFmtId="0" fontId="4" fillId="0" borderId="1" xfId="7" applyFont="1" applyBorder="1"/>
    <xf numFmtId="0" fontId="4" fillId="0" borderId="1" xfId="7" applyFont="1" applyBorder="1" applyAlignment="1">
      <alignment horizontal="center"/>
    </xf>
    <xf numFmtId="0" fontId="11" fillId="0" borderId="1" xfId="7" applyFont="1" applyBorder="1" applyAlignment="1">
      <alignment horizontal="center" vertical="center"/>
    </xf>
    <xf numFmtId="166" fontId="11" fillId="0" borderId="1" xfId="8" applyNumberFormat="1" applyFont="1" applyBorder="1"/>
    <xf numFmtId="0" fontId="11" fillId="0" borderId="1" xfId="7" applyFont="1" applyBorder="1"/>
    <xf numFmtId="0" fontId="11" fillId="0" borderId="1" xfId="7" applyFont="1" applyBorder="1" applyAlignment="1">
      <alignment horizontal="center"/>
    </xf>
    <xf numFmtId="166" fontId="10" fillId="0" borderId="1" xfId="8" applyNumberFormat="1" applyFont="1" applyBorder="1" applyAlignment="1">
      <alignment vertical="center"/>
    </xf>
    <xf numFmtId="0" fontId="5" fillId="7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6" fontId="1" fillId="4" borderId="3" xfId="1" applyNumberFormat="1" applyFill="1" applyBorder="1"/>
    <xf numFmtId="0" fontId="0" fillId="4" borderId="1" xfId="0" applyFill="1" applyBorder="1"/>
    <xf numFmtId="6" fontId="0" fillId="4" borderId="1" xfId="0" applyNumberFormat="1" applyFill="1" applyBorder="1"/>
    <xf numFmtId="166" fontId="0" fillId="0" borderId="0" xfId="0" applyNumberFormat="1"/>
    <xf numFmtId="0" fontId="0" fillId="0" borderId="2" xfId="0" applyBorder="1" applyAlignment="1">
      <alignment horizontal="left"/>
    </xf>
    <xf numFmtId="0" fontId="0" fillId="3" borderId="4" xfId="0" applyFill="1" applyBorder="1"/>
    <xf numFmtId="166" fontId="6" fillId="4" borderId="1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4" fontId="6" fillId="3" borderId="1" xfId="1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0" fillId="0" borderId="1" xfId="12" applyFont="1" applyBorder="1"/>
    <xf numFmtId="168" fontId="6" fillId="4" borderId="1" xfId="0" applyNumberFormat="1" applyFont="1" applyFill="1" applyBorder="1" applyAlignment="1">
      <alignment vertical="center"/>
    </xf>
    <xf numFmtId="44" fontId="6" fillId="4" borderId="1" xfId="1" applyFont="1" applyFill="1" applyBorder="1" applyAlignment="1">
      <alignment vertical="center"/>
    </xf>
    <xf numFmtId="167" fontId="1" fillId="0" borderId="6" xfId="2" applyNumberFormat="1" applyBorder="1" applyAlignment="1" applyProtection="1">
      <alignment horizontal="center" vertical="center"/>
      <protection hidden="1"/>
    </xf>
    <xf numFmtId="164" fontId="0" fillId="0" borderId="1" xfId="13" applyFont="1" applyBorder="1"/>
    <xf numFmtId="164" fontId="0" fillId="0" borderId="1" xfId="0" applyNumberFormat="1" applyBorder="1"/>
    <xf numFmtId="0" fontId="8" fillId="3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center"/>
    </xf>
    <xf numFmtId="166" fontId="8" fillId="5" borderId="6" xfId="0" applyNumberFormat="1" applyFont="1" applyFill="1" applyBorder="1" applyAlignment="1">
      <alignment vertical="center"/>
    </xf>
    <xf numFmtId="165" fontId="0" fillId="0" borderId="0" xfId="12" applyFont="1"/>
    <xf numFmtId="166" fontId="6" fillId="4" borderId="1" xfId="1" applyNumberFormat="1" applyFont="1" applyFill="1" applyBorder="1" applyAlignment="1">
      <alignment vertical="center"/>
    </xf>
    <xf numFmtId="168" fontId="0" fillId="0" borderId="0" xfId="0" applyNumberFormat="1"/>
    <xf numFmtId="0" fontId="7" fillId="0" borderId="7" xfId="0" applyFont="1" applyBorder="1" applyAlignment="1">
      <alignment horizontal="left"/>
    </xf>
    <xf numFmtId="44" fontId="1" fillId="3" borderId="3" xfId="1" applyNumberFormat="1" applyFill="1" applyBorder="1"/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4" fontId="0" fillId="0" borderId="0" xfId="0" applyNumberFormat="1" applyFill="1" applyBorder="1"/>
    <xf numFmtId="166" fontId="4" fillId="0" borderId="0" xfId="1" applyNumberFormat="1" applyFont="1"/>
    <xf numFmtId="166" fontId="1" fillId="3" borderId="3" xfId="1" applyNumberFormat="1" applyFill="1" applyBorder="1"/>
    <xf numFmtId="0" fontId="6" fillId="0" borderId="0" xfId="0" applyFont="1" applyAlignment="1">
      <alignment horizontal="left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0" fillId="7" borderId="3" xfId="7" applyFont="1" applyFill="1" applyBorder="1" applyAlignment="1">
      <alignment horizontal="center" vertical="center" wrapText="1"/>
    </xf>
    <xf numFmtId="0" fontId="10" fillId="7" borderId="4" xfId="7" applyFont="1" applyFill="1" applyBorder="1" applyAlignment="1">
      <alignment horizontal="center" vertical="center" wrapText="1"/>
    </xf>
    <xf numFmtId="0" fontId="10" fillId="7" borderId="5" xfId="7" applyFont="1" applyFill="1" applyBorder="1" applyAlignment="1">
      <alignment horizontal="center" vertical="center" wrapText="1"/>
    </xf>
    <xf numFmtId="0" fontId="10" fillId="6" borderId="3" xfId="7" applyFont="1" applyFill="1" applyBorder="1" applyAlignment="1">
      <alignment horizontal="left" vertical="center"/>
    </xf>
    <xf numFmtId="0" fontId="10" fillId="6" borderId="4" xfId="7" applyFont="1" applyFill="1" applyBorder="1" applyAlignment="1">
      <alignment horizontal="left" vertical="center"/>
    </xf>
    <xf numFmtId="0" fontId="10" fillId="6" borderId="5" xfId="7" applyFont="1" applyFill="1" applyBorder="1" applyAlignment="1">
      <alignment horizontal="left" vertical="center"/>
    </xf>
    <xf numFmtId="0" fontId="10" fillId="7" borderId="1" xfId="7" applyFont="1" applyFill="1" applyBorder="1" applyAlignment="1">
      <alignment horizontal="center" vertical="center" wrapText="1"/>
    </xf>
  </cellXfs>
  <cellStyles count="14">
    <cellStyle name="Millares [0]" xfId="13" builtinId="6"/>
    <cellStyle name="Moneda" xfId="1" builtinId="4"/>
    <cellStyle name="Moneda [0]" xfId="12" builtinId="7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" xfId="2" builtinId="5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PRODUCCIÓN CULTIVOS DE PASSIFLORAS </a:t>
            </a:r>
          </a:p>
          <a:p>
            <a:pPr>
              <a:defRPr/>
            </a:pPr>
            <a:r>
              <a:rPr lang="en-US"/>
              <a:t>MES DE JUNIO  2019</a:t>
            </a:r>
          </a:p>
        </c:rich>
      </c:tx>
      <c:layout>
        <c:manualLayout>
          <c:xMode val="edge"/>
          <c:yMode val="edge"/>
          <c:x val="0.14755073298764484"/>
          <c:y val="5.01424411436497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GRAFICA!$B$5</c:f>
              <c:strCache>
                <c:ptCount val="1"/>
                <c:pt idx="0">
                  <c:v>COSTOS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dLbls>
            <c:dLbl>
              <c:idx val="5"/>
              <c:layout>
                <c:manualLayout>
                  <c:x val="-1.7897091722595081E-3"/>
                  <c:y val="-2.7350422441990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A4C-43CA-93BE-EA43E82261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GRAFICA!$C$4:$H$4</c:f>
              <c:strCache>
                <c:ptCount val="6"/>
                <c:pt idx="0">
                  <c:v>METERIA PRIMA E INSUMOS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GRAFICA!$C$5:$H$5</c:f>
              <c:numCache>
                <c:formatCode>_("$"\ * #,##0_);_("$"\ * \(#,##0\);_("$"\ * "-"??_);_(@_)</c:formatCode>
                <c:ptCount val="6"/>
                <c:pt idx="0">
                  <c:v>85970.44</c:v>
                </c:pt>
                <c:pt idx="1">
                  <c:v>218500</c:v>
                </c:pt>
                <c:pt idx="2">
                  <c:v>10232.804232804234</c:v>
                </c:pt>
                <c:pt idx="3">
                  <c:v>200000</c:v>
                </c:pt>
                <c:pt idx="4">
                  <c:v>87166.045999999988</c:v>
                </c:pt>
                <c:pt idx="5">
                  <c:v>601869.29023280425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0-40FC-B1F5-2084B3FFA6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1711104"/>
        <c:axId val="61712640"/>
        <c:axId val="0"/>
      </c:bar3DChart>
      <c:catAx>
        <c:axId val="617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712640"/>
        <c:crosses val="autoZero"/>
        <c:auto val="1"/>
        <c:lblAlgn val="ctr"/>
        <c:lblOffset val="100"/>
        <c:noMultiLvlLbl val="0"/>
      </c:catAx>
      <c:valAx>
        <c:axId val="617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171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6</xdr:row>
      <xdr:rowOff>157161</xdr:rowOff>
    </xdr:from>
    <xdr:to>
      <xdr:col>8</xdr:col>
      <xdr:colOff>9524</xdr:colOff>
      <xdr:row>24</xdr:row>
      <xdr:rowOff>28574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0"/>
  <sheetViews>
    <sheetView tabSelected="1" topLeftCell="A49" zoomScale="95" zoomScaleNormal="95" workbookViewId="0">
      <selection activeCell="I63" sqref="I63"/>
    </sheetView>
  </sheetViews>
  <sheetFormatPr baseColWidth="10" defaultColWidth="11.42578125" defaultRowHeight="15" x14ac:dyDescent="0.25"/>
  <cols>
    <col min="1" max="1" width="43" customWidth="1"/>
    <col min="2" max="2" width="23.140625" customWidth="1"/>
    <col min="3" max="3" width="13" style="24" customWidth="1"/>
    <col min="4" max="4" width="12.28515625" customWidth="1"/>
    <col min="5" max="5" width="11.28515625" customWidth="1"/>
    <col min="6" max="6" width="15.7109375" customWidth="1"/>
    <col min="7" max="7" width="16.42578125" customWidth="1"/>
    <col min="8" max="9" width="17.28515625" customWidth="1"/>
    <col min="10" max="10" width="18.28515625" customWidth="1"/>
    <col min="11" max="11" width="12.140625" bestFit="1" customWidth="1"/>
    <col min="12" max="12" width="13.28515625" bestFit="1" customWidth="1"/>
  </cols>
  <sheetData>
    <row r="1" spans="1:10" ht="34.5" customHeight="1" x14ac:dyDescent="0.25">
      <c r="A1" s="42" t="s">
        <v>28</v>
      </c>
      <c r="B1" s="26"/>
      <c r="C1" s="27"/>
      <c r="D1" s="26"/>
      <c r="E1" s="26"/>
    </row>
    <row r="2" spans="1:10" ht="22.5" customHeight="1" x14ac:dyDescent="0.25">
      <c r="A2" s="42" t="s">
        <v>39</v>
      </c>
      <c r="B2" s="26" t="s">
        <v>107</v>
      </c>
      <c r="C2" s="27"/>
      <c r="D2" s="26"/>
      <c r="E2" s="26"/>
    </row>
    <row r="3" spans="1:10" ht="52.5" customHeight="1" x14ac:dyDescent="0.25">
      <c r="A3" s="42" t="s">
        <v>40</v>
      </c>
      <c r="B3" s="43">
        <v>2019</v>
      </c>
      <c r="C3" s="27"/>
      <c r="D3" s="26"/>
      <c r="E3" s="26"/>
      <c r="F3" s="83" t="s">
        <v>47</v>
      </c>
      <c r="G3" s="83" t="s">
        <v>83</v>
      </c>
      <c r="H3" s="83" t="s">
        <v>48</v>
      </c>
      <c r="I3" s="83" t="s">
        <v>84</v>
      </c>
    </row>
    <row r="4" spans="1:10" ht="15.75" customHeight="1" x14ac:dyDescent="0.25">
      <c r="A4" s="26" t="s">
        <v>73</v>
      </c>
      <c r="B4" s="26" t="s">
        <v>74</v>
      </c>
      <c r="C4" s="26"/>
      <c r="D4" s="26"/>
      <c r="E4" s="26"/>
      <c r="F4" s="27" t="s">
        <v>85</v>
      </c>
      <c r="G4" s="27" t="s">
        <v>85</v>
      </c>
      <c r="H4" s="27" t="s">
        <v>85</v>
      </c>
      <c r="I4" s="27" t="s">
        <v>85</v>
      </c>
      <c r="J4" s="27"/>
    </row>
    <row r="5" spans="1:10" x14ac:dyDescent="0.25">
      <c r="A5" s="26" t="s">
        <v>41</v>
      </c>
      <c r="B5" s="26" t="s">
        <v>71</v>
      </c>
      <c r="C5" s="27"/>
      <c r="D5" s="26"/>
      <c r="E5" s="26"/>
    </row>
    <row r="6" spans="1:10" x14ac:dyDescent="0.25">
      <c r="A6" s="26" t="s">
        <v>80</v>
      </c>
      <c r="B6" s="26" t="s">
        <v>81</v>
      </c>
      <c r="C6" s="27"/>
      <c r="D6" s="26"/>
      <c r="E6" s="26"/>
    </row>
    <row r="7" spans="1:10" ht="18" customHeight="1" x14ac:dyDescent="0.25">
      <c r="A7" s="26" t="s">
        <v>27</v>
      </c>
      <c r="B7" s="43">
        <f>F7+G7+H7+I7</f>
        <v>202</v>
      </c>
      <c r="C7" s="26"/>
      <c r="D7" s="26"/>
      <c r="E7" s="26"/>
      <c r="F7" s="84">
        <v>10</v>
      </c>
      <c r="G7" s="84">
        <v>10</v>
      </c>
      <c r="H7" s="84">
        <v>182</v>
      </c>
      <c r="I7" s="84">
        <v>0</v>
      </c>
    </row>
    <row r="8" spans="1:10" ht="18" customHeight="1" x14ac:dyDescent="0.25">
      <c r="A8" s="26" t="s">
        <v>21</v>
      </c>
      <c r="B8" s="26" t="s">
        <v>22</v>
      </c>
      <c r="C8"/>
      <c r="D8" s="26"/>
      <c r="E8" s="26"/>
      <c r="F8" s="26"/>
      <c r="G8" s="26"/>
      <c r="H8" s="26"/>
      <c r="I8" s="26"/>
    </row>
    <row r="9" spans="1:10" ht="18" customHeight="1" x14ac:dyDescent="0.25">
      <c r="A9" s="26" t="s">
        <v>20</v>
      </c>
      <c r="B9" s="26" t="s">
        <v>45</v>
      </c>
      <c r="C9"/>
      <c r="D9" s="26"/>
      <c r="E9" s="26"/>
    </row>
    <row r="10" spans="1:10" ht="18" customHeight="1" x14ac:dyDescent="0.25">
      <c r="A10" s="26" t="s">
        <v>23</v>
      </c>
      <c r="B10" s="108" t="s">
        <v>97</v>
      </c>
      <c r="C10" s="108"/>
      <c r="D10" s="108"/>
      <c r="E10" s="108"/>
    </row>
    <row r="11" spans="1:10" ht="18" customHeight="1" x14ac:dyDescent="0.25">
      <c r="A11" s="26"/>
      <c r="B11" s="26"/>
      <c r="C11" s="26"/>
      <c r="E11" s="26"/>
    </row>
    <row r="12" spans="1:10" ht="18" customHeight="1" x14ac:dyDescent="0.25">
      <c r="A12" s="26"/>
      <c r="B12" s="26"/>
      <c r="C12" s="27"/>
      <c r="D12" s="26"/>
      <c r="E12" s="26"/>
    </row>
    <row r="13" spans="1:10" ht="52.5" customHeight="1" x14ac:dyDescent="0.25">
      <c r="A13" s="36" t="s">
        <v>32</v>
      </c>
      <c r="B13" s="35" t="s">
        <v>5</v>
      </c>
      <c r="C13" s="35" t="s">
        <v>13</v>
      </c>
      <c r="D13" s="35" t="s">
        <v>6</v>
      </c>
      <c r="E13" s="35" t="s">
        <v>24</v>
      </c>
      <c r="F13" s="35" t="s">
        <v>93</v>
      </c>
      <c r="G13" s="35" t="s">
        <v>94</v>
      </c>
      <c r="H13" s="35" t="s">
        <v>95</v>
      </c>
      <c r="I13" s="35" t="s">
        <v>96</v>
      </c>
    </row>
    <row r="14" spans="1:10" ht="29.25" customHeight="1" x14ac:dyDescent="0.25">
      <c r="A14" s="37" t="s">
        <v>69</v>
      </c>
      <c r="B14" s="70"/>
      <c r="C14" s="71"/>
      <c r="D14" s="72"/>
      <c r="E14" s="73"/>
      <c r="F14" s="74"/>
      <c r="G14" s="75"/>
      <c r="H14" s="75"/>
      <c r="I14" s="75"/>
    </row>
    <row r="15" spans="1:10" ht="18.75" customHeight="1" x14ac:dyDescent="0.25">
      <c r="A15" s="15" t="s">
        <v>98</v>
      </c>
      <c r="B15" s="14" t="s">
        <v>42</v>
      </c>
      <c r="C15" s="14" t="s">
        <v>14</v>
      </c>
      <c r="D15" s="14">
        <f>1460/1000</f>
        <v>1.46</v>
      </c>
      <c r="E15" s="31">
        <v>32</v>
      </c>
      <c r="F15" s="46"/>
      <c r="G15" s="46"/>
      <c r="H15" s="46">
        <f>(D15*E15)</f>
        <v>46.72</v>
      </c>
      <c r="I15" s="46"/>
    </row>
    <row r="16" spans="1:10" ht="18.75" customHeight="1" x14ac:dyDescent="0.25">
      <c r="A16" s="15" t="s">
        <v>108</v>
      </c>
      <c r="B16" s="14" t="s">
        <v>42</v>
      </c>
      <c r="C16" s="14" t="s">
        <v>14</v>
      </c>
      <c r="D16" s="14">
        <f>60/1000</f>
        <v>0.06</v>
      </c>
      <c r="E16" s="31">
        <v>32</v>
      </c>
      <c r="F16" s="46"/>
      <c r="G16" s="46"/>
      <c r="H16" s="46">
        <f>(D16*E16)</f>
        <v>1.92</v>
      </c>
      <c r="I16" s="46"/>
    </row>
    <row r="17" spans="1:10" ht="25.5" customHeight="1" x14ac:dyDescent="0.25">
      <c r="A17" s="15" t="s">
        <v>99</v>
      </c>
      <c r="B17" s="14" t="s">
        <v>42</v>
      </c>
      <c r="C17" s="14" t="s">
        <v>14</v>
      </c>
      <c r="D17" s="14">
        <f>150/1000</f>
        <v>0.15</v>
      </c>
      <c r="E17" s="31">
        <v>32</v>
      </c>
      <c r="F17" s="46"/>
      <c r="G17" s="46">
        <f>D17*E17</f>
        <v>4.8</v>
      </c>
      <c r="H17" s="46"/>
      <c r="I17" s="46"/>
    </row>
    <row r="18" spans="1:10" ht="25.5" customHeight="1" x14ac:dyDescent="0.25">
      <c r="A18" s="102" t="s">
        <v>109</v>
      </c>
      <c r="B18" s="14" t="s">
        <v>100</v>
      </c>
      <c r="C18" s="14" t="s">
        <v>57</v>
      </c>
      <c r="D18" s="14">
        <v>10</v>
      </c>
      <c r="E18" s="31">
        <v>1200</v>
      </c>
      <c r="F18" s="46">
        <f>D18*E18</f>
        <v>12000</v>
      </c>
      <c r="G18" s="46"/>
      <c r="H18" s="46"/>
      <c r="I18" s="46"/>
    </row>
    <row r="19" spans="1:10" ht="25.5" customHeight="1" x14ac:dyDescent="0.25">
      <c r="A19" s="102" t="s">
        <v>101</v>
      </c>
      <c r="B19" s="14" t="s">
        <v>100</v>
      </c>
      <c r="C19" s="14" t="s">
        <v>57</v>
      </c>
      <c r="D19" s="14">
        <v>40</v>
      </c>
      <c r="E19" s="31">
        <v>1200</v>
      </c>
      <c r="F19" s="46"/>
      <c r="G19" s="46"/>
      <c r="H19" s="46">
        <f>D19*E19</f>
        <v>48000</v>
      </c>
      <c r="I19" s="46"/>
    </row>
    <row r="20" spans="1:10" ht="27.75" customHeight="1" x14ac:dyDescent="0.25">
      <c r="A20" s="37" t="s">
        <v>33</v>
      </c>
      <c r="B20" s="84"/>
      <c r="C20" s="32"/>
      <c r="D20" s="32"/>
      <c r="E20" s="89"/>
      <c r="F20" s="90"/>
      <c r="G20" s="32"/>
      <c r="H20" s="32"/>
      <c r="I20" s="32"/>
    </row>
    <row r="21" spans="1:10" ht="28.5" customHeight="1" x14ac:dyDescent="0.25">
      <c r="A21" s="77" t="s">
        <v>104</v>
      </c>
      <c r="B21" s="84" t="s">
        <v>78</v>
      </c>
      <c r="C21" s="84" t="s">
        <v>79</v>
      </c>
      <c r="D21" s="84">
        <v>150</v>
      </c>
      <c r="E21" s="45">
        <v>123</v>
      </c>
      <c r="F21" s="90">
        <f>D21*E21/(3)</f>
        <v>6150</v>
      </c>
      <c r="G21" s="45">
        <f>D21*E21/(3)</f>
        <v>6150</v>
      </c>
      <c r="H21" s="45">
        <f>D21*E21/(3)</f>
        <v>6150</v>
      </c>
      <c r="I21" s="44"/>
    </row>
    <row r="22" spans="1:10" ht="28.5" customHeight="1" x14ac:dyDescent="0.25">
      <c r="A22" s="77" t="s">
        <v>104</v>
      </c>
      <c r="B22" s="101" t="s">
        <v>92</v>
      </c>
      <c r="C22" s="29" t="s">
        <v>82</v>
      </c>
      <c r="D22" s="30">
        <v>100</v>
      </c>
      <c r="E22" s="100">
        <v>62.67</v>
      </c>
      <c r="F22" s="90">
        <f>D22*E22/(3)</f>
        <v>2089</v>
      </c>
      <c r="G22" s="45">
        <f>D22*E22/(3)</f>
        <v>2089</v>
      </c>
      <c r="H22" s="45">
        <f>D22*E22/(3)</f>
        <v>2089</v>
      </c>
      <c r="I22" s="44"/>
      <c r="J22" s="96"/>
    </row>
    <row r="23" spans="1:10" ht="28.5" customHeight="1" x14ac:dyDescent="0.25">
      <c r="A23" s="77" t="s">
        <v>110</v>
      </c>
      <c r="B23" s="101" t="s">
        <v>111</v>
      </c>
      <c r="C23" s="29" t="s">
        <v>82</v>
      </c>
      <c r="D23" s="30">
        <v>50</v>
      </c>
      <c r="E23" s="107">
        <v>24</v>
      </c>
      <c r="F23" s="45">
        <f>(D23*E23)/3</f>
        <v>400</v>
      </c>
      <c r="G23" s="45">
        <f>(D23*E23)/3</f>
        <v>400</v>
      </c>
      <c r="H23" s="45">
        <f>(D23*E23)/3</f>
        <v>400</v>
      </c>
      <c r="I23" s="44"/>
      <c r="J23" s="96"/>
    </row>
    <row r="24" spans="1:10" ht="28.5" customHeight="1" x14ac:dyDescent="0.25">
      <c r="A24" s="112" t="s">
        <v>72</v>
      </c>
      <c r="B24" s="113"/>
      <c r="C24" s="113"/>
      <c r="D24" s="113"/>
      <c r="E24" s="114"/>
      <c r="F24" s="79">
        <f>SUM(F15:F23)</f>
        <v>20639</v>
      </c>
      <c r="G24" s="79">
        <f>SUM(G15:G23)</f>
        <v>8643.7999999999993</v>
      </c>
      <c r="H24" s="79">
        <f>SUM(H15:H23)</f>
        <v>56687.64</v>
      </c>
      <c r="I24" s="79">
        <f>SUM(I15:I23)</f>
        <v>0</v>
      </c>
      <c r="J24" s="76"/>
    </row>
    <row r="25" spans="1:10" ht="28.5" customHeight="1" x14ac:dyDescent="0.25">
      <c r="A25" s="123"/>
      <c r="B25" s="124"/>
      <c r="C25" s="124"/>
      <c r="D25" s="124"/>
      <c r="E25" s="124"/>
      <c r="F25" s="124"/>
      <c r="G25" s="124"/>
      <c r="H25" s="124"/>
      <c r="I25" s="125"/>
      <c r="J25" s="76"/>
    </row>
    <row r="26" spans="1:10" ht="54.75" customHeight="1" x14ac:dyDescent="0.25">
      <c r="A26" s="112" t="s">
        <v>25</v>
      </c>
      <c r="B26" s="114"/>
      <c r="C26" s="39" t="s">
        <v>13</v>
      </c>
      <c r="D26" s="40" t="s">
        <v>6</v>
      </c>
      <c r="E26" s="41" t="s">
        <v>24</v>
      </c>
      <c r="F26" s="35" t="s">
        <v>93</v>
      </c>
      <c r="G26" s="35" t="s">
        <v>94</v>
      </c>
      <c r="H26" s="35" t="s">
        <v>95</v>
      </c>
      <c r="I26" s="35" t="s">
        <v>96</v>
      </c>
      <c r="J26" s="76"/>
    </row>
    <row r="27" spans="1:10" x14ac:dyDescent="0.25">
      <c r="A27" s="126" t="s">
        <v>86</v>
      </c>
      <c r="B27" s="127"/>
      <c r="C27" s="14" t="s">
        <v>26</v>
      </c>
      <c r="D27" s="14">
        <v>2</v>
      </c>
      <c r="E27" s="22">
        <f>38000/8</f>
        <v>4750</v>
      </c>
      <c r="F27" s="33"/>
      <c r="G27" s="33">
        <f>D27*E27</f>
        <v>9500</v>
      </c>
      <c r="H27" s="33"/>
      <c r="I27" s="33"/>
      <c r="J27" s="76"/>
    </row>
    <row r="28" spans="1:10" x14ac:dyDescent="0.25">
      <c r="A28" s="126" t="s">
        <v>87</v>
      </c>
      <c r="B28" s="127"/>
      <c r="C28" s="14" t="s">
        <v>26</v>
      </c>
      <c r="D28" s="14">
        <v>3</v>
      </c>
      <c r="E28" s="22">
        <f t="shared" ref="E28:E38" si="0">38000/8</f>
        <v>4750</v>
      </c>
      <c r="F28" s="33"/>
      <c r="G28" s="33"/>
      <c r="H28" s="33">
        <f>D28*E28</f>
        <v>14250</v>
      </c>
      <c r="I28" s="33"/>
      <c r="J28" s="76"/>
    </row>
    <row r="29" spans="1:10" ht="15.75" x14ac:dyDescent="0.25">
      <c r="A29" s="140" t="s">
        <v>88</v>
      </c>
      <c r="B29" s="141"/>
      <c r="C29" s="14" t="s">
        <v>26</v>
      </c>
      <c r="D29" s="14">
        <v>4</v>
      </c>
      <c r="E29" s="22">
        <f t="shared" si="0"/>
        <v>4750</v>
      </c>
      <c r="F29" s="33"/>
      <c r="G29" s="33"/>
      <c r="H29" s="33">
        <f>D29*E29</f>
        <v>19000</v>
      </c>
      <c r="I29" s="33"/>
      <c r="J29" s="76"/>
    </row>
    <row r="30" spans="1:10" ht="15.75" x14ac:dyDescent="0.25">
      <c r="A30" s="140" t="s">
        <v>112</v>
      </c>
      <c r="B30" s="141"/>
      <c r="C30" s="14" t="s">
        <v>26</v>
      </c>
      <c r="D30" s="14">
        <v>2</v>
      </c>
      <c r="E30" s="22">
        <f t="shared" si="0"/>
        <v>4750</v>
      </c>
      <c r="F30" s="33">
        <f>D30*E30</f>
        <v>9500</v>
      </c>
      <c r="G30" s="33"/>
      <c r="H30" s="33"/>
      <c r="I30" s="33"/>
      <c r="J30" s="76"/>
    </row>
    <row r="31" spans="1:10" ht="15.75" x14ac:dyDescent="0.25">
      <c r="A31" s="140" t="s">
        <v>113</v>
      </c>
      <c r="B31" s="141"/>
      <c r="C31" s="14" t="s">
        <v>26</v>
      </c>
      <c r="D31" s="14">
        <v>6</v>
      </c>
      <c r="E31" s="22">
        <f t="shared" si="0"/>
        <v>4750</v>
      </c>
      <c r="F31" s="33"/>
      <c r="G31" s="33"/>
      <c r="H31" s="33">
        <f>D31*E31</f>
        <v>28500</v>
      </c>
      <c r="I31" s="33"/>
      <c r="J31" s="76"/>
    </row>
    <row r="32" spans="1:10" x14ac:dyDescent="0.25">
      <c r="A32" s="126" t="s">
        <v>102</v>
      </c>
      <c r="B32" s="127"/>
      <c r="C32" s="14" t="s">
        <v>26</v>
      </c>
      <c r="D32" s="14">
        <v>3</v>
      </c>
      <c r="E32" s="22">
        <f t="shared" si="0"/>
        <v>4750</v>
      </c>
      <c r="F32" s="33"/>
      <c r="G32" s="33">
        <f>(D32*E32)/2</f>
        <v>7125</v>
      </c>
      <c r="H32" s="33">
        <f>(D32*E32)/2</f>
        <v>7125</v>
      </c>
      <c r="I32" s="33"/>
      <c r="J32" s="76"/>
    </row>
    <row r="33" spans="1:10" x14ac:dyDescent="0.25">
      <c r="A33" s="121" t="s">
        <v>114</v>
      </c>
      <c r="B33" s="122"/>
      <c r="C33" s="14" t="s">
        <v>26</v>
      </c>
      <c r="D33" s="14">
        <v>3</v>
      </c>
      <c r="E33" s="22">
        <f t="shared" si="0"/>
        <v>4750</v>
      </c>
      <c r="F33" s="33"/>
      <c r="G33" s="33">
        <f>(D33*E33)/2</f>
        <v>7125</v>
      </c>
      <c r="H33" s="33">
        <f>(D33*E33)/2</f>
        <v>7125</v>
      </c>
      <c r="I33" s="33"/>
      <c r="J33" s="76"/>
    </row>
    <row r="34" spans="1:10" x14ac:dyDescent="0.25">
      <c r="A34" s="126" t="s">
        <v>89</v>
      </c>
      <c r="B34" s="127"/>
      <c r="C34" s="14" t="s">
        <v>26</v>
      </c>
      <c r="D34" s="14">
        <v>7</v>
      </c>
      <c r="E34" s="22">
        <f t="shared" si="0"/>
        <v>4750</v>
      </c>
      <c r="F34" s="33"/>
      <c r="G34" s="33"/>
      <c r="H34" s="33">
        <f>D34*E34</f>
        <v>33250</v>
      </c>
      <c r="I34" s="33"/>
      <c r="J34" s="76"/>
    </row>
    <row r="35" spans="1:10" x14ac:dyDescent="0.25">
      <c r="A35" s="126" t="s">
        <v>90</v>
      </c>
      <c r="B35" s="127"/>
      <c r="C35" s="14" t="s">
        <v>26</v>
      </c>
      <c r="D35" s="14">
        <v>3.5</v>
      </c>
      <c r="E35" s="22">
        <f t="shared" si="0"/>
        <v>4750</v>
      </c>
      <c r="F35" s="33"/>
      <c r="G35" s="33">
        <f>D35*E35</f>
        <v>16625</v>
      </c>
      <c r="H35" s="33"/>
      <c r="I35" s="33"/>
      <c r="J35" s="76"/>
    </row>
    <row r="36" spans="1:10" x14ac:dyDescent="0.25">
      <c r="A36" s="126" t="s">
        <v>115</v>
      </c>
      <c r="B36" s="127"/>
      <c r="C36" s="14" t="s">
        <v>26</v>
      </c>
      <c r="D36" s="14">
        <v>0.5</v>
      </c>
      <c r="E36" s="22">
        <f t="shared" si="0"/>
        <v>4750</v>
      </c>
      <c r="F36" s="33">
        <f>D36*E36</f>
        <v>2375</v>
      </c>
      <c r="G36" s="33"/>
      <c r="H36" s="33"/>
      <c r="I36" s="33"/>
      <c r="J36" s="76"/>
    </row>
    <row r="37" spans="1:10" x14ac:dyDescent="0.25">
      <c r="A37" s="121" t="s">
        <v>91</v>
      </c>
      <c r="B37" s="122"/>
      <c r="C37" s="14" t="s">
        <v>26</v>
      </c>
      <c r="D37" s="14">
        <v>11</v>
      </c>
      <c r="E37" s="22">
        <f t="shared" si="0"/>
        <v>4750</v>
      </c>
      <c r="F37" s="33"/>
      <c r="G37" s="32"/>
      <c r="H37" s="33">
        <f>D37*E37</f>
        <v>52250</v>
      </c>
      <c r="I37" s="32"/>
      <c r="J37" s="76"/>
    </row>
    <row r="38" spans="1:10" x14ac:dyDescent="0.25">
      <c r="A38" s="121" t="s">
        <v>116</v>
      </c>
      <c r="B38" s="122"/>
      <c r="C38" s="14" t="s">
        <v>26</v>
      </c>
      <c r="D38" s="14">
        <v>1</v>
      </c>
      <c r="E38" s="22">
        <f t="shared" si="0"/>
        <v>4750</v>
      </c>
      <c r="F38" s="33">
        <f>D38*E38</f>
        <v>4750</v>
      </c>
      <c r="G38" s="32"/>
      <c r="H38" s="33"/>
      <c r="I38" s="32"/>
      <c r="J38" s="76"/>
    </row>
    <row r="39" spans="1:10" x14ac:dyDescent="0.25">
      <c r="A39" s="112" t="s">
        <v>7</v>
      </c>
      <c r="B39" s="113"/>
      <c r="C39" s="113"/>
      <c r="D39" s="113"/>
      <c r="E39" s="114"/>
      <c r="F39" s="79">
        <f>SUM(F27:F38)</f>
        <v>16625</v>
      </c>
      <c r="G39" s="79">
        <f>SUM(G27:G38)</f>
        <v>40375</v>
      </c>
      <c r="H39" s="79">
        <f>SUM(H27:H38)</f>
        <v>161500</v>
      </c>
      <c r="I39" s="79">
        <f>SUM(I27:I38)</f>
        <v>0</v>
      </c>
      <c r="J39" s="26"/>
    </row>
    <row r="40" spans="1:10" ht="30" customHeight="1" x14ac:dyDescent="0.25">
      <c r="A40" s="117"/>
      <c r="B40" s="117"/>
      <c r="C40" s="117"/>
      <c r="D40" s="117"/>
      <c r="E40" s="117"/>
      <c r="F40" s="117"/>
      <c r="G40" s="117"/>
      <c r="H40" s="117"/>
      <c r="I40" s="117"/>
    </row>
    <row r="41" spans="1:10" ht="15.75" x14ac:dyDescent="0.25">
      <c r="A41" s="118" t="s">
        <v>8</v>
      </c>
      <c r="B41" s="119"/>
      <c r="C41" s="119"/>
      <c r="D41" s="119"/>
      <c r="E41" s="120"/>
      <c r="F41" s="47">
        <f>F24+F39</f>
        <v>37264</v>
      </c>
      <c r="G41" s="47">
        <f>G24+G39</f>
        <v>49018.8</v>
      </c>
      <c r="H41" s="47">
        <f>SUM(H24+H39)</f>
        <v>218187.64</v>
      </c>
      <c r="I41" s="47">
        <f>SUM(I24+I39)</f>
        <v>0</v>
      </c>
      <c r="J41" s="26"/>
    </row>
    <row r="42" spans="1:10" ht="18" customHeight="1" x14ac:dyDescent="0.25">
      <c r="A42" s="117"/>
      <c r="B42" s="117"/>
      <c r="C42" s="117"/>
      <c r="D42" s="117"/>
      <c r="E42" s="117"/>
      <c r="F42" s="117"/>
      <c r="G42" s="117"/>
      <c r="H42" s="117"/>
      <c r="I42" s="117"/>
    </row>
    <row r="43" spans="1:10" ht="48" customHeight="1" x14ac:dyDescent="0.25">
      <c r="A43" s="38" t="s">
        <v>29</v>
      </c>
      <c r="B43" s="35" t="s">
        <v>5</v>
      </c>
      <c r="C43" s="35" t="s">
        <v>13</v>
      </c>
      <c r="D43" s="35" t="s">
        <v>6</v>
      </c>
      <c r="E43" s="35" t="s">
        <v>24</v>
      </c>
      <c r="F43" s="35" t="s">
        <v>93</v>
      </c>
      <c r="G43" s="35" t="s">
        <v>94</v>
      </c>
      <c r="H43" s="35" t="s">
        <v>95</v>
      </c>
      <c r="I43" s="35" t="s">
        <v>96</v>
      </c>
    </row>
    <row r="44" spans="1:10" x14ac:dyDescent="0.25">
      <c r="A44" s="38" t="s">
        <v>9</v>
      </c>
      <c r="B44" s="78"/>
      <c r="C44" s="20"/>
      <c r="D44" s="19"/>
      <c r="E44" s="13"/>
      <c r="F44" s="32"/>
      <c r="G44" s="33"/>
      <c r="H44" s="33"/>
      <c r="I44" s="33"/>
    </row>
    <row r="45" spans="1:10" x14ac:dyDescent="0.25">
      <c r="A45" s="32" t="s">
        <v>103</v>
      </c>
      <c r="B45" s="103" t="s">
        <v>76</v>
      </c>
      <c r="C45" s="20" t="s">
        <v>77</v>
      </c>
      <c r="D45" s="104">
        <v>4</v>
      </c>
      <c r="E45" s="22">
        <f>9670/3.78</f>
        <v>2558.2010582010585</v>
      </c>
      <c r="F45" s="33">
        <f>D45*E45/(2)</f>
        <v>5116.4021164021169</v>
      </c>
      <c r="G45" s="33"/>
      <c r="H45" s="33">
        <f>(D45*E45)/2</f>
        <v>5116.4021164021169</v>
      </c>
      <c r="I45" s="33"/>
    </row>
    <row r="46" spans="1:10" x14ac:dyDescent="0.25">
      <c r="A46" s="113" t="s">
        <v>18</v>
      </c>
      <c r="B46" s="113"/>
      <c r="C46" s="113"/>
      <c r="D46" s="113"/>
      <c r="E46" s="114"/>
      <c r="F46" s="97">
        <f>SUM(F44:F45)</f>
        <v>5116.4021164021169</v>
      </c>
      <c r="G46" s="87">
        <f>SUM(G44:G45)</f>
        <v>0</v>
      </c>
      <c r="H46" s="97">
        <f>SUM(H44:H45)</f>
        <v>5116.4021164021169</v>
      </c>
      <c r="I46" s="87">
        <f>SUM(I44:I45)</f>
        <v>0</v>
      </c>
    </row>
    <row r="47" spans="1:10" ht="24.75" customHeight="1" x14ac:dyDescent="0.25">
      <c r="A47" s="80"/>
      <c r="B47" s="80"/>
      <c r="C47" s="80"/>
      <c r="D47" s="80"/>
      <c r="E47" s="81"/>
      <c r="F47" s="82"/>
      <c r="G47" s="82"/>
      <c r="H47" s="82"/>
      <c r="I47" s="82"/>
    </row>
    <row r="48" spans="1:10" ht="45" customHeight="1" x14ac:dyDescent="0.25">
      <c r="A48" s="132" t="s">
        <v>1</v>
      </c>
      <c r="B48" s="133"/>
      <c r="C48" s="35" t="s">
        <v>13</v>
      </c>
      <c r="D48" s="35" t="s">
        <v>6</v>
      </c>
      <c r="E48" s="35" t="s">
        <v>24</v>
      </c>
      <c r="F48" s="35" t="s">
        <v>93</v>
      </c>
      <c r="G48" s="35" t="s">
        <v>94</v>
      </c>
      <c r="H48" s="35" t="s">
        <v>95</v>
      </c>
      <c r="I48" s="35" t="s">
        <v>96</v>
      </c>
    </row>
    <row r="49" spans="1:12" x14ac:dyDescent="0.25">
      <c r="A49" s="115" t="s">
        <v>16</v>
      </c>
      <c r="B49" s="116"/>
      <c r="C49" s="20" t="s">
        <v>17</v>
      </c>
      <c r="D49" s="14">
        <v>1</v>
      </c>
      <c r="E49" s="55">
        <v>200000</v>
      </c>
      <c r="F49" s="34">
        <f>(E49*D49)/4</f>
        <v>50000</v>
      </c>
      <c r="G49" s="34">
        <f>(E49*D49)/4</f>
        <v>50000</v>
      </c>
      <c r="H49" s="34">
        <f>(D49*E49)/4</f>
        <v>50000</v>
      </c>
      <c r="I49" s="34">
        <f>(D49*E49)/4</f>
        <v>50000</v>
      </c>
    </row>
    <row r="50" spans="1:12" x14ac:dyDescent="0.25">
      <c r="A50" s="112" t="s">
        <v>30</v>
      </c>
      <c r="B50" s="113"/>
      <c r="C50" s="113"/>
      <c r="D50" s="113"/>
      <c r="E50" s="114"/>
      <c r="F50" s="86">
        <f>SUM(F49:F49)</f>
        <v>50000</v>
      </c>
      <c r="G50" s="86">
        <f>SUM(G49:G49)</f>
        <v>50000</v>
      </c>
      <c r="H50" s="86">
        <f>SUM(H49:H49)</f>
        <v>50000</v>
      </c>
      <c r="I50" s="86">
        <f>SUM(I49:I49)</f>
        <v>50000</v>
      </c>
    </row>
    <row r="51" spans="1:12" ht="16.5" customHeight="1" x14ac:dyDescent="0.25">
      <c r="A51" s="21"/>
      <c r="B51" s="17"/>
      <c r="C51" s="18"/>
      <c r="D51" s="16"/>
      <c r="E51" s="17"/>
      <c r="F51" s="32"/>
      <c r="G51" s="33"/>
      <c r="H51" s="33"/>
      <c r="I51" s="33"/>
    </row>
    <row r="52" spans="1:12" ht="54" customHeight="1" x14ac:dyDescent="0.25">
      <c r="A52" s="132" t="s">
        <v>10</v>
      </c>
      <c r="B52" s="133"/>
      <c r="C52" s="35" t="s">
        <v>13</v>
      </c>
      <c r="D52" s="35" t="s">
        <v>6</v>
      </c>
      <c r="E52" s="35" t="s">
        <v>24</v>
      </c>
      <c r="F52" s="35" t="s">
        <v>93</v>
      </c>
      <c r="G52" s="35" t="s">
        <v>94</v>
      </c>
      <c r="H52" s="35" t="s">
        <v>95</v>
      </c>
      <c r="I52" s="35" t="s">
        <v>96</v>
      </c>
      <c r="J52" s="98"/>
    </row>
    <row r="53" spans="1:12" x14ac:dyDescent="0.25">
      <c r="A53" s="115" t="s">
        <v>117</v>
      </c>
      <c r="B53" s="116"/>
      <c r="C53" s="14" t="s">
        <v>46</v>
      </c>
      <c r="D53" s="54">
        <v>3</v>
      </c>
      <c r="E53" s="23">
        <f>38000/8</f>
        <v>4750</v>
      </c>
      <c r="F53" s="85">
        <f>(D53*E53)/4</f>
        <v>3562.5</v>
      </c>
      <c r="G53" s="33">
        <f>(E53*D53)/4</f>
        <v>3562.5</v>
      </c>
      <c r="H53" s="33">
        <f>(D53*E53)/4</f>
        <v>3562.5</v>
      </c>
      <c r="I53" s="33">
        <f>(D53*E53)/4</f>
        <v>3562.5</v>
      </c>
      <c r="J53" s="53"/>
      <c r="K53" s="53"/>
      <c r="L53" s="53"/>
    </row>
    <row r="54" spans="1:12" x14ac:dyDescent="0.25">
      <c r="A54" s="115" t="s">
        <v>75</v>
      </c>
      <c r="B54" s="116"/>
      <c r="C54" s="54" t="s">
        <v>49</v>
      </c>
      <c r="D54" s="54">
        <v>1</v>
      </c>
      <c r="E54" s="23">
        <f>'INVERSION TUTORADO'!I15</f>
        <v>72916.045999999988</v>
      </c>
      <c r="F54" s="85">
        <f>(D54*E54)/4</f>
        <v>18229.011499999997</v>
      </c>
      <c r="G54" s="33">
        <f>(E54*D54)/4</f>
        <v>18229.011499999997</v>
      </c>
      <c r="H54" s="33">
        <f>(D54*E54)/4</f>
        <v>18229.011499999997</v>
      </c>
      <c r="I54" s="33">
        <f>(D54*E54)/4</f>
        <v>18229.011499999997</v>
      </c>
      <c r="J54" s="53"/>
    </row>
    <row r="55" spans="1:12" x14ac:dyDescent="0.25">
      <c r="A55" s="112" t="s">
        <v>11</v>
      </c>
      <c r="B55" s="113"/>
      <c r="C55" s="113"/>
      <c r="D55" s="113"/>
      <c r="E55" s="114"/>
      <c r="F55" s="79">
        <f>SUM(F53:F54)</f>
        <v>21791.511499999997</v>
      </c>
      <c r="G55" s="79">
        <f>SUM(G53:G54)</f>
        <v>21791.511499999997</v>
      </c>
      <c r="H55" s="79">
        <f>SUM(H53:H54)</f>
        <v>21791.511499999997</v>
      </c>
      <c r="I55" s="79">
        <f>SUM(I53:I54)</f>
        <v>21791.511499999997</v>
      </c>
      <c r="J55" s="53"/>
    </row>
    <row r="56" spans="1:12" ht="24" customHeight="1" x14ac:dyDescent="0.25">
      <c r="A56" s="117"/>
      <c r="B56" s="117"/>
      <c r="C56" s="117"/>
      <c r="D56" s="117"/>
      <c r="E56" s="117"/>
      <c r="F56" s="117"/>
      <c r="G56" s="117"/>
      <c r="H56" s="117"/>
      <c r="I56" s="117"/>
    </row>
    <row r="57" spans="1:12" ht="15.75" x14ac:dyDescent="0.25">
      <c r="A57" s="118" t="s">
        <v>31</v>
      </c>
      <c r="B57" s="119"/>
      <c r="C57" s="119"/>
      <c r="D57" s="119"/>
      <c r="E57" s="120"/>
      <c r="F57" s="95">
        <f>F46+F50+F55</f>
        <v>76907.913616402118</v>
      </c>
      <c r="G57" s="95">
        <f>G46+G50+G55</f>
        <v>71791.511499999993</v>
      </c>
      <c r="H57" s="47">
        <f>SUM(H46+H50+H55)</f>
        <v>76907.913616402118</v>
      </c>
      <c r="I57" s="47">
        <f>SUM(I46+I50+I55)</f>
        <v>71791.511499999993</v>
      </c>
      <c r="J57" s="53"/>
    </row>
    <row r="58" spans="1:12" ht="13.5" customHeight="1" x14ac:dyDescent="0.25">
      <c r="A58" s="109"/>
      <c r="B58" s="110"/>
      <c r="C58" s="110"/>
      <c r="D58" s="110"/>
      <c r="E58" s="110"/>
      <c r="F58" s="110"/>
      <c r="G58" s="111"/>
      <c r="H58" s="91"/>
      <c r="I58" s="91"/>
    </row>
    <row r="59" spans="1:12" ht="15.75" x14ac:dyDescent="0.25">
      <c r="A59" s="118" t="s">
        <v>12</v>
      </c>
      <c r="B59" s="119"/>
      <c r="C59" s="119"/>
      <c r="D59" s="119"/>
      <c r="E59" s="120"/>
      <c r="F59" s="47">
        <f>F41+F57</f>
        <v>114171.91361640212</v>
      </c>
      <c r="G59" s="47">
        <f>G41+G57</f>
        <v>120810.3115</v>
      </c>
      <c r="H59" s="47">
        <f>H41+H57</f>
        <v>295095.55361640215</v>
      </c>
      <c r="I59" s="47">
        <f>I41+I57</f>
        <v>71791.511499999993</v>
      </c>
      <c r="J59" s="105"/>
    </row>
    <row r="60" spans="1:12" ht="36.75" customHeight="1" x14ac:dyDescent="0.25">
      <c r="D60" s="24"/>
      <c r="E60" s="25"/>
    </row>
    <row r="61" spans="1:12" ht="15.75" x14ac:dyDescent="0.25">
      <c r="A61" s="137" t="s">
        <v>106</v>
      </c>
      <c r="B61" s="138"/>
      <c r="C61" s="138"/>
      <c r="D61" s="138"/>
      <c r="E61" s="139"/>
      <c r="F61" s="48">
        <v>0</v>
      </c>
      <c r="G61" s="48">
        <v>0</v>
      </c>
      <c r="H61" s="48">
        <v>0</v>
      </c>
      <c r="I61" s="48">
        <v>0</v>
      </c>
    </row>
    <row r="62" spans="1:12" ht="15.75" x14ac:dyDescent="0.25">
      <c r="A62" s="137" t="s">
        <v>34</v>
      </c>
      <c r="B62" s="138"/>
      <c r="C62" s="138"/>
      <c r="D62" s="138"/>
      <c r="E62" s="139"/>
      <c r="F62" s="88" t="str">
        <f>IF(F61=0,"--",F59/F61)</f>
        <v>--</v>
      </c>
      <c r="G62" s="88" t="str">
        <f>IF(G61=0,"--",G59/G61)</f>
        <v>--</v>
      </c>
      <c r="H62" s="88" t="str">
        <f>IF(H61=0,"--",H59/H61)</f>
        <v>--</v>
      </c>
      <c r="I62" s="88" t="str">
        <f>IF(I61=0,"--",I59/I61)</f>
        <v>--</v>
      </c>
    </row>
    <row r="63" spans="1:12" s="26" customFormat="1" ht="15" customHeight="1" x14ac:dyDescent="0.25">
      <c r="A63"/>
      <c r="B63"/>
      <c r="C63" s="24"/>
      <c r="D63"/>
      <c r="F63"/>
      <c r="G63"/>
      <c r="H63"/>
      <c r="I63"/>
    </row>
    <row r="64" spans="1:12" x14ac:dyDescent="0.25">
      <c r="A64" s="99"/>
      <c r="B64" s="99"/>
      <c r="C64" s="99"/>
      <c r="D64" s="99"/>
      <c r="E64" s="28"/>
    </row>
    <row r="65" spans="1:9" ht="15.75" x14ac:dyDescent="0.25">
      <c r="A65" s="48" t="s">
        <v>38</v>
      </c>
      <c r="B65" s="128" t="s">
        <v>119</v>
      </c>
      <c r="C65" s="136"/>
      <c r="D65" s="129"/>
      <c r="E65" s="49"/>
      <c r="F65" s="49"/>
    </row>
    <row r="66" spans="1:9" ht="15.75" x14ac:dyDescent="0.25">
      <c r="A66" s="48" t="s">
        <v>35</v>
      </c>
      <c r="B66" s="135">
        <v>43692</v>
      </c>
      <c r="C66" s="136"/>
      <c r="D66" s="129"/>
      <c r="E66" s="49"/>
      <c r="F66" s="49"/>
      <c r="G66" s="49"/>
      <c r="H66" s="49"/>
      <c r="I66" s="49"/>
    </row>
    <row r="67" spans="1:9" ht="15.75" x14ac:dyDescent="0.25">
      <c r="A67" s="49"/>
      <c r="B67" s="50"/>
      <c r="C67" s="50"/>
      <c r="D67" s="50"/>
      <c r="E67" s="49"/>
      <c r="F67" s="49"/>
      <c r="G67" s="49"/>
      <c r="H67" s="49"/>
      <c r="I67" s="49"/>
    </row>
    <row r="68" spans="1:9" ht="15.75" x14ac:dyDescent="0.25">
      <c r="A68" s="134" t="s">
        <v>43</v>
      </c>
      <c r="B68" s="134"/>
      <c r="C68" s="134"/>
      <c r="D68" s="134"/>
      <c r="E68" s="134"/>
      <c r="F68" s="134"/>
      <c r="G68" s="134"/>
      <c r="H68" s="92"/>
      <c r="I68" s="92"/>
    </row>
    <row r="69" spans="1:9" ht="31.5" x14ac:dyDescent="0.25">
      <c r="A69" s="52" t="s">
        <v>105</v>
      </c>
      <c r="B69" s="51" t="s">
        <v>36</v>
      </c>
      <c r="C69" s="130"/>
      <c r="D69" s="131"/>
      <c r="E69" s="48" t="s">
        <v>37</v>
      </c>
      <c r="F69" s="130"/>
      <c r="G69" s="131"/>
      <c r="H69" s="93"/>
      <c r="I69" s="93"/>
    </row>
    <row r="70" spans="1:9" ht="15.75" x14ac:dyDescent="0.25">
      <c r="A70" s="48" t="s">
        <v>44</v>
      </c>
      <c r="B70" s="51" t="s">
        <v>35</v>
      </c>
      <c r="C70" s="128"/>
      <c r="D70" s="129"/>
      <c r="E70" s="48" t="s">
        <v>35</v>
      </c>
      <c r="F70" s="128"/>
      <c r="G70" s="129"/>
      <c r="H70" s="94"/>
      <c r="I70" s="94"/>
    </row>
  </sheetData>
  <mergeCells count="41">
    <mergeCell ref="A31:B31"/>
    <mergeCell ref="A42:I42"/>
    <mergeCell ref="A29:B29"/>
    <mergeCell ref="A30:B30"/>
    <mergeCell ref="A32:B32"/>
    <mergeCell ref="A34:B34"/>
    <mergeCell ref="A35:B35"/>
    <mergeCell ref="A36:B36"/>
    <mergeCell ref="A38:B38"/>
    <mergeCell ref="C70:D70"/>
    <mergeCell ref="F69:G69"/>
    <mergeCell ref="F70:G70"/>
    <mergeCell ref="C69:D69"/>
    <mergeCell ref="A48:B48"/>
    <mergeCell ref="A52:B52"/>
    <mergeCell ref="A50:E50"/>
    <mergeCell ref="A49:B49"/>
    <mergeCell ref="A53:B53"/>
    <mergeCell ref="A68:G68"/>
    <mergeCell ref="B66:D66"/>
    <mergeCell ref="B65:D65"/>
    <mergeCell ref="A62:E62"/>
    <mergeCell ref="A61:E61"/>
    <mergeCell ref="A57:E57"/>
    <mergeCell ref="A59:E59"/>
    <mergeCell ref="B10:E10"/>
    <mergeCell ref="A58:G58"/>
    <mergeCell ref="A55:E55"/>
    <mergeCell ref="A54:B54"/>
    <mergeCell ref="A56:I56"/>
    <mergeCell ref="A24:E24"/>
    <mergeCell ref="A39:E39"/>
    <mergeCell ref="A41:E41"/>
    <mergeCell ref="A37:B37"/>
    <mergeCell ref="A26:B26"/>
    <mergeCell ref="A25:I25"/>
    <mergeCell ref="A40:I40"/>
    <mergeCell ref="A46:E46"/>
    <mergeCell ref="A27:B27"/>
    <mergeCell ref="A33:B33"/>
    <mergeCell ref="A28:B28"/>
  </mergeCells>
  <pageMargins left="0.7" right="0.7" top="0.75" bottom="0.75" header="0.3" footer="0.3"/>
  <pageSetup paperSize="5" scale="5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opLeftCell="A2" workbookViewId="0">
      <selection activeCell="I10" sqref="I10"/>
    </sheetView>
  </sheetViews>
  <sheetFormatPr baseColWidth="10" defaultColWidth="11.42578125" defaultRowHeight="12.75" x14ac:dyDescent="0.2"/>
  <cols>
    <col min="1" max="1" width="11.42578125" style="1"/>
    <col min="2" max="2" width="29" style="1" customWidth="1"/>
    <col min="3" max="5" width="13" style="1" bestFit="1" customWidth="1"/>
    <col min="6" max="7" width="12" style="1" bestFit="1" customWidth="1"/>
    <col min="8" max="8" width="14.5703125" style="1" bestFit="1" customWidth="1"/>
    <col min="9" max="9" width="11.42578125" style="1"/>
    <col min="10" max="10" width="12.42578125" style="1" bestFit="1" customWidth="1"/>
    <col min="11" max="16384" width="11.42578125" style="1"/>
  </cols>
  <sheetData>
    <row r="1" spans="2:12" ht="12.75" customHeight="1" x14ac:dyDescent="0.2">
      <c r="B1" s="142" t="s">
        <v>118</v>
      </c>
      <c r="C1" s="143"/>
      <c r="D1" s="143"/>
      <c r="E1" s="143"/>
      <c r="F1" s="143"/>
      <c r="G1" s="143"/>
      <c r="H1" s="144"/>
    </row>
    <row r="2" spans="2:12" x14ac:dyDescent="0.2">
      <c r="B2" s="145"/>
      <c r="C2" s="146"/>
      <c r="D2" s="146"/>
      <c r="E2" s="146"/>
      <c r="F2" s="146"/>
      <c r="G2" s="146"/>
      <c r="H2" s="147"/>
    </row>
    <row r="3" spans="2:12" x14ac:dyDescent="0.2">
      <c r="B3" s="148"/>
      <c r="C3" s="149"/>
      <c r="D3" s="149"/>
      <c r="E3" s="149"/>
      <c r="F3" s="149"/>
      <c r="G3" s="149"/>
      <c r="H3" s="150"/>
    </row>
    <row r="4" spans="2:12" ht="51" x14ac:dyDescent="0.2">
      <c r="B4" s="10" t="s">
        <v>19</v>
      </c>
      <c r="C4" s="11" t="s">
        <v>70</v>
      </c>
      <c r="D4" s="11" t="s">
        <v>0</v>
      </c>
      <c r="E4" s="11" t="s">
        <v>2</v>
      </c>
      <c r="F4" s="11" t="s">
        <v>1</v>
      </c>
      <c r="G4" s="11" t="s">
        <v>10</v>
      </c>
      <c r="H4" s="11" t="s">
        <v>3</v>
      </c>
    </row>
    <row r="5" spans="2:12" x14ac:dyDescent="0.2">
      <c r="B5" s="2" t="s">
        <v>4</v>
      </c>
      <c r="C5" s="3">
        <f>'COSTOS PASSIFLORAS'!F24+'COSTOS PASSIFLORAS'!G24+'COSTOS PASSIFLORAS'!H24+'COSTOS PASSIFLORAS'!I24</f>
        <v>85970.44</v>
      </c>
      <c r="D5" s="3">
        <f>'COSTOS PASSIFLORAS'!F39+'COSTOS PASSIFLORAS'!G39+'COSTOS PASSIFLORAS'!H39+'COSTOS PASSIFLORAS'!I39</f>
        <v>218500</v>
      </c>
      <c r="E5" s="3">
        <f>'COSTOS PASSIFLORAS'!F46+'COSTOS PASSIFLORAS'!G46+'COSTOS PASSIFLORAS'!H46+'COSTOS PASSIFLORAS'!I46</f>
        <v>10232.804232804234</v>
      </c>
      <c r="F5" s="3">
        <f>'COSTOS PASSIFLORAS'!F50+'COSTOS PASSIFLORAS'!G50+'COSTOS PASSIFLORAS'!H50+'COSTOS PASSIFLORAS'!I50</f>
        <v>200000</v>
      </c>
      <c r="G5" s="3">
        <f>'COSTOS PASSIFLORAS'!F55+'COSTOS PASSIFLORAS'!G55+'COSTOS PASSIFLORAS'!H55+'COSTOS PASSIFLORAS'!I55</f>
        <v>87166.045999999988</v>
      </c>
      <c r="H5" s="3">
        <f>SUM(C5:G5)</f>
        <v>601869.29023280425</v>
      </c>
      <c r="J5" s="106"/>
    </row>
    <row r="6" spans="2:12" x14ac:dyDescent="0.2">
      <c r="B6" s="2" t="s">
        <v>15</v>
      </c>
      <c r="C6" s="4">
        <f>C5/H5</f>
        <v>0.1428390539194091</v>
      </c>
      <c r="D6" s="4">
        <f>D5/H5</f>
        <v>0.36303563505538511</v>
      </c>
      <c r="E6" s="4">
        <f>E5/H5</f>
        <v>1.7001705185599625E-2</v>
      </c>
      <c r="F6" s="4">
        <f>F5/H5</f>
        <v>0.33229806412392232</v>
      </c>
      <c r="G6" s="4">
        <f>G5/H5</f>
        <v>0.14482554171568379</v>
      </c>
      <c r="H6" s="5">
        <f>SUM(C6:G6)</f>
        <v>1</v>
      </c>
      <c r="I6" s="6"/>
    </row>
    <row r="7" spans="2:12" x14ac:dyDescent="0.2">
      <c r="C7" s="106"/>
      <c r="D7" s="106"/>
      <c r="E7" s="106"/>
      <c r="F7" s="106"/>
      <c r="G7" s="106"/>
      <c r="H7" s="106"/>
    </row>
    <row r="8" spans="2:12" x14ac:dyDescent="0.2">
      <c r="C8" s="9"/>
      <c r="J8" s="7"/>
    </row>
    <row r="10" spans="2:12" x14ac:dyDescent="0.2">
      <c r="L10" s="12"/>
    </row>
    <row r="13" spans="2:12" x14ac:dyDescent="0.2">
      <c r="L13" s="12"/>
    </row>
    <row r="14" spans="2:12" x14ac:dyDescent="0.2">
      <c r="K14" s="8"/>
    </row>
    <row r="21" spans="12:12" x14ac:dyDescent="0.2">
      <c r="L21" s="12"/>
    </row>
  </sheetData>
  <mergeCells count="1">
    <mergeCell ref="B1:H3"/>
  </mergeCells>
  <pageMargins left="0.7" right="0.7" top="0.75" bottom="0.75" header="0.3" footer="0.3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5" sqref="I15"/>
    </sheetView>
  </sheetViews>
  <sheetFormatPr baseColWidth="10" defaultRowHeight="15" x14ac:dyDescent="0.25"/>
  <cols>
    <col min="1" max="1" width="26.5703125" customWidth="1"/>
  </cols>
  <sheetData>
    <row r="1" spans="1:9" x14ac:dyDescent="0.25">
      <c r="A1" s="56" t="s">
        <v>50</v>
      </c>
      <c r="B1" s="154" t="s">
        <v>51</v>
      </c>
      <c r="C1" s="155"/>
      <c r="D1" s="155"/>
      <c r="E1" s="156"/>
      <c r="F1" s="1"/>
      <c r="G1" s="1"/>
      <c r="H1" s="1"/>
      <c r="I1" s="1"/>
    </row>
    <row r="2" spans="1:9" x14ac:dyDescent="0.25">
      <c r="A2" s="157" t="s">
        <v>52</v>
      </c>
      <c r="B2" s="157" t="s">
        <v>13</v>
      </c>
      <c r="C2" s="157" t="s">
        <v>6</v>
      </c>
      <c r="D2" s="157" t="s">
        <v>53</v>
      </c>
      <c r="E2" s="157" t="s">
        <v>54</v>
      </c>
      <c r="F2" s="1"/>
      <c r="G2" s="1"/>
      <c r="H2" s="1"/>
      <c r="I2" s="1"/>
    </row>
    <row r="3" spans="1:9" x14ac:dyDescent="0.25">
      <c r="A3" s="157"/>
      <c r="B3" s="157"/>
      <c r="C3" s="157"/>
      <c r="D3" s="157"/>
      <c r="E3" s="157"/>
      <c r="F3" s="1"/>
      <c r="G3" s="1"/>
      <c r="H3" s="1"/>
      <c r="I3" s="1"/>
    </row>
    <row r="4" spans="1:9" x14ac:dyDescent="0.25">
      <c r="A4" s="157"/>
      <c r="B4" s="157"/>
      <c r="C4" s="157"/>
      <c r="D4" s="157"/>
      <c r="E4" s="157"/>
      <c r="F4" s="1"/>
      <c r="G4" s="1"/>
      <c r="H4" s="1"/>
      <c r="I4" s="1"/>
    </row>
    <row r="5" spans="1:9" x14ac:dyDescent="0.25">
      <c r="A5" s="57" t="s">
        <v>55</v>
      </c>
      <c r="B5" s="58"/>
      <c r="C5" s="59"/>
      <c r="D5" s="59"/>
      <c r="E5" s="58"/>
      <c r="F5" s="1"/>
      <c r="G5" s="1"/>
      <c r="H5" s="1"/>
      <c r="I5" s="1"/>
    </row>
    <row r="6" spans="1:9" x14ac:dyDescent="0.25">
      <c r="A6" s="60" t="s">
        <v>56</v>
      </c>
      <c r="B6" s="61" t="s">
        <v>57</v>
      </c>
      <c r="C6" s="62">
        <v>149</v>
      </c>
      <c r="D6" s="63">
        <v>3000</v>
      </c>
      <c r="E6" s="63">
        <f>+D6*C6</f>
        <v>447000</v>
      </c>
      <c r="F6" s="1"/>
      <c r="G6" s="1"/>
      <c r="H6" s="1"/>
      <c r="I6" s="1"/>
    </row>
    <row r="7" spans="1:9" x14ac:dyDescent="0.25">
      <c r="A7" s="60" t="s">
        <v>58</v>
      </c>
      <c r="B7" s="61" t="s">
        <v>57</v>
      </c>
      <c r="C7" s="62">
        <v>234</v>
      </c>
      <c r="D7" s="63">
        <v>27000</v>
      </c>
      <c r="E7" s="63">
        <f>+D7*C7</f>
        <v>6318000</v>
      </c>
      <c r="F7" s="1"/>
      <c r="G7" s="1"/>
      <c r="H7" s="1"/>
      <c r="I7" s="1"/>
    </row>
    <row r="8" spans="1:9" x14ac:dyDescent="0.25">
      <c r="A8" s="64" t="s">
        <v>59</v>
      </c>
      <c r="B8" s="61" t="s">
        <v>57</v>
      </c>
      <c r="C8" s="62">
        <v>31</v>
      </c>
      <c r="D8" s="63">
        <v>3800</v>
      </c>
      <c r="E8" s="63">
        <f t="shared" ref="E8:E9" si="0">+D8*C8</f>
        <v>117800</v>
      </c>
      <c r="F8" s="1"/>
      <c r="G8" s="1"/>
      <c r="H8" s="1"/>
      <c r="I8" s="1"/>
    </row>
    <row r="9" spans="1:9" x14ac:dyDescent="0.25">
      <c r="A9" s="64" t="s">
        <v>60</v>
      </c>
      <c r="B9" s="65" t="s">
        <v>61</v>
      </c>
      <c r="C9" s="62">
        <v>123.22</v>
      </c>
      <c r="D9" s="63">
        <v>5716</v>
      </c>
      <c r="E9" s="63">
        <f t="shared" si="0"/>
        <v>704325.52</v>
      </c>
      <c r="F9" s="1"/>
      <c r="G9" s="1"/>
      <c r="H9" s="1"/>
      <c r="I9" s="1"/>
    </row>
    <row r="10" spans="1:9" x14ac:dyDescent="0.25">
      <c r="A10" s="64" t="s">
        <v>62</v>
      </c>
      <c r="B10" s="61" t="s">
        <v>57</v>
      </c>
      <c r="C10" s="62">
        <v>26</v>
      </c>
      <c r="D10" s="63">
        <v>6800</v>
      </c>
      <c r="E10" s="63">
        <f>+D10*C10</f>
        <v>176800</v>
      </c>
      <c r="F10" s="1"/>
      <c r="G10" s="1"/>
      <c r="H10" s="1"/>
      <c r="I10" s="1"/>
    </row>
    <row r="11" spans="1:9" x14ac:dyDescent="0.25">
      <c r="A11" s="64" t="s">
        <v>63</v>
      </c>
      <c r="B11" s="61" t="s">
        <v>57</v>
      </c>
      <c r="C11" s="62">
        <v>145</v>
      </c>
      <c r="D11" s="63">
        <v>6800</v>
      </c>
      <c r="E11" s="63">
        <f>+D11*C11</f>
        <v>986000</v>
      </c>
      <c r="F11" s="1"/>
      <c r="G11" s="1"/>
      <c r="H11" s="1"/>
      <c r="I11" s="1"/>
    </row>
    <row r="12" spans="1:9" x14ac:dyDescent="0.25">
      <c r="A12" s="151" t="s">
        <v>64</v>
      </c>
      <c r="B12" s="152"/>
      <c r="C12" s="152"/>
      <c r="D12" s="153"/>
      <c r="E12" s="66">
        <f>SUM(E6:E11)</f>
        <v>8749925.5199999996</v>
      </c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26.25" x14ac:dyDescent="0.25">
      <c r="A14" s="1"/>
      <c r="B14" s="1"/>
      <c r="C14" s="1"/>
      <c r="D14" s="1"/>
      <c r="E14" s="1"/>
      <c r="F14" s="1"/>
      <c r="G14" s="67" t="s">
        <v>65</v>
      </c>
      <c r="H14" s="67" t="s">
        <v>66</v>
      </c>
      <c r="I14" s="67" t="s">
        <v>67</v>
      </c>
    </row>
    <row r="15" spans="1:9" x14ac:dyDescent="0.25">
      <c r="A15" s="1"/>
      <c r="B15" s="1"/>
      <c r="C15" s="1"/>
      <c r="D15" s="1"/>
      <c r="E15" s="1"/>
      <c r="F15" s="1"/>
      <c r="G15" s="68">
        <v>10</v>
      </c>
      <c r="H15" s="69">
        <f>+E12/G15</f>
        <v>874992.55199999991</v>
      </c>
      <c r="I15" s="69">
        <f>H15/12</f>
        <v>72916.045999999988</v>
      </c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G18" s="26" t="s">
        <v>68</v>
      </c>
    </row>
  </sheetData>
  <sheetProtection algorithmName="SHA-512" hashValue="b1lDyQx6HMNg9yGhTc7XMLkJcPG59daSg6q1m0eszR9gSCERYhs5fTKbB/73fOl/ZblEsd3LIzM1/06CFdSKMg==" saltValue="dAoxQ31IgFM/27C2Dg8Gtg==" spinCount="100000" sheet="1" objects="1" scenarios="1"/>
  <mergeCells count="7">
    <mergeCell ref="A12:D12"/>
    <mergeCell ref="B1:E1"/>
    <mergeCell ref="A2:A4"/>
    <mergeCell ref="B2:B4"/>
    <mergeCell ref="C2:C4"/>
    <mergeCell ref="D2:D4"/>
    <mergeCell ref="E2:E4"/>
  </mergeCells>
  <pageMargins left="0.7" right="0.7" top="0.75" bottom="0.75" header="0.3" footer="0.3"/>
  <pageSetup scale="9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 PASSIFLORAS</vt:lpstr>
      <vt:lpstr>GRAFICA</vt:lpstr>
      <vt:lpstr>INVERSION TUTORADO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2019-08-26T18:03:17Z</cp:lastPrinted>
  <dcterms:created xsi:type="dcterms:W3CDTF">2014-09-10T02:29:02Z</dcterms:created>
  <dcterms:modified xsi:type="dcterms:W3CDTF">2019-08-26T18:03:38Z</dcterms:modified>
</cp:coreProperties>
</file>