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1 - Ocak\"/>
    </mc:Choice>
  </mc:AlternateContent>
  <xr:revisionPtr revIDLastSave="0" documentId="13_ncr:1_{8D4B7DB3-DB74-4E21-A0DE-BCA81A464D8C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O80" i="22" l="1"/>
  <c r="M48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H45" i="1"/>
  <c r="D45" i="1"/>
  <c r="K45" i="1"/>
  <c r="M45" i="1" s="1"/>
  <c r="J45" i="1"/>
  <c r="G45" i="1"/>
  <c r="F45" i="1"/>
  <c r="C45" i="1"/>
  <c r="B45" i="1"/>
  <c r="L45" i="1" l="1"/>
  <c r="L48" i="1" l="1"/>
  <c r="H48" i="1"/>
  <c r="D48" i="1"/>
  <c r="K47" i="1"/>
  <c r="M47" i="1" s="1"/>
  <c r="J47" i="1"/>
  <c r="G47" i="1"/>
  <c r="F47" i="1"/>
  <c r="H47" i="1" s="1"/>
  <c r="C47" i="1"/>
  <c r="B47" i="1"/>
  <c r="L46" i="1"/>
  <c r="H46" i="1"/>
  <c r="D46" i="1"/>
  <c r="D47" i="1" l="1"/>
  <c r="L47" i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K8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<sst xmlns="http://schemas.openxmlformats.org/spreadsheetml/2006/main" count="423" uniqueCount="229">
  <si>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</si>
  <si>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</si>
  <si>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</si>
  <si>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</si>
  <si>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</si>
  <si>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</si>
  <si>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</si>
  <si>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</si>
  <si>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</si>
  <si>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</si>
  <si>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</si>
  <si>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</si>
  <si>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</si>
  <si>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</si>
  <si>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</si>
  <si>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</si>
  <si>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</si>
  <si>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</si>
  <si>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</si>
  <si>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</si>
  <si>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</si>
  <si>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</si>
  <si>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</si>
  <si>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</si>
  <si>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</si>
  <si>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</si>
  <si>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</si>
  <si>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</si>
  <si>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</si>
  <si>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</si>
  <si>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</si>
  <si>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</si>
  <si>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</si>
  <si>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</si>
  <si>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</si>
  <si>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</si>
  <si>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</si>
  <si>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</si>
  <si>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</si>
  <si>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</si>
  <si>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</si>
  <si>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</si>
  <si>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</si>
  <si>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</si>
  <si>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</si>
  <si>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</si>
  <si>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</si>
  <si>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</si>
  <si>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</si>
  <si>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</si>
  <si>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</si>
  <si>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</si>
  <si>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</si>
  <si>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</si>
  <si>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</si>
  <si>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</si>
  <si>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</si>
  <si>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</si>
  <si>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</si>
  <si>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</si>
  <si>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</si>
  <si>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</si>
  <si>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</si>
  <si>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</si>
  <si>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</si>
  <si>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</si>
  <si>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</si>
  <si>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</si>
  <si>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</si>
  <si>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</si>
  <si>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</si>
  <si>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</si>
  <si>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</si>
  <si>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</si>
  <si>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</si>
  <si>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</si>
  <si>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</si>
  <si>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</si>
  <si>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</si>
  <si>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</si>
  <si>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</si>
  <si>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</si>
  <si>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</si>
  <si>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</si>
  <si>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</si>
  <si>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</si>
  <si>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</si>
  <si>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</si>
  <si>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</si>
  <si>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</si>
  <si>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</si>
  <si>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</si>
  <si>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</si>
  <si>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</si>
  <si>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</si>
  <si>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</si>
  <si>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</si>
  <si>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</si>
  <si>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</si>
  <si>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</si>
  <si>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</si>
  <si>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</si>
  <si>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</si>
  <si>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</si>
  <si>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</si>
  <si>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</si>
  <si>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</si>
  <si>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</si>
  <si>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</si>
  <si>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</si>
  <si>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</si>
  <si>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</si>
  <si>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</si>
  <si>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</si>
  <si>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</si>
  <si>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</si>
  <si>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2019 yılı için TUİK rakamları kullanılmıştır. </t>
    </r>
  </si>
  <si>
    <t>Değişim    ('20/'19)</t>
  </si>
  <si>
    <t xml:space="preserve"> Pay(20)  (%)</t>
  </si>
  <si>
    <t>OCAK  (2020/2019)</t>
  </si>
  <si>
    <t>SON 12 AYLIK
(2020/2019)</t>
  </si>
  <si>
    <t>2020 YILI İHRACATIMIZDA İLK 20 ÜLKE (1.000 $)</t>
  </si>
  <si>
    <t>2020 İHRACAT RAKAMLARI - TL</t>
  </si>
  <si>
    <t>1 - 31 OCAK İHRACAT RAKAMLARI</t>
  </si>
  <si>
    <t xml:space="preserve">SEKTÖREL BAZDA İHRACAT RAKAMLARI -1.000 $ </t>
  </si>
  <si>
    <t>1 - 31 OCAK</t>
  </si>
  <si>
    <t>1 OCAK  -  31 OCAK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</si>
  <si>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</si>
  <si>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</si>
  <si>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</si>
  <si>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</si>
  <si>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</si>
  <si>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</si>
  <si>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</si>
  <si>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</si>
  <si>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</si>
  <si>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</si>
  <si>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</si>
  <si>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</si>
  <si>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</si>
  <si>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</si>
  <si>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</si>
  <si>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</si>
  <si>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</si>
  <si>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</si>
  <si>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</si>
  <si>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</si>
  <si>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</si>
  <si>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</si>
  <si>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</si>
  <si>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</si>
  <si>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</si>
  <si>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</si>
  <si>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</si>
  <si>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</si>
  <si>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</si>
  <si>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OCAK</t>
  </si>
  <si>
    <t>2020  1 - 31 OCAK</t>
  </si>
  <si>
    <t>CEBELİTARIK</t>
  </si>
  <si>
    <t>ST. KİTTS VE NEVİS</t>
  </si>
  <si>
    <t>FİJİ</t>
  </si>
  <si>
    <t>CAYMAN ADALARI</t>
  </si>
  <si>
    <t>ZİMBABVE</t>
  </si>
  <si>
    <t>DOMİNİK</t>
  </si>
  <si>
    <t>KOCAELİ SERBEST BÖLGESİ</t>
  </si>
  <si>
    <t>NİKARAGUA</t>
  </si>
  <si>
    <t>ST. LUCİA</t>
  </si>
  <si>
    <t>KAMBOÇYA</t>
  </si>
  <si>
    <t>ALMANYA</t>
  </si>
  <si>
    <t>İTALYA</t>
  </si>
  <si>
    <t>BİRLEŞİK KRALLIK</t>
  </si>
  <si>
    <t>ABD</t>
  </si>
  <si>
    <t>IRAK</t>
  </si>
  <si>
    <t>FRANSA</t>
  </si>
  <si>
    <t>İSPANYA</t>
  </si>
  <si>
    <t>HOLLANDA</t>
  </si>
  <si>
    <t>İSRAİL</t>
  </si>
  <si>
    <t>ROMANYA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</si>
  <si>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</si>
  <si>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</si>
  <si>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</si>
  <si>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</si>
  <si>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</si>
  <si>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</si>
  <si>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</si>
  <si>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</si>
  <si>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</si>
  <si>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</si>
  <si>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TOKAT</t>
  </si>
  <si>
    <t>BARTIN</t>
  </si>
  <si>
    <t>KARABÜK</t>
  </si>
  <si>
    <t>BINGÖL</t>
  </si>
  <si>
    <t>ARTVIN</t>
  </si>
  <si>
    <t>YOZGAT</t>
  </si>
  <si>
    <t>ERZURUM</t>
  </si>
  <si>
    <t>SINOP</t>
  </si>
  <si>
    <t>AĞRI</t>
  </si>
  <si>
    <t>SIIRT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</si>
  <si>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</si>
  <si>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</si>
  <si>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</si>
  <si>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</si>
  <si>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</si>
  <si>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</si>
  <si>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</si>
  <si>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</si>
  <si>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</si>
  <si>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</si>
  <si>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</si>
  <si>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</si>
  <si>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</si>
  <si>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</si>
  <si>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BELÇİKA</t>
  </si>
  <si>
    <t>MISIR</t>
  </si>
  <si>
    <t>POLONYA</t>
  </si>
  <si>
    <t>SUUDİ ARABİSTAN</t>
  </si>
  <si>
    <t>BAE</t>
  </si>
  <si>
    <t>ÇİN</t>
  </si>
  <si>
    <t>BULGARİSTAN</t>
  </si>
  <si>
    <t>YUNANİSTAN</t>
  </si>
  <si>
    <t>İRAN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</si>
  <si>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</si>
  <si>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 xml:space="preserve">* Ocak ayı için TİM rakamı kullanılmıştır. </t>
  </si>
  <si>
    <t>(1000 $)</t>
  </si>
  <si>
    <t>ÖZEL İHRACAT TOPLAMI</t>
  </si>
  <si>
    <t>Antrepo ve Serbest Bölgeler Farkı</t>
  </si>
  <si>
    <t>GENEL İHRACAT TOPLAMI</t>
  </si>
  <si>
    <t>1 Ocak-31 Ocak</t>
  </si>
  <si>
    <t>1 Şubat-31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</si>
</sst>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10612064.994400004</c:v>
                </c:pt>
                <c:pt idx="1">
                  <c:v>11031515.79965</c:v>
                </c:pt>
                <c:pt idx="2">
                  <c:v>12641951.647940001</c:v>
                </c:pt>
                <c:pt idx="3">
                  <c:v>11771430.10685</c:v>
                </c:pt>
                <c:pt idx="4">
                  <c:v>12998259.080879997</c:v>
                </c:pt>
                <c:pt idx="5">
                  <c:v>8889018.3636300005</c:v>
                </c:pt>
                <c:pt idx="6">
                  <c:v>12519142.437130002</c:v>
                </c:pt>
                <c:pt idx="7">
                  <c:v>10188334.067210002</c:v>
                </c:pt>
                <c:pt idx="8">
                  <c:v>11587083.60194</c:v>
                </c:pt>
                <c:pt idx="9">
                  <c:v>12383567.643990003</c:v>
                </c:pt>
                <c:pt idx="10">
                  <c:v>12096856.088350002</c:v>
                </c:pt>
                <c:pt idx="11">
                  <c:v>11509537.573899999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4-4218-99FD-B08AA4F738EB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11153283.087580001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4-4218-99FD-B08AA4F7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10496"/>
        <c:axId val="-88706144"/>
      </c:lineChart>
      <c:catAx>
        <c:axId val="-887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70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8706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710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114115.28229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F-4B2D-A756-5F2B9EE4870F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117650.88088</c:v>
                </c:pt>
                <c:pt idx="4">
                  <c:v>117831.83706999999</c:v>
                </c:pt>
                <c:pt idx="5">
                  <c:v>63501.196909999999</c:v>
                </c:pt>
                <c:pt idx="6">
                  <c:v>83065.267340000006</c:v>
                </c:pt>
                <c:pt idx="7">
                  <c:v>71997.545849999995</c:v>
                </c:pt>
                <c:pt idx="8">
                  <c:v>154569.38015000001</c:v>
                </c:pt>
                <c:pt idx="9">
                  <c:v>189458.96544999999</c:v>
                </c:pt>
                <c:pt idx="10">
                  <c:v>151559.10566</c:v>
                </c:pt>
                <c:pt idx="11">
                  <c:v>122820.90089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F-4B2D-A756-5F2B9EE4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35744"/>
        <c:axId val="-2104327584"/>
      </c:lineChart>
      <c:catAx>
        <c:axId val="-21043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2758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5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185182.07725999999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B-4137-BF35-12D7647A8AF1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152194.65153</c:v>
                </c:pt>
                <c:pt idx="1">
                  <c:v>144402.66540999999</c:v>
                </c:pt>
                <c:pt idx="2">
                  <c:v>136207.20501000001</c:v>
                </c:pt>
                <c:pt idx="3">
                  <c:v>135926.41954999999</c:v>
                </c:pt>
                <c:pt idx="4">
                  <c:v>132559.06520000001</c:v>
                </c:pt>
                <c:pt idx="5">
                  <c:v>75887.773530000006</c:v>
                </c:pt>
                <c:pt idx="6">
                  <c:v>112537.10608</c:v>
                </c:pt>
                <c:pt idx="7">
                  <c:v>66620.372820000004</c:v>
                </c:pt>
                <c:pt idx="8">
                  <c:v>275549.31702000002</c:v>
                </c:pt>
                <c:pt idx="9">
                  <c:v>346734.85810000001</c:v>
                </c:pt>
                <c:pt idx="10">
                  <c:v>265224.66376000002</c:v>
                </c:pt>
                <c:pt idx="11">
                  <c:v>187933.82860000001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B-4137-BF35-12D7647A8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4320"/>
        <c:axId val="-2103815088"/>
      </c:lineChart>
      <c:catAx>
        <c:axId val="-21043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5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4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4-46FD-B65C-1E558DDC8F6D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26741.32647</c:v>
                </c:pt>
                <c:pt idx="2">
                  <c:v>34862.518040000003</c:v>
                </c:pt>
                <c:pt idx="3">
                  <c:v>24122.14459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  <c:pt idx="8">
                  <c:v>17947.373670000001</c:v>
                </c:pt>
                <c:pt idx="9">
                  <c:v>21619.211019999999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4-46FD-B65C-1E558DDC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14000"/>
        <c:axId val="-2103815632"/>
      </c:lineChart>
      <c:catAx>
        <c:axId val="-210381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5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4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2E5-BBEC-E6D3555B676B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7-42E5-BBEC-E6D3555B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05296"/>
        <c:axId val="-2103817808"/>
      </c:lineChart>
      <c:catAx>
        <c:axId val="-210380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780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05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7-4A8E-B464-1A7F8C3FEFF9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7-4A8E-B464-1A7F8C3F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19984"/>
        <c:axId val="-2103805840"/>
      </c:lineChart>
      <c:catAx>
        <c:axId val="-21038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0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0584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998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209750.45382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E-496C-8640-3C7F19BBD6FD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230803.27312</c:v>
                </c:pt>
                <c:pt idx="5">
                  <c:v>168264.20301999999</c:v>
                </c:pt>
                <c:pt idx="6">
                  <c:v>212234.00315999999</c:v>
                </c:pt>
                <c:pt idx="7">
                  <c:v>183385.37247999999</c:v>
                </c:pt>
                <c:pt idx="8">
                  <c:v>199913.70890999999</c:v>
                </c:pt>
                <c:pt idx="9">
                  <c:v>207439.25111000001</c:v>
                </c:pt>
                <c:pt idx="10">
                  <c:v>215143.59528000001</c:v>
                </c:pt>
                <c:pt idx="11">
                  <c:v>209633.96135999999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E-496C-8640-3C7F19BB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19440"/>
        <c:axId val="-2103814544"/>
      </c:lineChart>
      <c:catAx>
        <c:axId val="-210381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454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94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453783.84272000002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F-4E19-AF32-9C60CB5AF7FA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476664.46990999999</c:v>
                </c:pt>
                <c:pt idx="4">
                  <c:v>526718.20672999998</c:v>
                </c:pt>
                <c:pt idx="5">
                  <c:v>347421.16450000001</c:v>
                </c:pt>
                <c:pt idx="6">
                  <c:v>496256.08967999998</c:v>
                </c:pt>
                <c:pt idx="7">
                  <c:v>413159.51555000001</c:v>
                </c:pt>
                <c:pt idx="8">
                  <c:v>457559.63660000003</c:v>
                </c:pt>
                <c:pt idx="9">
                  <c:v>491180.71367999999</c:v>
                </c:pt>
                <c:pt idx="10">
                  <c:v>521378.09720999998</c:v>
                </c:pt>
                <c:pt idx="11">
                  <c:v>524279.17329000001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F-4E19-AF32-9C60CB5A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07472"/>
        <c:axId val="-2103808016"/>
      </c:lineChart>
      <c:catAx>
        <c:axId val="-210380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0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0801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074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673702.03388999996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B-4CC8-BBC0-F5707BF8455C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639691.10280999995</c:v>
                </c:pt>
                <c:pt idx="2">
                  <c:v>727808.60008999996</c:v>
                </c:pt>
                <c:pt idx="3">
                  <c:v>690699.96392999997</c:v>
                </c:pt>
                <c:pt idx="4">
                  <c:v>786328.82643999998</c:v>
                </c:pt>
                <c:pt idx="5">
                  <c:v>509860.24641000002</c:v>
                </c:pt>
                <c:pt idx="6">
                  <c:v>662361.71221000003</c:v>
                </c:pt>
                <c:pt idx="7">
                  <c:v>572635.50167000003</c:v>
                </c:pt>
                <c:pt idx="8">
                  <c:v>676928.15245000005</c:v>
                </c:pt>
                <c:pt idx="9">
                  <c:v>704550.08088000002</c:v>
                </c:pt>
                <c:pt idx="10">
                  <c:v>673858.14159000001</c:v>
                </c:pt>
                <c:pt idx="11">
                  <c:v>597853.34467999998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B-4CC8-BBC0-F5707BF8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18896"/>
        <c:axId val="-2103811824"/>
      </c:lineChart>
      <c:catAx>
        <c:axId val="-210381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1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88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133437.7789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A-43AC-9402-F911FC26DA7B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116826.44227</c:v>
                </c:pt>
                <c:pt idx="1">
                  <c:v>146311.26500000001</c:v>
                </c:pt>
                <c:pt idx="2">
                  <c:v>176073.62393</c:v>
                </c:pt>
                <c:pt idx="3">
                  <c:v>141711.93359999999</c:v>
                </c:pt>
                <c:pt idx="4">
                  <c:v>162675.19221000001</c:v>
                </c:pt>
                <c:pt idx="5">
                  <c:v>87701.870479999998</c:v>
                </c:pt>
                <c:pt idx="6">
                  <c:v>165876.87218000001</c:v>
                </c:pt>
                <c:pt idx="7">
                  <c:v>134397.4682</c:v>
                </c:pt>
                <c:pt idx="8">
                  <c:v>147734.42623000001</c:v>
                </c:pt>
                <c:pt idx="9">
                  <c:v>147853.97192000001</c:v>
                </c:pt>
                <c:pt idx="10">
                  <c:v>124646.59450000001</c:v>
                </c:pt>
                <c:pt idx="11">
                  <c:v>114459.18403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A-43AC-9402-F911FC26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11280"/>
        <c:axId val="-2103810736"/>
      </c:lineChart>
      <c:catAx>
        <c:axId val="-210381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10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811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221658.42421999999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1-40F7-85A5-286743A1C1FE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182640.83843999999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230088.31982999999</c:v>
                </c:pt>
                <c:pt idx="9">
                  <c:v>254642.58517999999</c:v>
                </c:pt>
                <c:pt idx="10">
                  <c:v>251730.48947999999</c:v>
                </c:pt>
                <c:pt idx="11">
                  <c:v>226345.64717000001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1-40F7-85A5-286743A1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4800"/>
        <c:axId val="-2103176640"/>
      </c:lineChart>
      <c:catAx>
        <c:axId val="-21031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76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304076.55554999999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317545.56498000002</c:v>
                </c:pt>
                <c:pt idx="6">
                  <c:v>379058.61536</c:v>
                </c:pt>
                <c:pt idx="7">
                  <c:v>340260.61605999997</c:v>
                </c:pt>
                <c:pt idx="8">
                  <c:v>353396.99436000001</c:v>
                </c:pt>
                <c:pt idx="9">
                  <c:v>370517.69183999998</c:v>
                </c:pt>
                <c:pt idx="10">
                  <c:v>370802.00416999997</c:v>
                </c:pt>
                <c:pt idx="11">
                  <c:v>368186.53768000001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4F9A-9761-64057ACA9EFD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330358.94588000001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6-4F9A-9761-64057ACA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01248"/>
        <c:axId val="-88700160"/>
      </c:lineChart>
      <c:catAx>
        <c:axId val="-887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70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8700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701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1700258.1746700001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A-4DAD-9464-E15E87707D96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1536645.9649100001</c:v>
                </c:pt>
                <c:pt idx="1">
                  <c:v>1641583.64154</c:v>
                </c:pt>
                <c:pt idx="2">
                  <c:v>1838185.3626300001</c:v>
                </c:pt>
                <c:pt idx="3">
                  <c:v>1768223.26192</c:v>
                </c:pt>
                <c:pt idx="4">
                  <c:v>1933637.91108</c:v>
                </c:pt>
                <c:pt idx="5">
                  <c:v>1294087.0782600001</c:v>
                </c:pt>
                <c:pt idx="6">
                  <c:v>1730199.1682599999</c:v>
                </c:pt>
                <c:pt idx="7">
                  <c:v>1628894.8349299999</c:v>
                </c:pt>
                <c:pt idx="8">
                  <c:v>1654034.8155400001</c:v>
                </c:pt>
                <c:pt idx="9">
                  <c:v>1936646.8981699999</c:v>
                </c:pt>
                <c:pt idx="10">
                  <c:v>1813081.88855</c:v>
                </c:pt>
                <c:pt idx="11">
                  <c:v>1809772.8883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A-4DAD-9464-E15E8770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79360"/>
        <c:axId val="-2103178816"/>
      </c:lineChart>
      <c:catAx>
        <c:axId val="-21031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788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625772.07894000004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7-47F6-9315-0C12DF2A42D5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585583.80766000005</c:v>
                </c:pt>
                <c:pt idx="1">
                  <c:v>601127.65714999998</c:v>
                </c:pt>
                <c:pt idx="2">
                  <c:v>699046.50168999995</c:v>
                </c:pt>
                <c:pt idx="3">
                  <c:v>659095.49066999997</c:v>
                </c:pt>
                <c:pt idx="4">
                  <c:v>780348.46788000001</c:v>
                </c:pt>
                <c:pt idx="5">
                  <c:v>472172.0085</c:v>
                </c:pt>
                <c:pt idx="6">
                  <c:v>682500.13321999996</c:v>
                </c:pt>
                <c:pt idx="7">
                  <c:v>574420.45152999996</c:v>
                </c:pt>
                <c:pt idx="8">
                  <c:v>647404.00061999995</c:v>
                </c:pt>
                <c:pt idx="9">
                  <c:v>709253.40989999997</c:v>
                </c:pt>
                <c:pt idx="10">
                  <c:v>683149.20606</c:v>
                </c:pt>
                <c:pt idx="11">
                  <c:v>741048.25515999994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47F6-9315-0C12DF2A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73376"/>
        <c:axId val="-2103175552"/>
      </c:lineChart>
      <c:catAx>
        <c:axId val="-21031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755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3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2402323.4506600001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3-4357-9168-B878877A0557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2327581.5546900001</c:v>
                </c:pt>
                <c:pt idx="1">
                  <c:v>2544686.63167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2753078.4892600002</c:v>
                </c:pt>
                <c:pt idx="5">
                  <c:v>2189549.69429</c:v>
                </c:pt>
                <c:pt idx="6">
                  <c:v>2900282.6975599998</c:v>
                </c:pt>
                <c:pt idx="7">
                  <c:v>1740662.0665</c:v>
                </c:pt>
                <c:pt idx="8">
                  <c:v>2592036.8818999999</c:v>
                </c:pt>
                <c:pt idx="9">
                  <c:v>2812535.3290400002</c:v>
                </c:pt>
                <c:pt idx="10">
                  <c:v>2690252.3694699998</c:v>
                </c:pt>
                <c:pt idx="11">
                  <c:v>2538249.51608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3-4357-9168-B878877A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78272"/>
        <c:axId val="-2103183168"/>
      </c:lineChart>
      <c:catAx>
        <c:axId val="-21031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8316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827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824784.23383000004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4301-B4FF-BEFF27B21A8B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937008.63986</c:v>
                </c:pt>
                <c:pt idx="4">
                  <c:v>1041385.05189</c:v>
                </c:pt>
                <c:pt idx="5">
                  <c:v>715637.68700999999</c:v>
                </c:pt>
                <c:pt idx="6">
                  <c:v>947296.04394999996</c:v>
                </c:pt>
                <c:pt idx="7">
                  <c:v>847922.08943000005</c:v>
                </c:pt>
                <c:pt idx="8">
                  <c:v>1011526.0212899999</c:v>
                </c:pt>
                <c:pt idx="9">
                  <c:v>1070886.7786300001</c:v>
                </c:pt>
                <c:pt idx="10">
                  <c:v>1013164.1357400001</c:v>
                </c:pt>
                <c:pt idx="11">
                  <c:v>976309.30611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A-4301-B4FF-BEFF27B2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5888"/>
        <c:axId val="-2103174464"/>
      </c:lineChart>
      <c:catAx>
        <c:axId val="-21031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7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7446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588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1495474.8953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252-A86A-7936412D938B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1414001.49691</c:v>
                </c:pt>
                <c:pt idx="1">
                  <c:v>1413611.6948800001</c:v>
                </c:pt>
                <c:pt idx="2">
                  <c:v>1674267.0277100001</c:v>
                </c:pt>
                <c:pt idx="3">
                  <c:v>1502323.8640399999</c:v>
                </c:pt>
                <c:pt idx="4">
                  <c:v>1621073.493</c:v>
                </c:pt>
                <c:pt idx="5">
                  <c:v>1085796.3600600001</c:v>
                </c:pt>
                <c:pt idx="6">
                  <c:v>1671759.40628</c:v>
                </c:pt>
                <c:pt idx="7">
                  <c:v>1394417.32504</c:v>
                </c:pt>
                <c:pt idx="8">
                  <c:v>1498588.0419099999</c:v>
                </c:pt>
                <c:pt idx="9">
                  <c:v>1549713.11626</c:v>
                </c:pt>
                <c:pt idx="10">
                  <c:v>1538010.91496</c:v>
                </c:pt>
                <c:pt idx="11">
                  <c:v>1329880.3128500001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3-4252-A86A-7936412D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3712"/>
        <c:axId val="-2103182624"/>
      </c:lineChart>
      <c:catAx>
        <c:axId val="-21031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826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3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702899.94932999997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41F0-A1CF-5D3F3AC07594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650703.22959</c:v>
                </c:pt>
                <c:pt idx="1">
                  <c:v>655064.36698000005</c:v>
                </c:pt>
                <c:pt idx="2">
                  <c:v>712314.88916000002</c:v>
                </c:pt>
                <c:pt idx="3">
                  <c:v>706619.95192000002</c:v>
                </c:pt>
                <c:pt idx="4">
                  <c:v>827450.34982999996</c:v>
                </c:pt>
                <c:pt idx="5">
                  <c:v>516677.82754999999</c:v>
                </c:pt>
                <c:pt idx="6">
                  <c:v>709241.02335999999</c:v>
                </c:pt>
                <c:pt idx="7">
                  <c:v>611273.10250000004</c:v>
                </c:pt>
                <c:pt idx="8">
                  <c:v>651328.96586999996</c:v>
                </c:pt>
                <c:pt idx="9">
                  <c:v>719098.63589999999</c:v>
                </c:pt>
                <c:pt idx="10">
                  <c:v>689814.69631000003</c:v>
                </c:pt>
                <c:pt idx="11">
                  <c:v>672161.26823000005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4-41F0-A1CF-5D3F3AC0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1536"/>
        <c:axId val="-2103180992"/>
      </c:lineChart>
      <c:catAx>
        <c:axId val="-21031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80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31815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288446.03128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6-4F50-8EDA-86A48D4CEA12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266378.18790000002</c:v>
                </c:pt>
                <c:pt idx="2">
                  <c:v>316704.2683</c:v>
                </c:pt>
                <c:pt idx="3">
                  <c:v>311275.03005</c:v>
                </c:pt>
                <c:pt idx="4">
                  <c:v>354009.51500999997</c:v>
                </c:pt>
                <c:pt idx="5">
                  <c:v>235214.55937999999</c:v>
                </c:pt>
                <c:pt idx="6">
                  <c:v>315531.49332000001</c:v>
                </c:pt>
                <c:pt idx="7">
                  <c:v>284226.78219</c:v>
                </c:pt>
                <c:pt idx="8">
                  <c:v>304137.03954000003</c:v>
                </c:pt>
                <c:pt idx="9">
                  <c:v>294804.53156999999</c:v>
                </c:pt>
                <c:pt idx="10">
                  <c:v>301690.79937000002</c:v>
                </c:pt>
                <c:pt idx="11">
                  <c:v>279880.13536999997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6-4F50-8EDA-86A48D4C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4192"/>
        <c:axId val="-2102382560"/>
      </c:lineChart>
      <c:catAx>
        <c:axId val="-21023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82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419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291972.46688999998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2-4EC3-8E1F-7AE2D9B257AC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270241.27841000003</c:v>
                </c:pt>
                <c:pt idx="1">
                  <c:v>248679.40208999999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215703.44276000001</c:v>
                </c:pt>
                <c:pt idx="6">
                  <c:v>507961.53101999999</c:v>
                </c:pt>
                <c:pt idx="7">
                  <c:v>566131.63852000004</c:v>
                </c:pt>
                <c:pt idx="8">
                  <c:v>439163.53537</c:v>
                </c:pt>
                <c:pt idx="9">
                  <c:v>265691.31634000002</c:v>
                </c:pt>
                <c:pt idx="10">
                  <c:v>377108.85196</c:v>
                </c:pt>
                <c:pt idx="11">
                  <c:v>297824.46542000002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2-4EC3-8E1F-7AE2D9B2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77664"/>
        <c:axId val="-2102375488"/>
      </c:lineChart>
      <c:catAx>
        <c:axId val="-21023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7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75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7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1148221.4463500001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5-4E87-941F-BD2307B00383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1194987.05828</c:v>
                </c:pt>
                <c:pt idx="2">
                  <c:v>1307481.74336</c:v>
                </c:pt>
                <c:pt idx="3">
                  <c:v>1235497.2312799999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1242208.85724</c:v>
                </c:pt>
                <c:pt idx="7">
                  <c:v>1020888.94401</c:v>
                </c:pt>
                <c:pt idx="8">
                  <c:v>1136974.5377100001</c:v>
                </c:pt>
                <c:pt idx="9">
                  <c:v>1172268.2904300001</c:v>
                </c:pt>
                <c:pt idx="10">
                  <c:v>990152.71311000001</c:v>
                </c:pt>
                <c:pt idx="11">
                  <c:v>1116117.01495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5-4E87-941F-BD2307B0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5824"/>
        <c:axId val="-2102385280"/>
      </c:lineChart>
      <c:catAx>
        <c:axId val="-21023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852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58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330358.94588000001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7E6-84EA-6F20824ADB6B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304076.55554999999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317545.56498000002</c:v>
                </c:pt>
                <c:pt idx="6">
                  <c:v>379058.61536</c:v>
                </c:pt>
                <c:pt idx="7">
                  <c:v>340260.61605999997</c:v>
                </c:pt>
                <c:pt idx="8">
                  <c:v>353396.99436000001</c:v>
                </c:pt>
                <c:pt idx="9">
                  <c:v>370517.69183999998</c:v>
                </c:pt>
                <c:pt idx="10">
                  <c:v>370802.00416999997</c:v>
                </c:pt>
                <c:pt idx="11">
                  <c:v>368186.53768000001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7E6-84EA-6F20824A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2016"/>
        <c:axId val="-2102378752"/>
      </c:lineChart>
      <c:catAx>
        <c:axId val="-21023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7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7875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20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13179566.503999347</c:v>
                </c:pt>
                <c:pt idx="1">
                  <c:v>13571661.858998239</c:v>
                </c:pt>
                <c:pt idx="2">
                  <c:v>15462010.128998313</c:v>
                </c:pt>
                <c:pt idx="3">
                  <c:v>14462840.165998938</c:v>
                </c:pt>
                <c:pt idx="4">
                  <c:v>15940929.228998305</c:v>
                </c:pt>
                <c:pt idx="5">
                  <c:v>11065137.754999125</c:v>
                </c:pt>
                <c:pt idx="6">
                  <c:v>15128916.856998757</c:v>
                </c:pt>
                <c:pt idx="7">
                  <c:v>12502491.317999167</c:v>
                </c:pt>
                <c:pt idx="8">
                  <c:v>14410244.070999179</c:v>
                </c:pt>
                <c:pt idx="9">
                  <c:v>15644580.439999202</c:v>
                </c:pt>
                <c:pt idx="10">
                  <c:v>15468097.636998609</c:v>
                </c:pt>
                <c:pt idx="11">
                  <c:v>14694198.69199934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B-4E0D-B253-9010D21BC8EA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13908947.023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B-4E0D-B253-9010D21B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698528"/>
        <c:axId val="-88697440"/>
      </c:lineChart>
      <c:catAx>
        <c:axId val="-886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69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8697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869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108772.34581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430D-B220-9BC82329B36B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55620.428140000004</c:v>
                </c:pt>
                <c:pt idx="6">
                  <c:v>88627.582699999999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430D-B220-9BC82329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1472"/>
        <c:axId val="-2102377120"/>
      </c:lineChart>
      <c:catAx>
        <c:axId val="-21023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7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771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14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166947.04574999999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873-A07A-67DF44D642AA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282566.86268999998</c:v>
                </c:pt>
                <c:pt idx="3">
                  <c:v>197032.56896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234060.04074</c:v>
                </c:pt>
                <c:pt idx="7">
                  <c:v>175314.58811000001</c:v>
                </c:pt>
                <c:pt idx="8">
                  <c:v>156462.9809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288659.04862999998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873-A07A-67DF44D6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74400"/>
        <c:axId val="-2102380928"/>
      </c:lineChart>
      <c:catAx>
        <c:axId val="-21023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80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74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361395.47016000003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644-81AF-0D3282809B8F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473294.50167000003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345201.18878000003</c:v>
                </c:pt>
                <c:pt idx="8">
                  <c:v>395881.03688000003</c:v>
                </c:pt>
                <c:pt idx="9">
                  <c:v>437770.17507</c:v>
                </c:pt>
                <c:pt idx="10">
                  <c:v>419203.32475000003</c:v>
                </c:pt>
                <c:pt idx="11">
                  <c:v>390719.01782000001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4644-81AF-0D328280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9632"/>
        <c:axId val="-2102389088"/>
      </c:lineChart>
      <c:catAx>
        <c:axId val="-2102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890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23896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1881416.6336099999</c:v>
                </c:pt>
                <c:pt idx="1">
                  <c:v>1857166.3752499998</c:v>
                </c:pt>
                <c:pt idx="2">
                  <c:v>1950405.5934100002</c:v>
                </c:pt>
                <c:pt idx="3">
                  <c:v>1878343.5895099998</c:v>
                </c:pt>
                <c:pt idx="4">
                  <c:v>2011260.0955300003</c:v>
                </c:pt>
                <c:pt idx="5">
                  <c:v>1363445.55241</c:v>
                </c:pt>
                <c:pt idx="6">
                  <c:v>1797423.1247700001</c:v>
                </c:pt>
                <c:pt idx="7">
                  <c:v>1528313.8969200002</c:v>
                </c:pt>
                <c:pt idx="8">
                  <c:v>2074585.4737499999</c:v>
                </c:pt>
                <c:pt idx="9">
                  <c:v>2422378.0482400004</c:v>
                </c:pt>
                <c:pt idx="10">
                  <c:v>2354973.7923300001</c:v>
                </c:pt>
                <c:pt idx="11">
                  <c:v>2269552.8996800003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380-AB35-C6B7578BEE71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2050283.2065399999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4380-AB35-C6B7578B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776"/>
        <c:axId val="-2104335200"/>
      </c:lineChart>
      <c:catAx>
        <c:axId val="-21043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35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3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2-468D-B887-663C73A0609A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2-468D-B887-663C73A0609A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2-468D-B887-663C73A0609A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2-468D-B887-663C73A0609A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2-468D-B887-663C73A0609A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2-468D-B887-663C73A0609A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2-468D-B887-663C73A0609A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A2-468D-B887-663C73A0609A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A2-468D-B887-663C73A0609A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A2-468D-B887-663C73A0609A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13179566.503999347</c:v>
                </c:pt>
                <c:pt idx="1">
                  <c:v>13571661.858998239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A2-468D-B887-663C73A0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34112"/>
        <c:axId val="-2104333568"/>
      </c:lineChart>
      <c:catAx>
        <c:axId val="-21043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3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41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171530674.6569865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030-98C2-E9E76B40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329216"/>
        <c:axId val="-2104334656"/>
      </c:barChart>
      <c:catAx>
        <c:axId val="-21043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3465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921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584373.30284999998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0-4B8F-A879-1E37BB2B3817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560029.43738000002</c:v>
                </c:pt>
                <c:pt idx="1">
                  <c:v>565273.15093</c:v>
                </c:pt>
                <c:pt idx="2">
                  <c:v>586795.91000999999</c:v>
                </c:pt>
                <c:pt idx="3">
                  <c:v>597721.19206000003</c:v>
                </c:pt>
                <c:pt idx="4">
                  <c:v>590707.52075999998</c:v>
                </c:pt>
                <c:pt idx="5">
                  <c:v>344742.73492999998</c:v>
                </c:pt>
                <c:pt idx="6">
                  <c:v>546263.07331999997</c:v>
                </c:pt>
                <c:pt idx="7">
                  <c:v>480738.25741999998</c:v>
                </c:pt>
                <c:pt idx="8">
                  <c:v>568038.50916999998</c:v>
                </c:pt>
                <c:pt idx="9">
                  <c:v>697930.97993999999</c:v>
                </c:pt>
                <c:pt idx="10">
                  <c:v>620324.61817000003</c:v>
                </c:pt>
                <c:pt idx="11">
                  <c:v>628746.26575000002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0-4B8F-A879-1E37BB2B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9760"/>
        <c:axId val="-2104332480"/>
      </c:lineChart>
      <c:catAx>
        <c:axId val="-21043297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32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97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256226.96775000001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7E9-9F3A-1E568337EE27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199176.22761</c:v>
                </c:pt>
                <c:pt idx="1">
                  <c:v>165875.00847999999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140747.82935000001</c:v>
                </c:pt>
                <c:pt idx="5">
                  <c:v>202431.16746</c:v>
                </c:pt>
                <c:pt idx="6">
                  <c:v>131731.65242</c:v>
                </c:pt>
                <c:pt idx="7">
                  <c:v>109803.64810000001</c:v>
                </c:pt>
                <c:pt idx="8">
                  <c:v>148471.13561999999</c:v>
                </c:pt>
                <c:pt idx="9">
                  <c:v>223963.48092999999</c:v>
                </c:pt>
                <c:pt idx="10">
                  <c:v>331680.55183000001</c:v>
                </c:pt>
                <c:pt idx="11">
                  <c:v>350640.09970999998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7E9-9F3A-1E568337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36832"/>
        <c:axId val="-2104331392"/>
      </c:lineChart>
      <c:catAx>
        <c:axId val="-21043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31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36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132244.25317000001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A-4330-BD69-DB729DAC86AF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122129.86859</c:v>
                </c:pt>
                <c:pt idx="2">
                  <c:v>128023.94576</c:v>
                </c:pt>
                <c:pt idx="3">
                  <c:v>125216.48028</c:v>
                </c:pt>
                <c:pt idx="4">
                  <c:v>138481.49695999999</c:v>
                </c:pt>
                <c:pt idx="5">
                  <c:v>83532.177299999996</c:v>
                </c:pt>
                <c:pt idx="6">
                  <c:v>130147.26106999999</c:v>
                </c:pt>
                <c:pt idx="7">
                  <c:v>127847.36042</c:v>
                </c:pt>
                <c:pt idx="8">
                  <c:v>152554.42249</c:v>
                </c:pt>
                <c:pt idx="9">
                  <c:v>148389.73688000001</c:v>
                </c:pt>
                <c:pt idx="10">
                  <c:v>139340.89124999999</c:v>
                </c:pt>
                <c:pt idx="11">
                  <c:v>127774.86904999999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A-4330-BD69-DB729DAC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8128"/>
        <c:axId val="-2104324864"/>
      </c:lineChart>
      <c:catAx>
        <c:axId val="-21043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24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4328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123</v>
      </c>
      <c r="C1" s="150"/>
      <c r="D1" s="150"/>
      <c r="E1" s="150"/>
      <c r="F1" s="150"/>
      <c r="G1" s="150"/>
      <c r="H1" s="150"/>
      <c r="I1" s="150"/>
      <c r="J1" s="150"/>
      <c r="K1" s="70"/>
      <c r="L1" s="70"/>
      <c r="M1" s="70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124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125</v>
      </c>
      <c r="C6" s="146"/>
      <c r="D6" s="146"/>
      <c r="E6" s="146"/>
      <c r="F6" s="146" t="s">
        <v>126</v>
      </c>
      <c r="G6" s="146"/>
      <c r="H6" s="146"/>
      <c r="I6" s="146"/>
      <c r="J6" s="146" t="s">
        <v>104</v>
      </c>
      <c r="K6" s="146"/>
      <c r="L6" s="146"/>
      <c r="M6" s="146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127</v>
      </c>
      <c r="K7" s="5" t="s">
        <v>128</v>
      </c>
      <c r="L7" s="7" t="s">
        <v>117</v>
      </c>
      <c r="M7" s="7" t="s">
        <v>118</v>
      </c>
    </row>
    <row r="8" spans="1:13" ht="16.8" x14ac:dyDescent="0.3">
      <c r="A8" s="86" t="s">
        <v>2</v>
      </c>
      <c r="B8" s="8">
        <f>B9+B18+B20</f>
        <v>1881416.6336099999</v>
      </c>
      <c r="C8" s="8">
        <f>C9+C18+C20</f>
        <v>2050283.2065399999</v>
      </c>
      <c r="D8" s="10">
        <f t="shared" ref="D8:D45" si="0">(C8-B8)/B8*100</f>
        <v>8.9755012214378294</v>
      </c>
      <c r="E8" s="10">
        <f>100*(C8/C$48)</f>
        <v>13.886296046300634</v>
      </c>
      <c r="F8" s="8">
        <f>F9+F18+F20</f>
        <v>1881416.6336099999</v>
      </c>
      <c r="G8" s="8">
        <f>G9+G18+G20</f>
        <v>2050283.2065399999</v>
      </c>
      <c r="H8" s="10">
        <f t="shared" ref="H8:H45" si="1">(G8-F8)/F8*100</f>
        <v>8.9755012214378294</v>
      </c>
      <c r="I8" s="10">
        <f t="shared" ref="I8:I48" si="2">100*(G8/G$48)</f>
        <v>13.886296046300634</v>
      </c>
      <c r="J8" s="8">
        <f>J9+J18+J20</f>
        <v>22611620.734209999</v>
      </c>
      <c r="K8" s="8">
        <f>K9+K18+K20</f>
        <v>23558131.648339998</v>
      </c>
      <c r="L8" s="10">
        <f t="shared" ref="L8:L45" si="3">(K8-J8)/J8*100</f>
        <v>4.1859490093869534</v>
      </c>
      <c r="M8" s="10">
        <f t="shared" ref="M8:M48" si="4">100*(K8/K$48)</f>
        <v>12.974912152396371</v>
      </c>
    </row>
    <row r="9" spans="1:13" ht="15.6" x14ac:dyDescent="0.3">
      <c r="A9" s="9" t="s">
        <v>3</v>
      </c>
      <c r="B9" s="8">
        <f>B10+B11+B12+B13+B14+B15+B16+B17</f>
        <v>1267937.6895299999</v>
      </c>
      <c r="C9" s="8">
        <f>C10+C11+C12+C13+C14+C15+C16+C17</f>
        <v>1386748.91</v>
      </c>
      <c r="D9" s="10">
        <f t="shared" si="0"/>
        <v>9.3704305385890923</v>
      </c>
      <c r="E9" s="10">
        <f t="shared" ref="E9:E48" si="5">100*(C9/C$48)</f>
        <v>9.3922663194622533</v>
      </c>
      <c r="F9" s="8">
        <f>F10+F11+F12+F13+F14+F15+F16+F17</f>
        <v>1267937.6895299999</v>
      </c>
      <c r="G9" s="8">
        <f>G10+G11+G12+G13+G14+G15+G16+G17</f>
        <v>1386748.91</v>
      </c>
      <c r="H9" s="10">
        <f t="shared" si="1"/>
        <v>9.3704305385890923</v>
      </c>
      <c r="I9" s="10">
        <f t="shared" si="2"/>
        <v>9.3922663194622533</v>
      </c>
      <c r="J9" s="8">
        <f>J10+J11+J12+J13+J14+J15+J16+J17</f>
        <v>15062582.396100001</v>
      </c>
      <c r="K9" s="8">
        <f>K10+K11+K12+K13+K14+K15+K16+K17</f>
        <v>15463281.076459998</v>
      </c>
      <c r="L9" s="10">
        <f t="shared" si="3"/>
        <v>2.660225649379655</v>
      </c>
      <c r="M9" s="10">
        <f t="shared" si="4"/>
        <v>8.5165800306162733</v>
      </c>
    </row>
    <row r="10" spans="1:13" ht="13.8" x14ac:dyDescent="0.25">
      <c r="A10" s="11" t="s">
        <v>129</v>
      </c>
      <c r="B10" s="12">
        <v>560029.43738000002</v>
      </c>
      <c r="C10" s="12">
        <v>584373.30284999998</v>
      </c>
      <c r="D10" s="13">
        <f t="shared" si="0"/>
        <v>4.3468903320312027</v>
      </c>
      <c r="E10" s="13">
        <f t="shared" si="5"/>
        <v>3.9578828227461669</v>
      </c>
      <c r="F10" s="12">
        <v>560029.43738000002</v>
      </c>
      <c r="G10" s="12">
        <v>584373.30284999998</v>
      </c>
      <c r="H10" s="13">
        <f t="shared" si="1"/>
        <v>4.3468903320312027</v>
      </c>
      <c r="I10" s="13">
        <f t="shared" si="2"/>
        <v>3.9578828227461669</v>
      </c>
      <c r="J10" s="12">
        <v>6691310.9297599997</v>
      </c>
      <c r="K10" s="12">
        <v>6811655.5153099997</v>
      </c>
      <c r="L10" s="13">
        <f t="shared" si="3"/>
        <v>1.7985203021243612</v>
      </c>
      <c r="M10" s="13">
        <f t="shared" si="4"/>
        <v>3.7515976751815603</v>
      </c>
    </row>
    <row r="11" spans="1:13" ht="13.8" x14ac:dyDescent="0.25">
      <c r="A11" s="11" t="s">
        <v>130</v>
      </c>
      <c r="B11" s="12">
        <v>199176.22761</v>
      </c>
      <c r="C11" s="12">
        <v>256226.96775000001</v>
      </c>
      <c r="D11" s="13">
        <f t="shared" si="0"/>
        <v>28.643348066471603</v>
      </c>
      <c r="E11" s="13">
        <f t="shared" si="5"/>
        <v>1.7353912463765817</v>
      </c>
      <c r="F11" s="12">
        <v>199176.22761</v>
      </c>
      <c r="G11" s="12">
        <v>256226.96775000001</v>
      </c>
      <c r="H11" s="13">
        <f t="shared" si="1"/>
        <v>28.643348066471603</v>
      </c>
      <c r="I11" s="13">
        <f t="shared" si="2"/>
        <v>1.7353912463765817</v>
      </c>
      <c r="J11" s="12">
        <v>2299523.5047900002</v>
      </c>
      <c r="K11" s="12">
        <v>2318393.39304</v>
      </c>
      <c r="L11" s="13">
        <f t="shared" si="3"/>
        <v>0.82059992910240354</v>
      </c>
      <c r="M11" s="13">
        <f t="shared" si="4"/>
        <v>1.2768818452336723</v>
      </c>
    </row>
    <row r="12" spans="1:13" ht="13.8" x14ac:dyDescent="0.25">
      <c r="A12" s="11" t="s">
        <v>131</v>
      </c>
      <c r="B12" s="12">
        <v>125430.57365000001</v>
      </c>
      <c r="C12" s="12">
        <v>132244.25317000001</v>
      </c>
      <c r="D12" s="13">
        <f t="shared" si="0"/>
        <v>5.4322318089788988</v>
      </c>
      <c r="E12" s="13">
        <f t="shared" si="5"/>
        <v>0.89567277539163925</v>
      </c>
      <c r="F12" s="12">
        <v>125430.57365000001</v>
      </c>
      <c r="G12" s="12">
        <v>132244.25317000001</v>
      </c>
      <c r="H12" s="13">
        <f t="shared" si="1"/>
        <v>5.4322318089788988</v>
      </c>
      <c r="I12" s="13">
        <f t="shared" si="2"/>
        <v>0.89567277539163925</v>
      </c>
      <c r="J12" s="12">
        <v>1570016.9279400001</v>
      </c>
      <c r="K12" s="12">
        <v>1555682.7632200001</v>
      </c>
      <c r="L12" s="13">
        <f t="shared" si="3"/>
        <v>-0.91299427827238022</v>
      </c>
      <c r="M12" s="13">
        <f t="shared" si="4"/>
        <v>0.85681018728830516</v>
      </c>
    </row>
    <row r="13" spans="1:13" ht="13.8" x14ac:dyDescent="0.25">
      <c r="A13" s="11" t="s">
        <v>132</v>
      </c>
      <c r="B13" s="12">
        <v>112116.28042</v>
      </c>
      <c r="C13" s="12">
        <v>114115.28229</v>
      </c>
      <c r="D13" s="13">
        <f t="shared" si="0"/>
        <v>1.7829719845427667</v>
      </c>
      <c r="E13" s="13">
        <f t="shared" si="5"/>
        <v>0.77288766168079726</v>
      </c>
      <c r="F13" s="12">
        <v>112116.28042</v>
      </c>
      <c r="G13" s="12">
        <v>114115.28229</v>
      </c>
      <c r="H13" s="13">
        <f t="shared" si="1"/>
        <v>1.7829719845427667</v>
      </c>
      <c r="I13" s="13">
        <f t="shared" si="2"/>
        <v>0.77288766168079726</v>
      </c>
      <c r="J13" s="12">
        <v>1390566.5180500001</v>
      </c>
      <c r="K13" s="12">
        <v>1419609.1366099999</v>
      </c>
      <c r="L13" s="13">
        <f t="shared" si="3"/>
        <v>2.0885457964805951</v>
      </c>
      <c r="M13" s="13">
        <f t="shared" si="4"/>
        <v>0.78186607126596586</v>
      </c>
    </row>
    <row r="14" spans="1:13" ht="13.8" x14ac:dyDescent="0.25">
      <c r="A14" s="11" t="s">
        <v>133</v>
      </c>
      <c r="B14" s="12">
        <v>152194.65153</v>
      </c>
      <c r="C14" s="12">
        <v>185182.07725999999</v>
      </c>
      <c r="D14" s="13">
        <f t="shared" si="0"/>
        <v>21.6744973613594</v>
      </c>
      <c r="E14" s="13">
        <f t="shared" si="5"/>
        <v>1.2542136320966388</v>
      </c>
      <c r="F14" s="12">
        <v>152194.65153</v>
      </c>
      <c r="G14" s="12">
        <v>185182.07725999999</v>
      </c>
      <c r="H14" s="13">
        <f t="shared" si="1"/>
        <v>21.6744973613594</v>
      </c>
      <c r="I14" s="13">
        <f t="shared" si="2"/>
        <v>1.2542136320966388</v>
      </c>
      <c r="J14" s="12">
        <v>1631573.6468700001</v>
      </c>
      <c r="K14" s="12">
        <v>2064765.35234</v>
      </c>
      <c r="L14" s="13">
        <f t="shared" si="3"/>
        <v>26.550545622076697</v>
      </c>
      <c r="M14" s="13">
        <f t="shared" si="4"/>
        <v>1.1371932826349997</v>
      </c>
    </row>
    <row r="15" spans="1:13" ht="13.8" x14ac:dyDescent="0.25">
      <c r="A15" s="11" t="s">
        <v>134</v>
      </c>
      <c r="B15" s="12">
        <v>27998.944500000001</v>
      </c>
      <c r="C15" s="12">
        <v>24451.569380000001</v>
      </c>
      <c r="D15" s="13">
        <f t="shared" si="0"/>
        <v>-12.669674458621111</v>
      </c>
      <c r="E15" s="13">
        <f t="shared" si="5"/>
        <v>0.16560723422221296</v>
      </c>
      <c r="F15" s="12">
        <v>27998.944500000001</v>
      </c>
      <c r="G15" s="12">
        <v>24451.569380000001</v>
      </c>
      <c r="H15" s="13">
        <f t="shared" si="1"/>
        <v>-12.669674458621111</v>
      </c>
      <c r="I15" s="13">
        <f t="shared" si="2"/>
        <v>0.16560723422221296</v>
      </c>
      <c r="J15" s="12">
        <v>364005.13770000002</v>
      </c>
      <c r="K15" s="12">
        <v>279114.25102000003</v>
      </c>
      <c r="L15" s="13">
        <f t="shared" si="3"/>
        <v>-23.321342994329939</v>
      </c>
      <c r="M15" s="13">
        <f t="shared" si="4"/>
        <v>0.1537253862710965</v>
      </c>
    </row>
    <row r="16" spans="1:13" ht="13.8" x14ac:dyDescent="0.25">
      <c r="A16" s="11" t="s">
        <v>135</v>
      </c>
      <c r="B16" s="12">
        <v>82543.428780000002</v>
      </c>
      <c r="C16" s="12">
        <v>79131.446320000003</v>
      </c>
      <c r="D16" s="13">
        <f t="shared" si="0"/>
        <v>-4.1335603698918684</v>
      </c>
      <c r="E16" s="13">
        <f t="shared" si="5"/>
        <v>0.53594678367670134</v>
      </c>
      <c r="F16" s="12">
        <v>82543.428780000002</v>
      </c>
      <c r="G16" s="12">
        <v>79131.446320000003</v>
      </c>
      <c r="H16" s="13">
        <f t="shared" si="1"/>
        <v>-4.1335603698918684</v>
      </c>
      <c r="I16" s="13">
        <f t="shared" si="2"/>
        <v>0.53594678367670134</v>
      </c>
      <c r="J16" s="12">
        <v>1016551.69937</v>
      </c>
      <c r="K16" s="12">
        <v>905005.18885000004</v>
      </c>
      <c r="L16" s="13">
        <f t="shared" si="3"/>
        <v>-10.973028778480238</v>
      </c>
      <c r="M16" s="13">
        <f t="shared" si="4"/>
        <v>0.49844202409909927</v>
      </c>
    </row>
    <row r="17" spans="1:13" ht="13.8" x14ac:dyDescent="0.25">
      <c r="A17" s="11" t="s">
        <v>136</v>
      </c>
      <c r="B17" s="12">
        <v>8448.1456600000001</v>
      </c>
      <c r="C17" s="12">
        <v>11024.010979999999</v>
      </c>
      <c r="D17" s="13">
        <f t="shared" si="0"/>
        <v>30.49030430661394</v>
      </c>
      <c r="E17" s="13">
        <f t="shared" si="5"/>
        <v>7.4664163271515427E-2</v>
      </c>
      <c r="F17" s="12">
        <v>8448.1456600000001</v>
      </c>
      <c r="G17" s="12">
        <v>11024.010979999999</v>
      </c>
      <c r="H17" s="13">
        <f t="shared" si="1"/>
        <v>30.49030430661394</v>
      </c>
      <c r="I17" s="13">
        <f t="shared" si="2"/>
        <v>7.4664163271515427E-2</v>
      </c>
      <c r="J17" s="12">
        <v>99034.031619999994</v>
      </c>
      <c r="K17" s="12">
        <v>109055.47607</v>
      </c>
      <c r="L17" s="13">
        <f t="shared" si="3"/>
        <v>10.119192651323075</v>
      </c>
      <c r="M17" s="13">
        <f t="shared" si="4"/>
        <v>6.006355864157506E-2</v>
      </c>
    </row>
    <row r="18" spans="1:13" ht="15.6" x14ac:dyDescent="0.3">
      <c r="A18" s="9" t="s">
        <v>12</v>
      </c>
      <c r="B18" s="8">
        <f>B19</f>
        <v>220592.68002999999</v>
      </c>
      <c r="C18" s="8">
        <f>C19</f>
        <v>209750.45382</v>
      </c>
      <c r="D18" s="10">
        <f t="shared" si="0"/>
        <v>-4.9150435130147931</v>
      </c>
      <c r="E18" s="10">
        <f t="shared" si="5"/>
        <v>1.4206119858464563</v>
      </c>
      <c r="F18" s="8">
        <f>F19</f>
        <v>220592.68002999999</v>
      </c>
      <c r="G18" s="8">
        <f>G19</f>
        <v>209750.45382</v>
      </c>
      <c r="H18" s="10">
        <f t="shared" si="1"/>
        <v>-4.9150435130147931</v>
      </c>
      <c r="I18" s="10">
        <f t="shared" si="2"/>
        <v>1.4206119858464563</v>
      </c>
      <c r="J18" s="8">
        <f>J19</f>
        <v>2512917.2527299998</v>
      </c>
      <c r="K18" s="8">
        <f>K19</f>
        <v>2502951.0503099998</v>
      </c>
      <c r="L18" s="10">
        <f t="shared" si="3"/>
        <v>-0.39659890946161624</v>
      </c>
      <c r="M18" s="10">
        <f t="shared" si="4"/>
        <v>1.3785290991787473</v>
      </c>
    </row>
    <row r="19" spans="1:13" ht="13.8" x14ac:dyDescent="0.25">
      <c r="A19" s="11" t="s">
        <v>137</v>
      </c>
      <c r="B19" s="12">
        <v>220592.68002999999</v>
      </c>
      <c r="C19" s="12">
        <v>209750.45382</v>
      </c>
      <c r="D19" s="13">
        <f t="shared" si="0"/>
        <v>-4.9150435130147931</v>
      </c>
      <c r="E19" s="13">
        <f t="shared" si="5"/>
        <v>1.4206119858464563</v>
      </c>
      <c r="F19" s="12">
        <v>220592.68002999999</v>
      </c>
      <c r="G19" s="12">
        <v>209750.45382</v>
      </c>
      <c r="H19" s="13">
        <f t="shared" si="1"/>
        <v>-4.9150435130147931</v>
      </c>
      <c r="I19" s="13">
        <f t="shared" si="2"/>
        <v>1.4206119858464563</v>
      </c>
      <c r="J19" s="12">
        <v>2512917.2527299998</v>
      </c>
      <c r="K19" s="12">
        <v>2502951.0503099998</v>
      </c>
      <c r="L19" s="13">
        <f t="shared" si="3"/>
        <v>-0.39659890946161624</v>
      </c>
      <c r="M19" s="13">
        <f t="shared" si="4"/>
        <v>1.3785290991787473</v>
      </c>
    </row>
    <row r="20" spans="1:13" ht="15.6" x14ac:dyDescent="0.3">
      <c r="A20" s="9" t="s">
        <v>110</v>
      </c>
      <c r="B20" s="8">
        <f>B21</f>
        <v>392886.26405</v>
      </c>
      <c r="C20" s="8">
        <f>C21</f>
        <v>453783.84272000002</v>
      </c>
      <c r="D20" s="10">
        <f t="shared" si="0"/>
        <v>15.500052875925943</v>
      </c>
      <c r="E20" s="10">
        <f t="shared" si="5"/>
        <v>3.0734177409919239</v>
      </c>
      <c r="F20" s="8">
        <f>F21</f>
        <v>392886.26405</v>
      </c>
      <c r="G20" s="8">
        <f>G21</f>
        <v>453783.84272000002</v>
      </c>
      <c r="H20" s="10">
        <f t="shared" si="1"/>
        <v>15.500052875925943</v>
      </c>
      <c r="I20" s="10">
        <f t="shared" si="2"/>
        <v>3.0734177409919239</v>
      </c>
      <c r="J20" s="8">
        <f>J21</f>
        <v>5036121.0853800001</v>
      </c>
      <c r="K20" s="8">
        <f>K21</f>
        <v>5591899.5215699999</v>
      </c>
      <c r="L20" s="10">
        <f t="shared" si="3"/>
        <v>11.035843395494204</v>
      </c>
      <c r="M20" s="10">
        <f t="shared" si="4"/>
        <v>3.0798030226013497</v>
      </c>
    </row>
    <row r="21" spans="1:13" ht="13.8" x14ac:dyDescent="0.25">
      <c r="A21" s="11" t="s">
        <v>138</v>
      </c>
      <c r="B21" s="12">
        <v>392886.26405</v>
      </c>
      <c r="C21" s="12">
        <v>453783.84272000002</v>
      </c>
      <c r="D21" s="13">
        <f t="shared" si="0"/>
        <v>15.500052875925943</v>
      </c>
      <c r="E21" s="13">
        <f t="shared" si="5"/>
        <v>3.0734177409919239</v>
      </c>
      <c r="F21" s="12">
        <v>392886.26405</v>
      </c>
      <c r="G21" s="12">
        <v>453783.84272000002</v>
      </c>
      <c r="H21" s="13">
        <f t="shared" si="1"/>
        <v>15.500052875925943</v>
      </c>
      <c r="I21" s="13">
        <f t="shared" si="2"/>
        <v>3.0734177409919239</v>
      </c>
      <c r="J21" s="12">
        <v>5036121.0853800001</v>
      </c>
      <c r="K21" s="12">
        <v>5591899.5215699999</v>
      </c>
      <c r="L21" s="13">
        <f t="shared" si="3"/>
        <v>11.035843395494204</v>
      </c>
      <c r="M21" s="13">
        <f t="shared" si="4"/>
        <v>3.0798030226013497</v>
      </c>
    </row>
    <row r="22" spans="1:13" ht="16.8" x14ac:dyDescent="0.3">
      <c r="A22" s="86" t="s">
        <v>14</v>
      </c>
      <c r="B22" s="8">
        <f>B23+B27+B29</f>
        <v>10612064.9944</v>
      </c>
      <c r="C22" s="8">
        <f>C23+C27+C29</f>
        <v>11153283.087579999</v>
      </c>
      <c r="D22" s="10">
        <f t="shared" si="0"/>
        <v>5.1000261821389188</v>
      </c>
      <c r="E22" s="10">
        <f t="shared" si="5"/>
        <v>75.539706099286278</v>
      </c>
      <c r="F22" s="8">
        <f>F23+F27+F29</f>
        <v>10612064.9944</v>
      </c>
      <c r="G22" s="8">
        <f>G23+G27+G29</f>
        <v>11153283.087579999</v>
      </c>
      <c r="H22" s="10">
        <f t="shared" si="1"/>
        <v>5.1000261821389188</v>
      </c>
      <c r="I22" s="10">
        <f t="shared" si="2"/>
        <v>75.539706099286278</v>
      </c>
      <c r="J22" s="8">
        <f>J23+J27+J29</f>
        <v>136931603.06702</v>
      </c>
      <c r="K22" s="8">
        <f>K23+K27+K29</f>
        <v>138769979.49904999</v>
      </c>
      <c r="L22" s="10">
        <f t="shared" si="3"/>
        <v>1.3425508727376942</v>
      </c>
      <c r="M22" s="10">
        <f t="shared" si="4"/>
        <v>76.429163410201568</v>
      </c>
    </row>
    <row r="23" spans="1:13" ht="15.6" x14ac:dyDescent="0.3">
      <c r="A23" s="9" t="s">
        <v>15</v>
      </c>
      <c r="B23" s="8">
        <f>B24+B25+B26</f>
        <v>975050.35317000002</v>
      </c>
      <c r="C23" s="8">
        <f>C24+C25+C26</f>
        <v>1028798.23701</v>
      </c>
      <c r="D23" s="10">
        <f>(C23-B23)/B23*100</f>
        <v>5.5123187910510998</v>
      </c>
      <c r="E23" s="10">
        <f t="shared" si="5"/>
        <v>6.9679139181664604</v>
      </c>
      <c r="F23" s="8">
        <f>F24+F25+F26</f>
        <v>975050.35317000002</v>
      </c>
      <c r="G23" s="8">
        <f>G24+G25+G26</f>
        <v>1028798.23701</v>
      </c>
      <c r="H23" s="10">
        <f t="shared" si="1"/>
        <v>5.5123187910510998</v>
      </c>
      <c r="I23" s="10">
        <f t="shared" si="2"/>
        <v>6.9679139181664604</v>
      </c>
      <c r="J23" s="8">
        <f>J24+J25+J26</f>
        <v>12387167.696430001</v>
      </c>
      <c r="K23" s="8">
        <f>K24+K25+K26</f>
        <v>12173090.13704</v>
      </c>
      <c r="L23" s="10">
        <f t="shared" si="3"/>
        <v>-1.7282204022449656</v>
      </c>
      <c r="M23" s="10">
        <f t="shared" si="4"/>
        <v>6.7044695016137297</v>
      </c>
    </row>
    <row r="24" spans="1:13" ht="13.8" x14ac:dyDescent="0.25">
      <c r="A24" s="11" t="s">
        <v>139</v>
      </c>
      <c r="B24" s="12">
        <v>675583.07246000005</v>
      </c>
      <c r="C24" s="12">
        <v>673702.03388999996</v>
      </c>
      <c r="D24" s="13">
        <f t="shared" si="0"/>
        <v>-0.27843186821580174</v>
      </c>
      <c r="E24" s="13">
        <f t="shared" si="5"/>
        <v>4.5628944624577095</v>
      </c>
      <c r="F24" s="12">
        <v>675583.07246000005</v>
      </c>
      <c r="G24" s="12">
        <v>673702.03388999996</v>
      </c>
      <c r="H24" s="13">
        <f t="shared" si="1"/>
        <v>-0.27843186821580174</v>
      </c>
      <c r="I24" s="13">
        <f t="shared" si="2"/>
        <v>4.5628944624577095</v>
      </c>
      <c r="J24" s="12">
        <v>8436938.7479200009</v>
      </c>
      <c r="K24" s="12">
        <v>7916277.7070500003</v>
      </c>
      <c r="L24" s="13">
        <f t="shared" si="3"/>
        <v>-6.1712080225586758</v>
      </c>
      <c r="M24" s="13">
        <f t="shared" si="4"/>
        <v>4.3599810611545289</v>
      </c>
    </row>
    <row r="25" spans="1:13" ht="13.8" x14ac:dyDescent="0.25">
      <c r="A25" s="11" t="s">
        <v>140</v>
      </c>
      <c r="B25" s="12">
        <v>116826.44227</v>
      </c>
      <c r="C25" s="12">
        <v>133437.7789</v>
      </c>
      <c r="D25" s="13">
        <f t="shared" si="0"/>
        <v>14.218815798232734</v>
      </c>
      <c r="E25" s="13">
        <f t="shared" si="5"/>
        <v>0.90375636675735405</v>
      </c>
      <c r="F25" s="12">
        <v>116826.44227</v>
      </c>
      <c r="G25" s="12">
        <v>133437.7789</v>
      </c>
      <c r="H25" s="13">
        <f t="shared" si="1"/>
        <v>14.218815798232734</v>
      </c>
      <c r="I25" s="13">
        <f t="shared" si="2"/>
        <v>0.90375636675735405</v>
      </c>
      <c r="J25" s="12">
        <v>1671360.82859</v>
      </c>
      <c r="K25" s="12">
        <v>1682880.1811800001</v>
      </c>
      <c r="L25" s="13">
        <f t="shared" si="3"/>
        <v>0.6892199693179375</v>
      </c>
      <c r="M25" s="13">
        <f t="shared" si="4"/>
        <v>0.92686562923414118</v>
      </c>
    </row>
    <row r="26" spans="1:13" ht="13.8" x14ac:dyDescent="0.25">
      <c r="A26" s="11" t="s">
        <v>141</v>
      </c>
      <c r="B26" s="12">
        <v>182640.83843999999</v>
      </c>
      <c r="C26" s="12">
        <v>221658.42421999999</v>
      </c>
      <c r="D26" s="13">
        <f t="shared" si="0"/>
        <v>21.363012847106376</v>
      </c>
      <c r="E26" s="13">
        <f t="shared" si="5"/>
        <v>1.5012630889513965</v>
      </c>
      <c r="F26" s="12">
        <v>182640.83843999999</v>
      </c>
      <c r="G26" s="12">
        <v>221658.42421999999</v>
      </c>
      <c r="H26" s="13">
        <f t="shared" si="1"/>
        <v>21.363012847106376</v>
      </c>
      <c r="I26" s="13">
        <f t="shared" si="2"/>
        <v>1.5012630889513965</v>
      </c>
      <c r="J26" s="12">
        <v>2278868.11992</v>
      </c>
      <c r="K26" s="12">
        <v>2573932.2488099998</v>
      </c>
      <c r="L26" s="13">
        <f t="shared" si="3"/>
        <v>12.947836968308552</v>
      </c>
      <c r="M26" s="13">
        <f t="shared" si="4"/>
        <v>1.4176228112250591</v>
      </c>
    </row>
    <row r="27" spans="1:13" ht="15.6" x14ac:dyDescent="0.3">
      <c r="A27" s="9" t="s">
        <v>19</v>
      </c>
      <c r="B27" s="8">
        <f>B28</f>
        <v>1536645.9649100001</v>
      </c>
      <c r="C27" s="8">
        <f>C28</f>
        <v>1700258.1746700001</v>
      </c>
      <c r="D27" s="10">
        <f t="shared" si="0"/>
        <v>10.647358825400138</v>
      </c>
      <c r="E27" s="10">
        <f t="shared" si="5"/>
        <v>11.515622960427214</v>
      </c>
      <c r="F27" s="8">
        <f>F28</f>
        <v>1536645.9649100001</v>
      </c>
      <c r="G27" s="8">
        <f>G28</f>
        <v>1700258.1746700001</v>
      </c>
      <c r="H27" s="10">
        <f t="shared" si="1"/>
        <v>10.647358825400138</v>
      </c>
      <c r="I27" s="10">
        <f t="shared" si="2"/>
        <v>11.515622960427214</v>
      </c>
      <c r="J27" s="8">
        <f>J28</f>
        <v>17535451.425000001</v>
      </c>
      <c r="K27" s="8">
        <f>K28</f>
        <v>20748605.92385</v>
      </c>
      <c r="L27" s="10">
        <f t="shared" si="3"/>
        <v>18.323762650723999</v>
      </c>
      <c r="M27" s="10">
        <f t="shared" si="4"/>
        <v>11.427533522829872</v>
      </c>
    </row>
    <row r="28" spans="1:13" ht="13.8" x14ac:dyDescent="0.25">
      <c r="A28" s="11" t="s">
        <v>142</v>
      </c>
      <c r="B28" s="12">
        <v>1536645.9649100001</v>
      </c>
      <c r="C28" s="12">
        <v>1700258.1746700001</v>
      </c>
      <c r="D28" s="13">
        <f t="shared" si="0"/>
        <v>10.647358825400138</v>
      </c>
      <c r="E28" s="13">
        <f t="shared" si="5"/>
        <v>11.515622960427214</v>
      </c>
      <c r="F28" s="12">
        <v>1536645.9649100001</v>
      </c>
      <c r="G28" s="12">
        <v>1700258.1746700001</v>
      </c>
      <c r="H28" s="13">
        <f t="shared" si="1"/>
        <v>10.647358825400138</v>
      </c>
      <c r="I28" s="13">
        <f t="shared" si="2"/>
        <v>11.515622960427214</v>
      </c>
      <c r="J28" s="12">
        <v>17535451.425000001</v>
      </c>
      <c r="K28" s="12">
        <v>20748605.92385</v>
      </c>
      <c r="L28" s="13">
        <f t="shared" si="3"/>
        <v>18.323762650723999</v>
      </c>
      <c r="M28" s="13">
        <f t="shared" si="4"/>
        <v>11.427533522829872</v>
      </c>
    </row>
    <row r="29" spans="1:13" ht="15.6" x14ac:dyDescent="0.3">
      <c r="A29" s="9" t="s">
        <v>21</v>
      </c>
      <c r="B29" s="8">
        <f>B30+B31+B32+B33+B34+B35+B36+B37+B38+B39+B40+B41</f>
        <v>8100368.6763199996</v>
      </c>
      <c r="C29" s="8">
        <f>C30+C31+C32+C33+C34+C35+C36+C37+C38+C39+C40+C41</f>
        <v>8424226.6758999992</v>
      </c>
      <c r="D29" s="10">
        <f t="shared" si="0"/>
        <v>3.9980649340904866</v>
      </c>
      <c r="E29" s="10">
        <f t="shared" si="5"/>
        <v>57.05616922069261</v>
      </c>
      <c r="F29" s="8">
        <f>F30+F31+F32+F33+F34+F35+F36+F37+F38+F39+F40+F41</f>
        <v>8100368.6763199996</v>
      </c>
      <c r="G29" s="8">
        <f>G30+G31+G32+G33+G34+G35+G36+G37+G38+G39+G40+G41</f>
        <v>8424226.6758999992</v>
      </c>
      <c r="H29" s="10">
        <f t="shared" si="1"/>
        <v>3.9980649340904866</v>
      </c>
      <c r="I29" s="10">
        <f t="shared" si="2"/>
        <v>57.05616922069261</v>
      </c>
      <c r="J29" s="8">
        <f>J30+J31+J32+J33+J34+J35+J36+J37+J38+J39+J40+J41</f>
        <v>107008983.94558999</v>
      </c>
      <c r="K29" s="8">
        <f>K30+K31+K32+K33+K34+K35+K36+K37+K38+K39+K40+K41</f>
        <v>105848283.43815999</v>
      </c>
      <c r="L29" s="10">
        <f t="shared" si="3"/>
        <v>-1.0846757577103754</v>
      </c>
      <c r="M29" s="10">
        <f t="shared" si="4"/>
        <v>58.297160385757962</v>
      </c>
    </row>
    <row r="30" spans="1:13" ht="13.8" x14ac:dyDescent="0.25">
      <c r="A30" s="11" t="s">
        <v>143</v>
      </c>
      <c r="B30" s="12">
        <v>1414001.49691</v>
      </c>
      <c r="C30" s="12">
        <v>1495474.8953</v>
      </c>
      <c r="D30" s="13">
        <f t="shared" si="0"/>
        <v>5.7619032630476559</v>
      </c>
      <c r="E30" s="13">
        <f t="shared" si="5"/>
        <v>10.128652987892039</v>
      </c>
      <c r="F30" s="12">
        <v>1414001.49691</v>
      </c>
      <c r="G30" s="12">
        <v>1495474.8953</v>
      </c>
      <c r="H30" s="13">
        <f t="shared" si="1"/>
        <v>5.7619032630476559</v>
      </c>
      <c r="I30" s="13">
        <f t="shared" si="2"/>
        <v>10.128652987892039</v>
      </c>
      <c r="J30" s="12">
        <v>17614769.16584</v>
      </c>
      <c r="K30" s="12">
        <v>17774916.452289999</v>
      </c>
      <c r="L30" s="13">
        <f t="shared" si="3"/>
        <v>0.9091648317513541</v>
      </c>
      <c r="M30" s="13">
        <f t="shared" si="4"/>
        <v>9.7897398200887746</v>
      </c>
    </row>
    <row r="31" spans="1:13" ht="13.8" x14ac:dyDescent="0.25">
      <c r="A31" s="11" t="s">
        <v>144</v>
      </c>
      <c r="B31" s="12">
        <v>2327581.5546900001</v>
      </c>
      <c r="C31" s="12">
        <v>2402323.4506600001</v>
      </c>
      <c r="D31" s="13">
        <f t="shared" si="0"/>
        <v>3.2111397265284864</v>
      </c>
      <c r="E31" s="13">
        <f t="shared" si="5"/>
        <v>16.270617897286293</v>
      </c>
      <c r="F31" s="12">
        <v>2327581.5546900001</v>
      </c>
      <c r="G31" s="12">
        <v>2402323.4506600001</v>
      </c>
      <c r="H31" s="13">
        <f t="shared" si="1"/>
        <v>3.2111397265284864</v>
      </c>
      <c r="I31" s="13">
        <f t="shared" si="2"/>
        <v>16.270617897286293</v>
      </c>
      <c r="J31" s="12">
        <v>31606166.747420002</v>
      </c>
      <c r="K31" s="12">
        <v>30663142.449809998</v>
      </c>
      <c r="L31" s="13">
        <f t="shared" si="3"/>
        <v>-2.983671842100188</v>
      </c>
      <c r="M31" s="13">
        <f t="shared" si="4"/>
        <v>16.888078627862452</v>
      </c>
    </row>
    <row r="32" spans="1:13" ht="13.8" x14ac:dyDescent="0.25">
      <c r="A32" s="11" t="s">
        <v>145</v>
      </c>
      <c r="B32" s="12">
        <v>91906.762210000001</v>
      </c>
      <c r="C32" s="12">
        <v>108772.34581</v>
      </c>
      <c r="D32" s="13">
        <f t="shared" si="0"/>
        <v>18.350753736121632</v>
      </c>
      <c r="E32" s="13">
        <f t="shared" si="5"/>
        <v>0.73670066201109485</v>
      </c>
      <c r="F32" s="12">
        <v>91906.762210000001</v>
      </c>
      <c r="G32" s="12">
        <v>108772.34581</v>
      </c>
      <c r="H32" s="13">
        <f t="shared" si="1"/>
        <v>18.350753736121632</v>
      </c>
      <c r="I32" s="13">
        <f t="shared" si="2"/>
        <v>0.73670066201109485</v>
      </c>
      <c r="J32" s="12">
        <v>1039903.23691</v>
      </c>
      <c r="K32" s="12">
        <v>1059191.47857</v>
      </c>
      <c r="L32" s="13">
        <f t="shared" si="3"/>
        <v>1.8548111954448498</v>
      </c>
      <c r="M32" s="13">
        <f t="shared" si="4"/>
        <v>0.58336189780062442</v>
      </c>
    </row>
    <row r="33" spans="1:13" ht="13.8" x14ac:dyDescent="0.25">
      <c r="A33" s="11" t="s">
        <v>146</v>
      </c>
      <c r="B33" s="12">
        <v>797011.88977000001</v>
      </c>
      <c r="C33" s="12">
        <v>824784.23383000004</v>
      </c>
      <c r="D33" s="13">
        <f t="shared" si="0"/>
        <v>3.4845583129273661</v>
      </c>
      <c r="E33" s="13">
        <f t="shared" si="5"/>
        <v>5.5861541511685697</v>
      </c>
      <c r="F33" s="12">
        <v>797011.88977000001</v>
      </c>
      <c r="G33" s="12">
        <v>824784.23383000004</v>
      </c>
      <c r="H33" s="13">
        <f t="shared" si="1"/>
        <v>3.4845583129273661</v>
      </c>
      <c r="I33" s="13">
        <f t="shared" si="2"/>
        <v>5.5861541511685697</v>
      </c>
      <c r="J33" s="12">
        <v>11333570.821350001</v>
      </c>
      <c r="K33" s="12">
        <v>11267443.29001</v>
      </c>
      <c r="L33" s="13">
        <f t="shared" si="3"/>
        <v>-0.5834659912781518</v>
      </c>
      <c r="M33" s="13">
        <f t="shared" si="4"/>
        <v>6.2056740768867007</v>
      </c>
    </row>
    <row r="34" spans="1:13" ht="13.8" x14ac:dyDescent="0.25">
      <c r="A34" s="11" t="s">
        <v>147</v>
      </c>
      <c r="B34" s="12">
        <v>585583.80766000005</v>
      </c>
      <c r="C34" s="12">
        <v>625772.07894000004</v>
      </c>
      <c r="D34" s="13">
        <f t="shared" si="0"/>
        <v>6.8629410093480558</v>
      </c>
      <c r="E34" s="13">
        <f t="shared" si="5"/>
        <v>4.2382712387984043</v>
      </c>
      <c r="F34" s="12">
        <v>585583.80766000005</v>
      </c>
      <c r="G34" s="12">
        <v>625772.07894000004</v>
      </c>
      <c r="H34" s="13">
        <f t="shared" si="1"/>
        <v>6.8629410093480558</v>
      </c>
      <c r="I34" s="13">
        <f t="shared" si="2"/>
        <v>4.2382712387984043</v>
      </c>
      <c r="J34" s="12">
        <v>7385109.1050100001</v>
      </c>
      <c r="K34" s="12">
        <v>7875337.66132</v>
      </c>
      <c r="L34" s="13">
        <f t="shared" si="3"/>
        <v>6.6380678922865561</v>
      </c>
      <c r="M34" s="13">
        <f t="shared" si="4"/>
        <v>4.3374328597610079</v>
      </c>
    </row>
    <row r="35" spans="1:13" ht="13.8" x14ac:dyDescent="0.25">
      <c r="A35" s="11" t="s">
        <v>148</v>
      </c>
      <c r="B35" s="12">
        <v>650703.22959</v>
      </c>
      <c r="C35" s="12">
        <v>702899.94932999997</v>
      </c>
      <c r="D35" s="13">
        <f t="shared" si="0"/>
        <v>8.0215860881601078</v>
      </c>
      <c r="E35" s="13">
        <f t="shared" si="5"/>
        <v>4.7606480686138655</v>
      </c>
      <c r="F35" s="12">
        <v>650703.22959</v>
      </c>
      <c r="G35" s="12">
        <v>702899.94932999997</v>
      </c>
      <c r="H35" s="13">
        <f t="shared" si="1"/>
        <v>8.0215860881601078</v>
      </c>
      <c r="I35" s="13">
        <f t="shared" si="2"/>
        <v>4.7606480686138655</v>
      </c>
      <c r="J35" s="12">
        <v>8135932.8192600003</v>
      </c>
      <c r="K35" s="12">
        <v>8173945.0269400002</v>
      </c>
      <c r="L35" s="13">
        <f t="shared" si="3"/>
        <v>0.46721388345310078</v>
      </c>
      <c r="M35" s="13">
        <f t="shared" si="4"/>
        <v>4.5018943032579939</v>
      </c>
    </row>
    <row r="36" spans="1:13" ht="13.8" x14ac:dyDescent="0.25">
      <c r="A36" s="11" t="s">
        <v>149</v>
      </c>
      <c r="B36" s="12">
        <v>1195660.6079299999</v>
      </c>
      <c r="C36" s="12">
        <v>1148221.4463500001</v>
      </c>
      <c r="D36" s="13">
        <f t="shared" si="0"/>
        <v>-3.9676109813577778</v>
      </c>
      <c r="E36" s="13">
        <f t="shared" si="5"/>
        <v>7.7767514652939882</v>
      </c>
      <c r="F36" s="12">
        <v>1195660.6079299999</v>
      </c>
      <c r="G36" s="12">
        <v>1148221.4463500001</v>
      </c>
      <c r="H36" s="13">
        <f t="shared" si="1"/>
        <v>-3.9676109813577778</v>
      </c>
      <c r="I36" s="13">
        <f t="shared" si="2"/>
        <v>7.7767514652939882</v>
      </c>
      <c r="J36" s="12">
        <v>15576859.85238</v>
      </c>
      <c r="K36" s="12">
        <v>13798444.17498</v>
      </c>
      <c r="L36" s="13">
        <f t="shared" si="3"/>
        <v>-11.417035874071082</v>
      </c>
      <c r="M36" s="13">
        <f t="shared" si="4"/>
        <v>7.5996519453496791</v>
      </c>
    </row>
    <row r="37" spans="1:13" ht="13.8" x14ac:dyDescent="0.25">
      <c r="A37" s="14" t="s">
        <v>150</v>
      </c>
      <c r="B37" s="12">
        <v>251902.82900999999</v>
      </c>
      <c r="C37" s="12">
        <v>288446.03128</v>
      </c>
      <c r="D37" s="13">
        <f t="shared" si="0"/>
        <v>14.506864576955318</v>
      </c>
      <c r="E37" s="13">
        <f t="shared" si="5"/>
        <v>1.9536066875824691</v>
      </c>
      <c r="F37" s="12">
        <v>251902.82900999999</v>
      </c>
      <c r="G37" s="12">
        <v>288446.03128</v>
      </c>
      <c r="H37" s="13">
        <f t="shared" si="1"/>
        <v>14.506864576955318</v>
      </c>
      <c r="I37" s="13">
        <f t="shared" si="2"/>
        <v>1.9536066875824691</v>
      </c>
      <c r="J37" s="12">
        <v>3029915.3236099998</v>
      </c>
      <c r="K37" s="12">
        <v>3552298.3732799999</v>
      </c>
      <c r="L37" s="13">
        <f t="shared" si="3"/>
        <v>17.240846488330426</v>
      </c>
      <c r="M37" s="13">
        <f t="shared" si="4"/>
        <v>1.9564692149793752</v>
      </c>
    </row>
    <row r="38" spans="1:13" ht="13.8" x14ac:dyDescent="0.25">
      <c r="A38" s="11" t="s">
        <v>151</v>
      </c>
      <c r="B38" s="12">
        <v>270241.27841000003</v>
      </c>
      <c r="C38" s="12">
        <v>291972.46688999998</v>
      </c>
      <c r="D38" s="13">
        <f t="shared" si="0"/>
        <v>8.0414023378879236</v>
      </c>
      <c r="E38" s="13">
        <f t="shared" si="5"/>
        <v>1.9774907679438916</v>
      </c>
      <c r="F38" s="12">
        <v>270241.27841000003</v>
      </c>
      <c r="G38" s="12">
        <v>291972.46688999998</v>
      </c>
      <c r="H38" s="13">
        <f t="shared" si="1"/>
        <v>8.0414023378879236</v>
      </c>
      <c r="I38" s="13">
        <f t="shared" si="2"/>
        <v>1.9774907679438916</v>
      </c>
      <c r="J38" s="12">
        <v>4525881.9640199998</v>
      </c>
      <c r="K38" s="12">
        <v>4125711.2154000001</v>
      </c>
      <c r="L38" s="13">
        <f t="shared" si="3"/>
        <v>-8.8418291020687221</v>
      </c>
      <c r="M38" s="13">
        <f t="shared" si="4"/>
        <v>2.2722829375878564</v>
      </c>
    </row>
    <row r="39" spans="1:13" ht="13.8" x14ac:dyDescent="0.25">
      <c r="A39" s="11" t="s">
        <v>152</v>
      </c>
      <c r="B39" s="12">
        <v>174498.06437000001</v>
      </c>
      <c r="C39" s="12">
        <v>166947.04574999999</v>
      </c>
      <c r="D39" s="13">
        <f>(C39-B39)/B39*100</f>
        <v>-4.3272793009262749</v>
      </c>
      <c r="E39" s="13">
        <f t="shared" si="5"/>
        <v>1.1307101838150706</v>
      </c>
      <c r="F39" s="12">
        <v>174498.06437000001</v>
      </c>
      <c r="G39" s="12">
        <v>166947.04574999999</v>
      </c>
      <c r="H39" s="13">
        <f t="shared" si="1"/>
        <v>-4.3272793009262749</v>
      </c>
      <c r="I39" s="13">
        <f t="shared" si="2"/>
        <v>1.1307101838150706</v>
      </c>
      <c r="J39" s="12">
        <v>2103948.0384200001</v>
      </c>
      <c r="K39" s="12">
        <v>2733355.4734899998</v>
      </c>
      <c r="L39" s="13">
        <f t="shared" si="3"/>
        <v>29.915540858255476</v>
      </c>
      <c r="M39" s="13">
        <f t="shared" si="4"/>
        <v>1.5054269871313646</v>
      </c>
    </row>
    <row r="40" spans="1:13" ht="13.8" x14ac:dyDescent="0.25">
      <c r="A40" s="11" t="s">
        <v>153</v>
      </c>
      <c r="B40" s="12">
        <v>333958.52682000003</v>
      </c>
      <c r="C40" s="12">
        <v>361395.47016000003</v>
      </c>
      <c r="D40" s="13">
        <f>(C40-B40)/B40*100</f>
        <v>8.2156738446712012</v>
      </c>
      <c r="E40" s="13">
        <f t="shared" si="5"/>
        <v>2.4476835553380702</v>
      </c>
      <c r="F40" s="12">
        <v>333958.52682000003</v>
      </c>
      <c r="G40" s="12">
        <v>361395.47016000003</v>
      </c>
      <c r="H40" s="13">
        <f t="shared" si="1"/>
        <v>8.2156738446712012</v>
      </c>
      <c r="I40" s="13">
        <f t="shared" si="2"/>
        <v>2.4476835553380702</v>
      </c>
      <c r="J40" s="12">
        <v>4534796.6238299999</v>
      </c>
      <c r="K40" s="12">
        <v>4705415.2260699999</v>
      </c>
      <c r="L40" s="13">
        <f t="shared" si="3"/>
        <v>3.7624311825454879</v>
      </c>
      <c r="M40" s="13">
        <f t="shared" si="4"/>
        <v>2.5915615936847245</v>
      </c>
    </row>
    <row r="41" spans="1:13" ht="13.8" x14ac:dyDescent="0.25">
      <c r="A41" s="11" t="s">
        <v>154</v>
      </c>
      <c r="B41" s="12">
        <v>7318.6289500000003</v>
      </c>
      <c r="C41" s="12">
        <v>7217.2615999999998</v>
      </c>
      <c r="D41" s="13">
        <f t="shared" si="0"/>
        <v>-1.3850592876415799</v>
      </c>
      <c r="E41" s="13">
        <f t="shared" si="5"/>
        <v>4.8881554948853892E-2</v>
      </c>
      <c r="F41" s="12">
        <v>7318.6289500000003</v>
      </c>
      <c r="G41" s="12">
        <v>7217.2615999999998</v>
      </c>
      <c r="H41" s="13">
        <f t="shared" si="1"/>
        <v>-1.3850592876415799</v>
      </c>
      <c r="I41" s="13">
        <f t="shared" si="2"/>
        <v>4.8881554948853892E-2</v>
      </c>
      <c r="J41" s="12">
        <v>122130.24754</v>
      </c>
      <c r="K41" s="12">
        <v>119082.61599999999</v>
      </c>
      <c r="L41" s="13">
        <f t="shared" si="3"/>
        <v>-2.4953945491691929</v>
      </c>
      <c r="M41" s="13">
        <f t="shared" si="4"/>
        <v>6.5586121367414277E-2</v>
      </c>
    </row>
    <row r="42" spans="1:13" ht="15.6" x14ac:dyDescent="0.3">
      <c r="A42" s="9" t="s">
        <v>31</v>
      </c>
      <c r="B42" s="8">
        <f>B43</f>
        <v>304076.55554999999</v>
      </c>
      <c r="C42" s="8">
        <f>C43</f>
        <v>330358.94588000001</v>
      </c>
      <c r="D42" s="10">
        <f t="shared" si="0"/>
        <v>8.6433465028113119</v>
      </c>
      <c r="E42" s="10">
        <f t="shared" si="5"/>
        <v>2.2374772955269728</v>
      </c>
      <c r="F42" s="8">
        <f>F43</f>
        <v>304076.55554999999</v>
      </c>
      <c r="G42" s="8">
        <f>G43</f>
        <v>330358.94588000001</v>
      </c>
      <c r="H42" s="10">
        <f t="shared" si="1"/>
        <v>8.6433465028113119</v>
      </c>
      <c r="I42" s="10">
        <f t="shared" si="2"/>
        <v>2.2374772955269728</v>
      </c>
      <c r="J42" s="8">
        <f>J43</f>
        <v>4474055.5826300001</v>
      </c>
      <c r="K42" s="8">
        <f>K43</f>
        <v>4336870.1123900004</v>
      </c>
      <c r="L42" s="10">
        <f t="shared" si="3"/>
        <v>-3.0662442096742457</v>
      </c>
      <c r="M42" s="10">
        <f t="shared" si="4"/>
        <v>2.3885811304810618</v>
      </c>
    </row>
    <row r="43" spans="1:13" ht="13.8" x14ac:dyDescent="0.25">
      <c r="A43" s="11" t="s">
        <v>155</v>
      </c>
      <c r="B43" s="12">
        <v>304076.55554999999</v>
      </c>
      <c r="C43" s="12">
        <v>330358.94588000001</v>
      </c>
      <c r="D43" s="13">
        <f t="shared" si="0"/>
        <v>8.6433465028113119</v>
      </c>
      <c r="E43" s="13">
        <f t="shared" si="5"/>
        <v>2.2374772955269728</v>
      </c>
      <c r="F43" s="12">
        <v>304076.55554999999</v>
      </c>
      <c r="G43" s="12">
        <v>330358.94588000001</v>
      </c>
      <c r="H43" s="13">
        <f t="shared" si="1"/>
        <v>8.6433465028113119</v>
      </c>
      <c r="I43" s="13">
        <f t="shared" si="2"/>
        <v>2.2374772955269728</v>
      </c>
      <c r="J43" s="12">
        <v>4474055.5826300001</v>
      </c>
      <c r="K43" s="12">
        <v>4336870.1123900004</v>
      </c>
      <c r="L43" s="13">
        <f t="shared" si="3"/>
        <v>-3.0662442096742457</v>
      </c>
      <c r="M43" s="13">
        <f t="shared" si="4"/>
        <v>2.3885811304810618</v>
      </c>
    </row>
    <row r="44" spans="1:13" ht="15.6" x14ac:dyDescent="0.3">
      <c r="A44" s="9" t="s">
        <v>33</v>
      </c>
      <c r="B44" s="8">
        <f>B8+B22+B42</f>
        <v>12797558.183560001</v>
      </c>
      <c r="C44" s="8">
        <f>C8+C22+C42</f>
        <v>13533925.239999998</v>
      </c>
      <c r="D44" s="10">
        <f t="shared" si="0"/>
        <v>5.7539652946133852</v>
      </c>
      <c r="E44" s="10">
        <f t="shared" si="5"/>
        <v>91.663479441113878</v>
      </c>
      <c r="F44" s="15">
        <f>F8+F22+F42</f>
        <v>12797558.183560001</v>
      </c>
      <c r="G44" s="15">
        <f>G8+G22+G42</f>
        <v>13533925.239999998</v>
      </c>
      <c r="H44" s="16">
        <f t="shared" si="1"/>
        <v>5.7539652946133852</v>
      </c>
      <c r="I44" s="16">
        <f t="shared" si="2"/>
        <v>91.663479441113878</v>
      </c>
      <c r="J44" s="15">
        <f>J8+J22+J42</f>
        <v>164017279.38386002</v>
      </c>
      <c r="K44" s="15">
        <f>K8+K22+K42</f>
        <v>166664981.25977999</v>
      </c>
      <c r="L44" s="16">
        <f t="shared" si="3"/>
        <v>1.6142822792002198</v>
      </c>
      <c r="M44" s="16">
        <f t="shared" si="4"/>
        <v>91.792656693078996</v>
      </c>
    </row>
    <row r="45" spans="1:13" ht="15" x14ac:dyDescent="0.25">
      <c r="A45" s="87" t="s">
        <v>34</v>
      </c>
      <c r="B45" s="88">
        <f>B46-B44</f>
        <v>382008.32043999992</v>
      </c>
      <c r="C45" s="88">
        <f>C46-C44</f>
        <v>375021.78300000168</v>
      </c>
      <c r="D45" s="89">
        <f t="shared" si="0"/>
        <v>-1.8288966669498443</v>
      </c>
      <c r="E45" s="89">
        <f t="shared" si="5"/>
        <v>2.5399727637324032</v>
      </c>
      <c r="F45" s="88">
        <f>F46-F44</f>
        <v>382008.32043999992</v>
      </c>
      <c r="G45" s="88">
        <f>G46-G44</f>
        <v>375021.78300000168</v>
      </c>
      <c r="H45" s="89">
        <f t="shared" si="1"/>
        <v>-1.8288966669498443</v>
      </c>
      <c r="I45" s="90">
        <f t="shared" si="2"/>
        <v>2.5399727637324032</v>
      </c>
      <c r="J45" s="88">
        <f>J46-J44</f>
        <v>4648802.256139338</v>
      </c>
      <c r="K45" s="88">
        <f>K46-K44</f>
        <v>5595073.9162071943</v>
      </c>
      <c r="L45" s="89">
        <f t="shared" si="3"/>
        <v>20.355171244769199</v>
      </c>
      <c r="M45" s="90">
        <f t="shared" si="4"/>
        <v>3.0815513569841206</v>
      </c>
    </row>
    <row r="46" spans="1:13" ht="21" x14ac:dyDescent="0.4">
      <c r="A46" s="17" t="s">
        <v>224</v>
      </c>
      <c r="B46" s="164">
        <v>13179566.504000001</v>
      </c>
      <c r="C46" s="164">
        <v>13908947.023</v>
      </c>
      <c r="D46" s="165">
        <f t="shared" ref="D46:D48" si="6">(C46-B46)/B46*100</f>
        <v>5.5341768545925412</v>
      </c>
      <c r="E46" s="91">
        <f t="shared" si="5"/>
        <v>94.203452204846286</v>
      </c>
      <c r="F46" s="164">
        <v>13179566.504000001</v>
      </c>
      <c r="G46" s="164">
        <v>13908947.023</v>
      </c>
      <c r="H46" s="165">
        <f t="shared" ref="H46:H48" si="7">(G46-F46)/F46*100</f>
        <v>5.5341768545925412</v>
      </c>
      <c r="I46" s="91">
        <f t="shared" si="2"/>
        <v>94.203452204846286</v>
      </c>
      <c r="J46" s="166">
        <v>168666081.63999936</v>
      </c>
      <c r="K46" s="166">
        <v>172260055.17598718</v>
      </c>
      <c r="L46" s="165">
        <f t="shared" ref="L46:L48" si="8">(K46-J46)/J46*100</f>
        <v>2.1308217402351208</v>
      </c>
      <c r="M46" s="91">
        <f t="shared" si="4"/>
        <v>94.874208050063118</v>
      </c>
    </row>
    <row r="47" spans="1:13" ht="15" x14ac:dyDescent="0.25">
      <c r="A47" s="167" t="s">
        <v>225</v>
      </c>
      <c r="B47" s="88">
        <f>+B48-B46</f>
        <v>736666.39499999955</v>
      </c>
      <c r="C47" s="88">
        <f>+C48-C46</f>
        <v>855848.42500000075</v>
      </c>
      <c r="D47" s="89">
        <f t="shared" si="6"/>
        <v>16.178562074899759</v>
      </c>
      <c r="E47" s="89">
        <f t="shared" si="5"/>
        <v>5.7965477951537192</v>
      </c>
      <c r="F47" s="88">
        <f t="shared" ref="F47:G47" si="9">+F48-F46</f>
        <v>736666.39499999955</v>
      </c>
      <c r="G47" s="88">
        <f t="shared" si="9"/>
        <v>855848.42500000075</v>
      </c>
      <c r="H47" s="168">
        <f t="shared" si="7"/>
        <v>16.178562074899759</v>
      </c>
      <c r="I47" s="89">
        <f t="shared" si="2"/>
        <v>5.7965477951537192</v>
      </c>
      <c r="J47" s="88">
        <f t="shared" ref="J47:K47" si="10">+J48-J46</f>
        <v>9035225.3980006278</v>
      </c>
      <c r="K47" s="88">
        <f t="shared" si="10"/>
        <v>9306735.9640128314</v>
      </c>
      <c r="L47" s="168">
        <f t="shared" si="8"/>
        <v>3.0050226093118306</v>
      </c>
      <c r="M47" s="89">
        <f t="shared" si="4"/>
        <v>5.1257919499368816</v>
      </c>
    </row>
    <row r="48" spans="1:13" ht="21" x14ac:dyDescent="0.4">
      <c r="A48" s="17" t="s">
        <v>226</v>
      </c>
      <c r="B48" s="164">
        <v>13916232.899</v>
      </c>
      <c r="C48" s="164">
        <v>14764795.448000001</v>
      </c>
      <c r="D48" s="165">
        <f t="shared" si="6"/>
        <v>6.0976454990270899</v>
      </c>
      <c r="E48" s="91">
        <f t="shared" si="5"/>
        <v>100</v>
      </c>
      <c r="F48" s="164">
        <v>13916232.899</v>
      </c>
      <c r="G48" s="164">
        <v>14764795.448000001</v>
      </c>
      <c r="H48" s="165">
        <f t="shared" si="7"/>
        <v>6.0976454990270899</v>
      </c>
      <c r="I48" s="91">
        <f t="shared" si="2"/>
        <v>100</v>
      </c>
      <c r="J48" s="166">
        <v>177701307.03799999</v>
      </c>
      <c r="K48" s="166">
        <v>181566791.14000002</v>
      </c>
      <c r="L48" s="165">
        <f t="shared" si="8"/>
        <v>2.175270495435031</v>
      </c>
      <c r="M48" s="91">
        <f t="shared" si="4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topLeftCell="A19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1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topLeftCell="A1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2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2" t="s">
        <v>56</v>
      </c>
    </row>
    <row r="34" ht="12.75" customHeight="1" x14ac:dyDescent="0.25"/>
    <row r="50" spans="2:2" ht="12.75" customHeight="1" x14ac:dyDescent="0.25"/>
    <row r="51" spans="2:2" x14ac:dyDescent="0.25">
      <c r="B51" s="31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topLeftCell="A16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2" t="s">
        <v>14</v>
      </c>
    </row>
    <row r="2" spans="2:2" ht="13.8" x14ac:dyDescent="0.25">
      <c r="B2" s="32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1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2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2" t="s">
        <v>59</v>
      </c>
    </row>
    <row r="19" spans="2:2" ht="13.8" x14ac:dyDescent="0.25">
      <c r="B19" s="32"/>
    </row>
    <row r="20" spans="2:2" ht="13.8" x14ac:dyDescent="0.25">
      <c r="B20" s="32"/>
    </row>
    <row r="21" spans="2:2" ht="13.8" x14ac:dyDescent="0.25">
      <c r="B21" s="32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1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Q34" sqref="Q34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4" bestFit="1" customWidth="1"/>
    <col min="5" max="5" width="12.33203125" style="35" bestFit="1" customWidth="1"/>
    <col min="6" max="6" width="11" style="35" bestFit="1" customWidth="1"/>
    <col min="7" max="7" width="12.33203125" style="35" bestFit="1" customWidth="1"/>
    <col min="8" max="8" width="11.44140625" style="35" bestFit="1" customWidth="1"/>
    <col min="9" max="9" width="12.33203125" style="35" bestFit="1" customWidth="1"/>
    <col min="10" max="10" width="12.6640625" style="35" bestFit="1" customWidth="1"/>
    <col min="11" max="11" width="12.33203125" style="35" bestFit="1" customWidth="1"/>
    <col min="12" max="12" width="11" style="35" customWidth="1"/>
    <col min="13" max="13" width="12.33203125" style="35" bestFit="1" customWidth="1"/>
    <col min="14" max="14" width="11" style="35" bestFit="1" customWidth="1"/>
    <col min="15" max="15" width="13.5546875" style="34" bestFit="1" customWidth="1"/>
  </cols>
  <sheetData>
    <row r="1" spans="1:15" ht="16.2" thickBot="1" x14ac:dyDescent="0.35">
      <c r="A1" s="92"/>
      <c r="B1" s="116" t="s">
        <v>223</v>
      </c>
      <c r="C1" s="117" t="s">
        <v>44</v>
      </c>
      <c r="D1" s="117" t="s">
        <v>45</v>
      </c>
      <c r="E1" s="117" t="s">
        <v>46</v>
      </c>
      <c r="F1" s="117" t="s">
        <v>47</v>
      </c>
      <c r="G1" s="117" t="s">
        <v>48</v>
      </c>
      <c r="H1" s="117" t="s">
        <v>49</v>
      </c>
      <c r="I1" s="117" t="s">
        <v>0</v>
      </c>
      <c r="J1" s="117" t="s">
        <v>60</v>
      </c>
      <c r="K1" s="117" t="s">
        <v>50</v>
      </c>
      <c r="L1" s="117" t="s">
        <v>51</v>
      </c>
      <c r="M1" s="117" t="s">
        <v>52</v>
      </c>
      <c r="N1" s="117" t="s">
        <v>53</v>
      </c>
      <c r="O1" s="118" t="s">
        <v>42</v>
      </c>
    </row>
    <row r="2" spans="1:15" s="38" customFormat="1" ht="15" thickTop="1" thickBot="1" x14ac:dyDescent="0.3">
      <c r="A2" s="93">
        <v>2020</v>
      </c>
      <c r="B2" s="119" t="s">
        <v>2</v>
      </c>
      <c r="C2" s="120">
        <f>C4+C6+C8+C10+C12+C14+C16+C18+C20+C22</f>
        <v>2050283.2065399999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>
        <f t="shared" ref="D2:O2" si="0">O4+O6+O8+O10+O12+O14+O16+O18+O20+O22</f>
        <v>2050283.2065399999</v>
      </c>
    </row>
    <row r="3" spans="1:15" ht="14.4" thickTop="1" x14ac:dyDescent="0.25">
      <c r="A3" s="92">
        <v>2019</v>
      </c>
      <c r="B3" s="119" t="s">
        <v>2</v>
      </c>
      <c r="C3" s="120">
        <f>C5+C7+C9+C11+C13+C15+C17+C19+C21+C23</f>
        <v>1881416.6336099999</v>
      </c>
      <c r="D3" s="120">
        <f t="shared" ref="D3:O3" si="1">D5+D7+D9+D11+D13+D15+D17+D19+D21+D23</f>
        <v>1857166.3752499998</v>
      </c>
      <c r="E3" s="120">
        <f t="shared" si="1"/>
        <v>1950405.5934100002</v>
      </c>
      <c r="F3" s="120">
        <f t="shared" si="1"/>
        <v>1878343.5895099998</v>
      </c>
      <c r="G3" s="120">
        <f t="shared" si="1"/>
        <v>2011260.0955300003</v>
      </c>
      <c r="H3" s="120">
        <f t="shared" si="1"/>
        <v>1363445.55241</v>
      </c>
      <c r="I3" s="120">
        <f t="shared" si="1"/>
        <v>1797423.1247700001</v>
      </c>
      <c r="J3" s="120">
        <f t="shared" si="1"/>
        <v>1528313.8969200002</v>
      </c>
      <c r="K3" s="120">
        <f t="shared" si="1"/>
        <v>2074585.4737499999</v>
      </c>
      <c r="L3" s="120">
        <f t="shared" si="1"/>
        <v>2422378.0482400004</v>
      </c>
      <c r="M3" s="120">
        <f t="shared" si="1"/>
        <v>2354973.7923300001</v>
      </c>
      <c r="N3" s="120">
        <f t="shared" si="1"/>
        <v>2269552.8996800003</v>
      </c>
      <c r="O3" s="120">
        <f t="shared" si="1"/>
        <v>23389265.075410001</v>
      </c>
    </row>
    <row r="4" spans="1:15" s="38" customFormat="1" ht="13.8" x14ac:dyDescent="0.25">
      <c r="A4" s="93">
        <v>2020</v>
      </c>
      <c r="B4" s="121" t="s">
        <v>129</v>
      </c>
      <c r="C4" s="122">
        <v>584373.30284999998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>
        <v>584373.30284999998</v>
      </c>
    </row>
    <row r="5" spans="1:15" ht="13.8" x14ac:dyDescent="0.25">
      <c r="A5" s="92">
        <v>2019</v>
      </c>
      <c r="B5" s="121" t="s">
        <v>129</v>
      </c>
      <c r="C5" s="122">
        <v>560029.43738000002</v>
      </c>
      <c r="D5" s="122">
        <v>565273.15093</v>
      </c>
      <c r="E5" s="122">
        <v>586795.91000999999</v>
      </c>
      <c r="F5" s="122">
        <v>597721.19206000003</v>
      </c>
      <c r="G5" s="122">
        <v>590707.52075999998</v>
      </c>
      <c r="H5" s="122">
        <v>344742.73492999998</v>
      </c>
      <c r="I5" s="122">
        <v>546263.07331999997</v>
      </c>
      <c r="J5" s="122">
        <v>480738.25741999998</v>
      </c>
      <c r="K5" s="122">
        <v>568038.50916999998</v>
      </c>
      <c r="L5" s="122">
        <v>697930.97993999999</v>
      </c>
      <c r="M5" s="122">
        <v>620324.61817000003</v>
      </c>
      <c r="N5" s="122">
        <v>628746.26575000002</v>
      </c>
      <c r="O5" s="123">
        <v>6787311.6498400001</v>
      </c>
    </row>
    <row r="6" spans="1:15" s="38" customFormat="1" ht="13.8" x14ac:dyDescent="0.25">
      <c r="A6" s="93">
        <v>2020</v>
      </c>
      <c r="B6" s="121" t="s">
        <v>130</v>
      </c>
      <c r="C6" s="122">
        <v>256226.96775000001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>
        <v>256226.96775000001</v>
      </c>
    </row>
    <row r="7" spans="1:15" ht="13.8" x14ac:dyDescent="0.25">
      <c r="A7" s="92">
        <v>2019</v>
      </c>
      <c r="B7" s="121" t="s">
        <v>130</v>
      </c>
      <c r="C7" s="122">
        <v>199176.22761</v>
      </c>
      <c r="D7" s="122">
        <v>165875.00847999999</v>
      </c>
      <c r="E7" s="122">
        <v>143609.00703000001</v>
      </c>
      <c r="F7" s="122">
        <v>113212.84436</v>
      </c>
      <c r="G7" s="122">
        <v>140747.82935000001</v>
      </c>
      <c r="H7" s="122">
        <v>202431.16746</v>
      </c>
      <c r="I7" s="122">
        <v>131731.65242</v>
      </c>
      <c r="J7" s="122">
        <v>109803.64810000001</v>
      </c>
      <c r="K7" s="122">
        <v>148471.13561999999</v>
      </c>
      <c r="L7" s="122">
        <v>223963.48092999999</v>
      </c>
      <c r="M7" s="122">
        <v>331680.55183000001</v>
      </c>
      <c r="N7" s="122">
        <v>350640.09970999998</v>
      </c>
      <c r="O7" s="123">
        <v>2261342.6529000001</v>
      </c>
    </row>
    <row r="8" spans="1:15" s="38" customFormat="1" ht="13.8" x14ac:dyDescent="0.25">
      <c r="A8" s="93">
        <v>2020</v>
      </c>
      <c r="B8" s="121" t="s">
        <v>131</v>
      </c>
      <c r="C8" s="122">
        <v>132244.25317000001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3">
        <v>132244.25317000001</v>
      </c>
    </row>
    <row r="9" spans="1:15" ht="13.8" x14ac:dyDescent="0.25">
      <c r="A9" s="92">
        <v>2019</v>
      </c>
      <c r="B9" s="121" t="s">
        <v>131</v>
      </c>
      <c r="C9" s="122">
        <v>125430.57365000001</v>
      </c>
      <c r="D9" s="122">
        <v>122129.86859</v>
      </c>
      <c r="E9" s="122">
        <v>128023.94576</v>
      </c>
      <c r="F9" s="122">
        <v>125216.48028</v>
      </c>
      <c r="G9" s="122">
        <v>138481.49695999999</v>
      </c>
      <c r="H9" s="122">
        <v>83532.177299999996</v>
      </c>
      <c r="I9" s="122">
        <v>130147.26106999999</v>
      </c>
      <c r="J9" s="122">
        <v>127847.36042</v>
      </c>
      <c r="K9" s="122">
        <v>152554.42249</v>
      </c>
      <c r="L9" s="122">
        <v>148389.73688000001</v>
      </c>
      <c r="M9" s="122">
        <v>139340.89124999999</v>
      </c>
      <c r="N9" s="122">
        <v>127774.86904999999</v>
      </c>
      <c r="O9" s="123">
        <v>1548869.0837000001</v>
      </c>
    </row>
    <row r="10" spans="1:15" s="38" customFormat="1" ht="13.8" x14ac:dyDescent="0.25">
      <c r="A10" s="93">
        <v>2020</v>
      </c>
      <c r="B10" s="121" t="s">
        <v>132</v>
      </c>
      <c r="C10" s="122">
        <v>114115.28229</v>
      </c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>
        <v>114115.28229</v>
      </c>
    </row>
    <row r="11" spans="1:15" ht="13.8" x14ac:dyDescent="0.25">
      <c r="A11" s="92">
        <v>2019</v>
      </c>
      <c r="B11" s="121" t="s">
        <v>132</v>
      </c>
      <c r="C11" s="122">
        <v>112116.28042</v>
      </c>
      <c r="D11" s="122">
        <v>114842.19143000001</v>
      </c>
      <c r="E11" s="122">
        <v>118196.58269</v>
      </c>
      <c r="F11" s="122">
        <v>117650.88088</v>
      </c>
      <c r="G11" s="122">
        <v>117831.83706999999</v>
      </c>
      <c r="H11" s="122">
        <v>63501.196909999999</v>
      </c>
      <c r="I11" s="122">
        <v>83065.267340000006</v>
      </c>
      <c r="J11" s="122">
        <v>71997.545849999995</v>
      </c>
      <c r="K11" s="122">
        <v>154569.38015000001</v>
      </c>
      <c r="L11" s="122">
        <v>189458.96544999999</v>
      </c>
      <c r="M11" s="122">
        <v>151559.10566</v>
      </c>
      <c r="N11" s="122">
        <v>122820.90089</v>
      </c>
      <c r="O11" s="123">
        <v>1417610.1347399999</v>
      </c>
    </row>
    <row r="12" spans="1:15" s="38" customFormat="1" ht="13.8" x14ac:dyDescent="0.25">
      <c r="A12" s="93">
        <v>2020</v>
      </c>
      <c r="B12" s="121" t="s">
        <v>133</v>
      </c>
      <c r="C12" s="122">
        <v>185182.07725999999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3">
        <v>185182.07725999999</v>
      </c>
    </row>
    <row r="13" spans="1:15" ht="13.8" x14ac:dyDescent="0.25">
      <c r="A13" s="92">
        <v>2019</v>
      </c>
      <c r="B13" s="121" t="s">
        <v>133</v>
      </c>
      <c r="C13" s="122">
        <v>152194.65153</v>
      </c>
      <c r="D13" s="122">
        <v>144402.66540999999</v>
      </c>
      <c r="E13" s="122">
        <v>136207.20501000001</v>
      </c>
      <c r="F13" s="122">
        <v>135926.41954999999</v>
      </c>
      <c r="G13" s="122">
        <v>132559.06520000001</v>
      </c>
      <c r="H13" s="122">
        <v>75887.773530000006</v>
      </c>
      <c r="I13" s="122">
        <v>112537.10608</v>
      </c>
      <c r="J13" s="122">
        <v>66620.372820000004</v>
      </c>
      <c r="K13" s="122">
        <v>275549.31702000002</v>
      </c>
      <c r="L13" s="122">
        <v>346734.85810000001</v>
      </c>
      <c r="M13" s="122">
        <v>265224.66376000002</v>
      </c>
      <c r="N13" s="122">
        <v>187933.82860000001</v>
      </c>
      <c r="O13" s="123">
        <v>2031777.92661</v>
      </c>
    </row>
    <row r="14" spans="1:15" s="38" customFormat="1" ht="13.8" x14ac:dyDescent="0.25">
      <c r="A14" s="93">
        <v>2020</v>
      </c>
      <c r="B14" s="121" t="s">
        <v>134</v>
      </c>
      <c r="C14" s="122">
        <v>24451.569380000001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3">
        <v>24451.569380000001</v>
      </c>
    </row>
    <row r="15" spans="1:15" ht="13.8" x14ac:dyDescent="0.25">
      <c r="A15" s="92">
        <v>2019</v>
      </c>
      <c r="B15" s="121" t="s">
        <v>134</v>
      </c>
      <c r="C15" s="122">
        <v>27998.944500000001</v>
      </c>
      <c r="D15" s="122">
        <v>26741.32647</v>
      </c>
      <c r="E15" s="122">
        <v>34862.518040000003</v>
      </c>
      <c r="F15" s="122">
        <v>24122.14459</v>
      </c>
      <c r="G15" s="122">
        <v>27919.586240000001</v>
      </c>
      <c r="H15" s="122">
        <v>15775.459930000001</v>
      </c>
      <c r="I15" s="122">
        <v>17132.11995</v>
      </c>
      <c r="J15" s="122">
        <v>16541.495470000002</v>
      </c>
      <c r="K15" s="122">
        <v>17947.373670000001</v>
      </c>
      <c r="L15" s="122">
        <v>21619.211019999999</v>
      </c>
      <c r="M15" s="122">
        <v>25258.217929999999</v>
      </c>
      <c r="N15" s="122">
        <v>26743.228330000002</v>
      </c>
      <c r="O15" s="123">
        <v>282661.62614000001</v>
      </c>
    </row>
    <row r="16" spans="1:15" ht="13.8" x14ac:dyDescent="0.25">
      <c r="A16" s="93">
        <v>2020</v>
      </c>
      <c r="B16" s="121" t="s">
        <v>135</v>
      </c>
      <c r="C16" s="122">
        <v>79131.446320000003</v>
      </c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>
        <v>79131.446320000003</v>
      </c>
    </row>
    <row r="17" spans="1:15" ht="13.8" x14ac:dyDescent="0.25">
      <c r="A17" s="92">
        <v>2019</v>
      </c>
      <c r="B17" s="121" t="s">
        <v>135</v>
      </c>
      <c r="C17" s="122">
        <v>82543.428780000002</v>
      </c>
      <c r="D17" s="122">
        <v>82148.817379999993</v>
      </c>
      <c r="E17" s="122">
        <v>73557.318710000007</v>
      </c>
      <c r="F17" s="122">
        <v>60277.450449999997</v>
      </c>
      <c r="G17" s="122">
        <v>96526.272779999999</v>
      </c>
      <c r="H17" s="122">
        <v>57984.925450000002</v>
      </c>
      <c r="I17" s="122">
        <v>63096.187539999999</v>
      </c>
      <c r="J17" s="122">
        <v>52338.667009999997</v>
      </c>
      <c r="K17" s="122">
        <v>93408.117929999993</v>
      </c>
      <c r="L17" s="122">
        <v>89707.536540000001</v>
      </c>
      <c r="M17" s="122">
        <v>75957.00864</v>
      </c>
      <c r="N17" s="122">
        <v>80871.440100000007</v>
      </c>
      <c r="O17" s="123">
        <v>908417.17131000001</v>
      </c>
    </row>
    <row r="18" spans="1:15" ht="13.8" x14ac:dyDescent="0.25">
      <c r="A18" s="93">
        <v>2020</v>
      </c>
      <c r="B18" s="121" t="s">
        <v>136</v>
      </c>
      <c r="C18" s="122">
        <v>11024.010979999999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3">
        <v>11024.010979999999</v>
      </c>
    </row>
    <row r="19" spans="1:15" ht="13.8" x14ac:dyDescent="0.25">
      <c r="A19" s="92">
        <v>2019</v>
      </c>
      <c r="B19" s="121" t="s">
        <v>136</v>
      </c>
      <c r="C19" s="122">
        <v>8448.1456600000001</v>
      </c>
      <c r="D19" s="122">
        <v>13159.61594</v>
      </c>
      <c r="E19" s="122">
        <v>19671.060799999999</v>
      </c>
      <c r="F19" s="122">
        <v>9745.6436599999997</v>
      </c>
      <c r="G19" s="122">
        <v>8965.0073200000006</v>
      </c>
      <c r="H19" s="122">
        <v>3904.7493800000002</v>
      </c>
      <c r="I19" s="122">
        <v>4960.3642099999997</v>
      </c>
      <c r="J19" s="122">
        <v>5881.6617999999999</v>
      </c>
      <c r="K19" s="122">
        <v>6573.87219</v>
      </c>
      <c r="L19" s="122">
        <v>5953.31459</v>
      </c>
      <c r="M19" s="122">
        <v>9107.0426000000007</v>
      </c>
      <c r="N19" s="122">
        <v>10109.132600000001</v>
      </c>
      <c r="O19" s="123">
        <v>106479.61075000001</v>
      </c>
    </row>
    <row r="20" spans="1:15" ht="13.8" x14ac:dyDescent="0.25">
      <c r="A20" s="93">
        <v>2020</v>
      </c>
      <c r="B20" s="121" t="s">
        <v>137</v>
      </c>
      <c r="C20" s="124">
        <v>209750.45382</v>
      </c>
      <c r="D20" s="124"/>
      <c r="E20" s="124"/>
      <c r="F20" s="124"/>
      <c r="G20" s="124"/>
      <c r="H20" s="122"/>
      <c r="I20" s="122"/>
      <c r="J20" s="122"/>
      <c r="K20" s="122"/>
      <c r="L20" s="122"/>
      <c r="M20" s="122"/>
      <c r="N20" s="122"/>
      <c r="O20" s="123">
        <v>209750.45382</v>
      </c>
    </row>
    <row r="21" spans="1:15" ht="13.8" x14ac:dyDescent="0.25">
      <c r="A21" s="92">
        <v>2019</v>
      </c>
      <c r="B21" s="121" t="s">
        <v>137</v>
      </c>
      <c r="C21" s="122">
        <v>220592.68002999999</v>
      </c>
      <c r="D21" s="122">
        <v>211036.86183000001</v>
      </c>
      <c r="E21" s="122">
        <v>237540.30244999999</v>
      </c>
      <c r="F21" s="122">
        <v>217806.06377000001</v>
      </c>
      <c r="G21" s="122">
        <v>230803.27312</v>
      </c>
      <c r="H21" s="122">
        <v>168264.20301999999</v>
      </c>
      <c r="I21" s="122">
        <v>212234.00315999999</v>
      </c>
      <c r="J21" s="122">
        <v>183385.37247999999</v>
      </c>
      <c r="K21" s="122">
        <v>199913.70890999999</v>
      </c>
      <c r="L21" s="122">
        <v>207439.25111000001</v>
      </c>
      <c r="M21" s="122">
        <v>215143.59528000001</v>
      </c>
      <c r="N21" s="122">
        <v>209633.96135999999</v>
      </c>
      <c r="O21" s="123">
        <v>2513793.2765199998</v>
      </c>
    </row>
    <row r="22" spans="1:15" ht="13.8" x14ac:dyDescent="0.25">
      <c r="A22" s="93">
        <v>2020</v>
      </c>
      <c r="B22" s="121" t="s">
        <v>138</v>
      </c>
      <c r="C22" s="124">
        <v>453783.84272000002</v>
      </c>
      <c r="D22" s="124"/>
      <c r="E22" s="124"/>
      <c r="F22" s="124"/>
      <c r="G22" s="124"/>
      <c r="H22" s="122"/>
      <c r="I22" s="122"/>
      <c r="J22" s="122"/>
      <c r="K22" s="122"/>
      <c r="L22" s="122"/>
      <c r="M22" s="122"/>
      <c r="N22" s="122"/>
      <c r="O22" s="123">
        <v>453783.84272000002</v>
      </c>
    </row>
    <row r="23" spans="1:15" ht="13.8" x14ac:dyDescent="0.25">
      <c r="A23" s="92">
        <v>2019</v>
      </c>
      <c r="B23" s="121" t="s">
        <v>138</v>
      </c>
      <c r="C23" s="122">
        <v>392886.26405</v>
      </c>
      <c r="D23" s="124">
        <v>411556.86878999998</v>
      </c>
      <c r="E23" s="122">
        <v>471941.74290999997</v>
      </c>
      <c r="F23" s="122">
        <v>476664.46990999999</v>
      </c>
      <c r="G23" s="122">
        <v>526718.20672999998</v>
      </c>
      <c r="H23" s="122">
        <v>347421.16450000001</v>
      </c>
      <c r="I23" s="122">
        <v>496256.08967999998</v>
      </c>
      <c r="J23" s="122">
        <v>413159.51555000001</v>
      </c>
      <c r="K23" s="122">
        <v>457559.63660000003</v>
      </c>
      <c r="L23" s="122">
        <v>491180.71367999999</v>
      </c>
      <c r="M23" s="122">
        <v>521378.09720999998</v>
      </c>
      <c r="N23" s="122">
        <v>524279.17329000001</v>
      </c>
      <c r="O23" s="123">
        <v>5531001.9429000001</v>
      </c>
    </row>
    <row r="24" spans="1:15" ht="13.8" x14ac:dyDescent="0.25">
      <c r="A24" s="93">
        <v>2020</v>
      </c>
      <c r="B24" s="119" t="s">
        <v>14</v>
      </c>
      <c r="C24" s="125">
        <f>C26+C28+C30+C32+C34+C36+C38+C40+C42+C44+C46+C48+C50+C52+C54+C56</f>
        <v>11153283.087580001</v>
      </c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>
        <f t="shared" ref="D24:O24" si="2">O26+O28+O30+O32+O34+O36+O38+O40+O42+O44+O46+O48+O50+O52+O54+O56</f>
        <v>11153283.087580001</v>
      </c>
    </row>
    <row r="25" spans="1:15" ht="13.8" x14ac:dyDescent="0.25">
      <c r="A25" s="92">
        <v>2019</v>
      </c>
      <c r="B25" s="119" t="s">
        <v>14</v>
      </c>
      <c r="C25" s="125">
        <f>C27+C29+C31+C33+C35+C37+C39+C41+C43+C45+C47+C49+C51+C53+C55+C57</f>
        <v>10612064.994400004</v>
      </c>
      <c r="D25" s="125">
        <f t="shared" ref="D25:O25" si="3">D27+D29+D31+D33+D35+D37+D39+D41+D43+D45+D47+D49+D51+D53+D55+D57</f>
        <v>11031515.79965</v>
      </c>
      <c r="E25" s="125">
        <f t="shared" si="3"/>
        <v>12641951.647940001</v>
      </c>
      <c r="F25" s="125">
        <f t="shared" si="3"/>
        <v>11771430.10685</v>
      </c>
      <c r="G25" s="125">
        <f t="shared" si="3"/>
        <v>12998259.080879997</v>
      </c>
      <c r="H25" s="125">
        <f t="shared" si="3"/>
        <v>8889018.3636300005</v>
      </c>
      <c r="I25" s="125">
        <f t="shared" si="3"/>
        <v>12519142.437130002</v>
      </c>
      <c r="J25" s="125">
        <f t="shared" si="3"/>
        <v>10188334.067210002</v>
      </c>
      <c r="K25" s="125">
        <f t="shared" si="3"/>
        <v>11587083.60194</v>
      </c>
      <c r="L25" s="125">
        <f t="shared" si="3"/>
        <v>12383567.643990003</v>
      </c>
      <c r="M25" s="125">
        <f t="shared" si="3"/>
        <v>12096856.088350002</v>
      </c>
      <c r="N25" s="125">
        <f t="shared" si="3"/>
        <v>11509537.573899999</v>
      </c>
      <c r="O25" s="125">
        <f t="shared" si="3"/>
        <v>138228761.40587002</v>
      </c>
    </row>
    <row r="26" spans="1:15" ht="13.8" x14ac:dyDescent="0.25">
      <c r="A26" s="93">
        <v>2020</v>
      </c>
      <c r="B26" s="121" t="s">
        <v>139</v>
      </c>
      <c r="C26" s="122">
        <v>673702.03388999996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3">
        <v>673702.03388999996</v>
      </c>
    </row>
    <row r="27" spans="1:15" ht="13.8" x14ac:dyDescent="0.25">
      <c r="A27" s="92">
        <v>2019</v>
      </c>
      <c r="B27" s="121" t="s">
        <v>139</v>
      </c>
      <c r="C27" s="122">
        <v>675583.07246000005</v>
      </c>
      <c r="D27" s="122">
        <v>639691.10280999995</v>
      </c>
      <c r="E27" s="122">
        <v>727808.60008999996</v>
      </c>
      <c r="F27" s="122">
        <v>690699.96392999997</v>
      </c>
      <c r="G27" s="122">
        <v>786328.82643999998</v>
      </c>
      <c r="H27" s="122">
        <v>509860.24641000002</v>
      </c>
      <c r="I27" s="122">
        <v>662361.71221000003</v>
      </c>
      <c r="J27" s="122">
        <v>572635.50167000003</v>
      </c>
      <c r="K27" s="122">
        <v>676928.15245000005</v>
      </c>
      <c r="L27" s="122">
        <v>704550.08088000002</v>
      </c>
      <c r="M27" s="122">
        <v>673858.14159000001</v>
      </c>
      <c r="N27" s="122">
        <v>597853.34467999998</v>
      </c>
      <c r="O27" s="123">
        <v>7918158.7456200002</v>
      </c>
    </row>
    <row r="28" spans="1:15" ht="13.8" x14ac:dyDescent="0.25">
      <c r="A28" s="93">
        <v>2020</v>
      </c>
      <c r="B28" s="121" t="s">
        <v>140</v>
      </c>
      <c r="C28" s="122">
        <v>133437.7789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3">
        <v>133437.7789</v>
      </c>
    </row>
    <row r="29" spans="1:15" ht="13.8" x14ac:dyDescent="0.25">
      <c r="A29" s="92">
        <v>2019</v>
      </c>
      <c r="B29" s="121" t="s">
        <v>140</v>
      </c>
      <c r="C29" s="122">
        <v>116826.44227</v>
      </c>
      <c r="D29" s="122">
        <v>146311.26500000001</v>
      </c>
      <c r="E29" s="122">
        <v>176073.62393</v>
      </c>
      <c r="F29" s="122">
        <v>141711.93359999999</v>
      </c>
      <c r="G29" s="122">
        <v>162675.19221000001</v>
      </c>
      <c r="H29" s="122">
        <v>87701.870479999998</v>
      </c>
      <c r="I29" s="122">
        <v>165876.87218000001</v>
      </c>
      <c r="J29" s="122">
        <v>134397.4682</v>
      </c>
      <c r="K29" s="122">
        <v>147734.42623000001</v>
      </c>
      <c r="L29" s="122">
        <v>147853.97192000001</v>
      </c>
      <c r="M29" s="122">
        <v>124646.59450000001</v>
      </c>
      <c r="N29" s="122">
        <v>114459.18403</v>
      </c>
      <c r="O29" s="123">
        <v>1666268.84455</v>
      </c>
    </row>
    <row r="30" spans="1:15" s="38" customFormat="1" ht="13.8" x14ac:dyDescent="0.25">
      <c r="A30" s="93">
        <v>2020</v>
      </c>
      <c r="B30" s="121" t="s">
        <v>141</v>
      </c>
      <c r="C30" s="122">
        <v>221658.42421999999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3">
        <v>221658.42421999999</v>
      </c>
    </row>
    <row r="31" spans="1:15" ht="13.8" x14ac:dyDescent="0.25">
      <c r="A31" s="92">
        <v>2019</v>
      </c>
      <c r="B31" s="121" t="s">
        <v>141</v>
      </c>
      <c r="C31" s="122">
        <v>182640.83843999999</v>
      </c>
      <c r="D31" s="122">
        <v>185831.68093999999</v>
      </c>
      <c r="E31" s="122">
        <v>208839.27116</v>
      </c>
      <c r="F31" s="122">
        <v>229623.95965999999</v>
      </c>
      <c r="G31" s="122">
        <v>235716.12834</v>
      </c>
      <c r="H31" s="122">
        <v>132471.62478000001</v>
      </c>
      <c r="I31" s="122">
        <v>222317.11264000001</v>
      </c>
      <c r="J31" s="122">
        <v>174667.00541000001</v>
      </c>
      <c r="K31" s="122">
        <v>230088.31982999999</v>
      </c>
      <c r="L31" s="122">
        <v>254642.58517999999</v>
      </c>
      <c r="M31" s="122">
        <v>251730.48947999999</v>
      </c>
      <c r="N31" s="122">
        <v>226345.64717000001</v>
      </c>
      <c r="O31" s="123">
        <v>2534914.6630299999</v>
      </c>
    </row>
    <row r="32" spans="1:15" ht="13.8" x14ac:dyDescent="0.25">
      <c r="A32" s="93">
        <v>2020</v>
      </c>
      <c r="B32" s="121" t="s">
        <v>142</v>
      </c>
      <c r="C32" s="124">
        <v>1700258.1746700001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3">
        <v>1700258.1746700001</v>
      </c>
    </row>
    <row r="33" spans="1:15" ht="13.8" x14ac:dyDescent="0.25">
      <c r="A33" s="92">
        <v>2019</v>
      </c>
      <c r="B33" s="121" t="s">
        <v>142</v>
      </c>
      <c r="C33" s="122">
        <v>1536645.9649100001</v>
      </c>
      <c r="D33" s="122">
        <v>1641583.64154</v>
      </c>
      <c r="E33" s="122">
        <v>1838185.3626300001</v>
      </c>
      <c r="F33" s="124">
        <v>1768223.26192</v>
      </c>
      <c r="G33" s="124">
        <v>1933637.91108</v>
      </c>
      <c r="H33" s="124">
        <v>1294087.0782600001</v>
      </c>
      <c r="I33" s="124">
        <v>1730199.1682599999</v>
      </c>
      <c r="J33" s="124">
        <v>1628894.8349299999</v>
      </c>
      <c r="K33" s="124">
        <v>1654034.8155400001</v>
      </c>
      <c r="L33" s="124">
        <v>1936646.8981699999</v>
      </c>
      <c r="M33" s="124">
        <v>1813081.88855</v>
      </c>
      <c r="N33" s="124">
        <v>1809772.8883</v>
      </c>
      <c r="O33" s="123">
        <v>20584993.714090001</v>
      </c>
    </row>
    <row r="34" spans="1:15" ht="13.8" x14ac:dyDescent="0.25">
      <c r="A34" s="93">
        <v>2020</v>
      </c>
      <c r="B34" s="121" t="s">
        <v>143</v>
      </c>
      <c r="C34" s="122">
        <v>1495474.8953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3">
        <v>1495474.8953</v>
      </c>
    </row>
    <row r="35" spans="1:15" ht="13.8" x14ac:dyDescent="0.25">
      <c r="A35" s="92">
        <v>2019</v>
      </c>
      <c r="B35" s="121" t="s">
        <v>143</v>
      </c>
      <c r="C35" s="122">
        <v>1414001.49691</v>
      </c>
      <c r="D35" s="122">
        <v>1413611.6948800001</v>
      </c>
      <c r="E35" s="122">
        <v>1674267.0277100001</v>
      </c>
      <c r="F35" s="122">
        <v>1502323.8640399999</v>
      </c>
      <c r="G35" s="122">
        <v>1621073.493</v>
      </c>
      <c r="H35" s="122">
        <v>1085796.3600600001</v>
      </c>
      <c r="I35" s="122">
        <v>1671759.40628</v>
      </c>
      <c r="J35" s="122">
        <v>1394417.32504</v>
      </c>
      <c r="K35" s="122">
        <v>1498588.0419099999</v>
      </c>
      <c r="L35" s="122">
        <v>1549713.11626</v>
      </c>
      <c r="M35" s="122">
        <v>1538010.91496</v>
      </c>
      <c r="N35" s="122">
        <v>1329880.3128500001</v>
      </c>
      <c r="O35" s="123">
        <v>17693443.0539</v>
      </c>
    </row>
    <row r="36" spans="1:15" ht="13.8" x14ac:dyDescent="0.25">
      <c r="A36" s="93">
        <v>2020</v>
      </c>
      <c r="B36" s="121" t="s">
        <v>144</v>
      </c>
      <c r="C36" s="122">
        <v>2402323.4506600001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3">
        <v>2402323.4506600001</v>
      </c>
    </row>
    <row r="37" spans="1:15" ht="13.8" x14ac:dyDescent="0.25">
      <c r="A37" s="92">
        <v>2019</v>
      </c>
      <c r="B37" s="121" t="s">
        <v>144</v>
      </c>
      <c r="C37" s="122">
        <v>2327581.5546900001</v>
      </c>
      <c r="D37" s="122">
        <v>2544686.63167</v>
      </c>
      <c r="E37" s="122">
        <v>2883070.9618500001</v>
      </c>
      <c r="F37" s="122">
        <v>2616414.3615299999</v>
      </c>
      <c r="G37" s="122">
        <v>2753078.4892600002</v>
      </c>
      <c r="H37" s="122">
        <v>2189549.69429</v>
      </c>
      <c r="I37" s="122">
        <v>2900282.6975599998</v>
      </c>
      <c r="J37" s="122">
        <v>1740662.0665</v>
      </c>
      <c r="K37" s="122">
        <v>2592036.8818999999</v>
      </c>
      <c r="L37" s="122">
        <v>2812535.3290400002</v>
      </c>
      <c r="M37" s="122">
        <v>2690252.3694699998</v>
      </c>
      <c r="N37" s="122">
        <v>2538249.51608</v>
      </c>
      <c r="O37" s="123">
        <v>30588400.55384</v>
      </c>
    </row>
    <row r="38" spans="1:15" ht="13.8" x14ac:dyDescent="0.25">
      <c r="A38" s="93">
        <v>2020</v>
      </c>
      <c r="B38" s="121" t="s">
        <v>145</v>
      </c>
      <c r="C38" s="122">
        <v>108772.34581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>
        <v>108772.34581</v>
      </c>
    </row>
    <row r="39" spans="1:15" ht="13.8" x14ac:dyDescent="0.25">
      <c r="A39" s="92">
        <v>2019</v>
      </c>
      <c r="B39" s="121" t="s">
        <v>145</v>
      </c>
      <c r="C39" s="122">
        <v>91906.762210000001</v>
      </c>
      <c r="D39" s="122">
        <v>75710.983500000002</v>
      </c>
      <c r="E39" s="122">
        <v>99641.453349999996</v>
      </c>
      <c r="F39" s="122">
        <v>114410.34540999999</v>
      </c>
      <c r="G39" s="122">
        <v>53978.7428</v>
      </c>
      <c r="H39" s="122">
        <v>55620.428140000004</v>
      </c>
      <c r="I39" s="122">
        <v>88627.582699999999</v>
      </c>
      <c r="J39" s="122">
        <v>109692.7362</v>
      </c>
      <c r="K39" s="122">
        <v>37060.896339999999</v>
      </c>
      <c r="L39" s="122">
        <v>42330.465889999999</v>
      </c>
      <c r="M39" s="122">
        <v>162195.85331000001</v>
      </c>
      <c r="N39" s="122">
        <v>111149.64512</v>
      </c>
      <c r="O39" s="123">
        <v>1042325.89497</v>
      </c>
    </row>
    <row r="40" spans="1:15" ht="13.8" x14ac:dyDescent="0.25">
      <c r="A40" s="93">
        <v>2020</v>
      </c>
      <c r="B40" s="121" t="s">
        <v>146</v>
      </c>
      <c r="C40" s="122">
        <v>824784.23383000004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3">
        <v>824784.23383000004</v>
      </c>
    </row>
    <row r="41" spans="1:15" ht="13.8" x14ac:dyDescent="0.25">
      <c r="A41" s="92">
        <v>2019</v>
      </c>
      <c r="B41" s="121" t="s">
        <v>146</v>
      </c>
      <c r="C41" s="122">
        <v>797011.88977000001</v>
      </c>
      <c r="D41" s="122">
        <v>888924.51682999998</v>
      </c>
      <c r="E41" s="122">
        <v>992598.78544000001</v>
      </c>
      <c r="F41" s="122">
        <v>937008.63986</v>
      </c>
      <c r="G41" s="122">
        <v>1041385.05189</v>
      </c>
      <c r="H41" s="122">
        <v>715637.68700999999</v>
      </c>
      <c r="I41" s="122">
        <v>947296.04394999996</v>
      </c>
      <c r="J41" s="122">
        <v>847922.08943000005</v>
      </c>
      <c r="K41" s="122">
        <v>1011526.0212899999</v>
      </c>
      <c r="L41" s="122">
        <v>1070886.7786300001</v>
      </c>
      <c r="M41" s="122">
        <v>1013164.1357400001</v>
      </c>
      <c r="N41" s="122">
        <v>976309.30611</v>
      </c>
      <c r="O41" s="123">
        <v>11239670.94595</v>
      </c>
    </row>
    <row r="42" spans="1:15" ht="13.8" x14ac:dyDescent="0.25">
      <c r="A42" s="93">
        <v>2020</v>
      </c>
      <c r="B42" s="121" t="s">
        <v>147</v>
      </c>
      <c r="C42" s="122">
        <v>625772.07894000004</v>
      </c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3">
        <v>625772.07894000004</v>
      </c>
    </row>
    <row r="43" spans="1:15" ht="13.8" x14ac:dyDescent="0.25">
      <c r="A43" s="92">
        <v>2019</v>
      </c>
      <c r="B43" s="121" t="s">
        <v>147</v>
      </c>
      <c r="C43" s="122">
        <v>585583.80766000005</v>
      </c>
      <c r="D43" s="122">
        <v>601127.65714999998</v>
      </c>
      <c r="E43" s="122">
        <v>699046.50168999995</v>
      </c>
      <c r="F43" s="122">
        <v>659095.49066999997</v>
      </c>
      <c r="G43" s="122">
        <v>780348.46788000001</v>
      </c>
      <c r="H43" s="122">
        <v>472172.0085</v>
      </c>
      <c r="I43" s="122">
        <v>682500.13321999996</v>
      </c>
      <c r="J43" s="122">
        <v>574420.45152999996</v>
      </c>
      <c r="K43" s="122">
        <v>647404.00061999995</v>
      </c>
      <c r="L43" s="122">
        <v>709253.40989999997</v>
      </c>
      <c r="M43" s="122">
        <v>683149.20606</v>
      </c>
      <c r="N43" s="122">
        <v>741048.25515999994</v>
      </c>
      <c r="O43" s="123">
        <v>7835149.39004</v>
      </c>
    </row>
    <row r="44" spans="1:15" ht="13.8" x14ac:dyDescent="0.25">
      <c r="A44" s="93">
        <v>2020</v>
      </c>
      <c r="B44" s="121" t="s">
        <v>148</v>
      </c>
      <c r="C44" s="122">
        <v>702899.94932999997</v>
      </c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3">
        <v>702899.94932999997</v>
      </c>
    </row>
    <row r="45" spans="1:15" ht="13.8" x14ac:dyDescent="0.25">
      <c r="A45" s="92">
        <v>2019</v>
      </c>
      <c r="B45" s="121" t="s">
        <v>148</v>
      </c>
      <c r="C45" s="122">
        <v>650703.22959</v>
      </c>
      <c r="D45" s="122">
        <v>655064.36698000005</v>
      </c>
      <c r="E45" s="122">
        <v>712314.88916000002</v>
      </c>
      <c r="F45" s="122">
        <v>706619.95192000002</v>
      </c>
      <c r="G45" s="122">
        <v>827450.34982999996</v>
      </c>
      <c r="H45" s="122">
        <v>516677.82754999999</v>
      </c>
      <c r="I45" s="122">
        <v>709241.02335999999</v>
      </c>
      <c r="J45" s="122">
        <v>611273.10250000004</v>
      </c>
      <c r="K45" s="122">
        <v>651328.96586999996</v>
      </c>
      <c r="L45" s="122">
        <v>719098.63589999999</v>
      </c>
      <c r="M45" s="122">
        <v>689814.69631000003</v>
      </c>
      <c r="N45" s="122">
        <v>672161.26823000005</v>
      </c>
      <c r="O45" s="123">
        <v>8121748.3071999997</v>
      </c>
    </row>
    <row r="46" spans="1:15" ht="13.8" x14ac:dyDescent="0.25">
      <c r="A46" s="93">
        <v>2020</v>
      </c>
      <c r="B46" s="121" t="s">
        <v>149</v>
      </c>
      <c r="C46" s="122">
        <v>1148221.4463500001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3">
        <v>1148221.4463500001</v>
      </c>
    </row>
    <row r="47" spans="1:15" ht="13.8" x14ac:dyDescent="0.25">
      <c r="A47" s="92">
        <v>2019</v>
      </c>
      <c r="B47" s="121" t="s">
        <v>149</v>
      </c>
      <c r="C47" s="122">
        <v>1195660.6079299999</v>
      </c>
      <c r="D47" s="122">
        <v>1194987.05828</v>
      </c>
      <c r="E47" s="122">
        <v>1307481.74336</v>
      </c>
      <c r="F47" s="122">
        <v>1235497.2312799999</v>
      </c>
      <c r="G47" s="122">
        <v>1355662.68478</v>
      </c>
      <c r="H47" s="122">
        <v>877983.65347999998</v>
      </c>
      <c r="I47" s="122">
        <v>1242208.85724</v>
      </c>
      <c r="J47" s="122">
        <v>1020888.94401</v>
      </c>
      <c r="K47" s="122">
        <v>1136974.5377100001</v>
      </c>
      <c r="L47" s="122">
        <v>1172268.2904300001</v>
      </c>
      <c r="M47" s="122">
        <v>990152.71311000001</v>
      </c>
      <c r="N47" s="122">
        <v>1116117.01495</v>
      </c>
      <c r="O47" s="123">
        <v>13845883.33656</v>
      </c>
    </row>
    <row r="48" spans="1:15" ht="13.8" x14ac:dyDescent="0.25">
      <c r="A48" s="93">
        <v>2020</v>
      </c>
      <c r="B48" s="121" t="s">
        <v>150</v>
      </c>
      <c r="C48" s="122">
        <v>288446.03128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3">
        <v>288446.03128</v>
      </c>
    </row>
    <row r="49" spans="1:15" ht="13.8" x14ac:dyDescent="0.25">
      <c r="A49" s="92">
        <v>2019</v>
      </c>
      <c r="B49" s="121" t="s">
        <v>150</v>
      </c>
      <c r="C49" s="122">
        <v>251902.82900999999</v>
      </c>
      <c r="D49" s="122">
        <v>266378.18790000002</v>
      </c>
      <c r="E49" s="122">
        <v>316704.2683</v>
      </c>
      <c r="F49" s="122">
        <v>311275.03005</v>
      </c>
      <c r="G49" s="122">
        <v>354009.51500999997</v>
      </c>
      <c r="H49" s="122">
        <v>235214.55937999999</v>
      </c>
      <c r="I49" s="122">
        <v>315531.49332000001</v>
      </c>
      <c r="J49" s="122">
        <v>284226.78219</v>
      </c>
      <c r="K49" s="122">
        <v>304137.03954000003</v>
      </c>
      <c r="L49" s="122">
        <v>294804.53156999999</v>
      </c>
      <c r="M49" s="122">
        <v>301690.79937000002</v>
      </c>
      <c r="N49" s="122">
        <v>279880.13536999997</v>
      </c>
      <c r="O49" s="123">
        <v>3515755.1710100002</v>
      </c>
    </row>
    <row r="50" spans="1:15" ht="13.8" x14ac:dyDescent="0.25">
      <c r="A50" s="93">
        <v>2020</v>
      </c>
      <c r="B50" s="121" t="s">
        <v>151</v>
      </c>
      <c r="C50" s="122">
        <v>291972.46688999998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3">
        <v>291972.46688999998</v>
      </c>
    </row>
    <row r="51" spans="1:15" ht="13.8" x14ac:dyDescent="0.25">
      <c r="A51" s="92">
        <v>2019</v>
      </c>
      <c r="B51" s="121" t="s">
        <v>151</v>
      </c>
      <c r="C51" s="122">
        <v>270241.27841000003</v>
      </c>
      <c r="D51" s="122">
        <v>248679.40208999999</v>
      </c>
      <c r="E51" s="122">
        <v>297349.99144000001</v>
      </c>
      <c r="F51" s="122">
        <v>257747.11799999999</v>
      </c>
      <c r="G51" s="122">
        <v>360377.45559000003</v>
      </c>
      <c r="H51" s="122">
        <v>215703.44276000001</v>
      </c>
      <c r="I51" s="122">
        <v>507961.53101999999</v>
      </c>
      <c r="J51" s="122">
        <v>566131.63852000004</v>
      </c>
      <c r="K51" s="122">
        <v>439163.53537</v>
      </c>
      <c r="L51" s="122">
        <v>265691.31634000002</v>
      </c>
      <c r="M51" s="122">
        <v>377108.85196</v>
      </c>
      <c r="N51" s="122">
        <v>297824.46542000002</v>
      </c>
      <c r="O51" s="123">
        <v>4103980.0269200001</v>
      </c>
    </row>
    <row r="52" spans="1:15" ht="13.8" x14ac:dyDescent="0.25">
      <c r="A52" s="93">
        <v>2020</v>
      </c>
      <c r="B52" s="121" t="s">
        <v>152</v>
      </c>
      <c r="C52" s="122">
        <v>166947.04574999999</v>
      </c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3">
        <v>166947.04574999999</v>
      </c>
    </row>
    <row r="53" spans="1:15" ht="13.8" x14ac:dyDescent="0.25">
      <c r="A53" s="92">
        <v>2019</v>
      </c>
      <c r="B53" s="121" t="s">
        <v>152</v>
      </c>
      <c r="C53" s="122">
        <v>174498.06437000001</v>
      </c>
      <c r="D53" s="122">
        <v>157657.03713000001</v>
      </c>
      <c r="E53" s="122">
        <v>282566.86268999998</v>
      </c>
      <c r="F53" s="122">
        <v>197032.56896</v>
      </c>
      <c r="G53" s="122">
        <v>248697.31630000001</v>
      </c>
      <c r="H53" s="122">
        <v>207582.27974</v>
      </c>
      <c r="I53" s="122">
        <v>234060.04074</v>
      </c>
      <c r="J53" s="122">
        <v>175314.58811000001</v>
      </c>
      <c r="K53" s="122">
        <v>156462.9809</v>
      </c>
      <c r="L53" s="122">
        <v>258091.33392999999</v>
      </c>
      <c r="M53" s="122">
        <v>360284.37060999998</v>
      </c>
      <c r="N53" s="122">
        <v>288659.04862999998</v>
      </c>
      <c r="O53" s="123">
        <v>2740906.49211</v>
      </c>
    </row>
    <row r="54" spans="1:15" ht="13.8" x14ac:dyDescent="0.25">
      <c r="A54" s="93">
        <v>2020</v>
      </c>
      <c r="B54" s="121" t="s">
        <v>153</v>
      </c>
      <c r="C54" s="122">
        <v>361395.47016000003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3">
        <v>361395.47016000003</v>
      </c>
    </row>
    <row r="55" spans="1:15" ht="13.8" x14ac:dyDescent="0.25">
      <c r="A55" s="92">
        <v>2019</v>
      </c>
      <c r="B55" s="121" t="s">
        <v>153</v>
      </c>
      <c r="C55" s="122">
        <v>333958.52682000003</v>
      </c>
      <c r="D55" s="122">
        <v>362265.61009999999</v>
      </c>
      <c r="E55" s="122">
        <v>414615.02019000001</v>
      </c>
      <c r="F55" s="122">
        <v>392857.37504000001</v>
      </c>
      <c r="G55" s="122">
        <v>473294.50167000003</v>
      </c>
      <c r="H55" s="122">
        <v>285958.15311999997</v>
      </c>
      <c r="I55" s="122">
        <v>426254.35249000002</v>
      </c>
      <c r="J55" s="122">
        <v>345201.18878000003</v>
      </c>
      <c r="K55" s="122">
        <v>395881.03688000003</v>
      </c>
      <c r="L55" s="122">
        <v>437770.17507</v>
      </c>
      <c r="M55" s="122">
        <v>419203.32475000003</v>
      </c>
      <c r="N55" s="122">
        <v>390719.01782000001</v>
      </c>
      <c r="O55" s="123">
        <v>4677978.2827300001</v>
      </c>
    </row>
    <row r="56" spans="1:15" ht="13.8" x14ac:dyDescent="0.25">
      <c r="A56" s="93">
        <v>2020</v>
      </c>
      <c r="B56" s="121" t="s">
        <v>154</v>
      </c>
      <c r="C56" s="122">
        <v>7217.2615999999998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3">
        <v>7217.2615999999998</v>
      </c>
    </row>
    <row r="57" spans="1:15" ht="13.8" x14ac:dyDescent="0.25">
      <c r="A57" s="92">
        <v>2019</v>
      </c>
      <c r="B57" s="121" t="s">
        <v>154</v>
      </c>
      <c r="C57" s="122">
        <v>7318.6289500000003</v>
      </c>
      <c r="D57" s="122">
        <v>9004.9628499999999</v>
      </c>
      <c r="E57" s="122">
        <v>11387.284949999999</v>
      </c>
      <c r="F57" s="122">
        <v>10889.010979999999</v>
      </c>
      <c r="G57" s="122">
        <v>10544.9548</v>
      </c>
      <c r="H57" s="122">
        <v>7001.44967</v>
      </c>
      <c r="I57" s="122">
        <v>12664.409960000001</v>
      </c>
      <c r="J57" s="122">
        <v>7588.3441899999998</v>
      </c>
      <c r="K57" s="122">
        <v>7733.94956</v>
      </c>
      <c r="L57" s="122">
        <v>7430.7248799999998</v>
      </c>
      <c r="M57" s="122">
        <v>8511.7385799999993</v>
      </c>
      <c r="N57" s="122">
        <v>19108.523980000002</v>
      </c>
      <c r="O57" s="123">
        <v>119183.98334999999</v>
      </c>
    </row>
    <row r="58" spans="1:15" ht="13.8" x14ac:dyDescent="0.25">
      <c r="A58" s="93">
        <v>2020</v>
      </c>
      <c r="B58" s="119" t="s">
        <v>31</v>
      </c>
      <c r="C58" s="125">
        <f>C60</f>
        <v>330358.94588000001</v>
      </c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>
        <f t="shared" ref="D58:O58" si="4">O60</f>
        <v>330358.94588000001</v>
      </c>
    </row>
    <row r="59" spans="1:15" ht="13.8" x14ac:dyDescent="0.25">
      <c r="A59" s="92">
        <v>2019</v>
      </c>
      <c r="B59" s="119" t="s">
        <v>31</v>
      </c>
      <c r="C59" s="125">
        <f>C61</f>
        <v>304076.55554999999</v>
      </c>
      <c r="D59" s="125">
        <f t="shared" ref="D59:O59" si="5">D61</f>
        <v>294499.67238</v>
      </c>
      <c r="E59" s="125">
        <f t="shared" si="5"/>
        <v>368202.37163000001</v>
      </c>
      <c r="F59" s="125">
        <f t="shared" si="5"/>
        <v>385406.79995000002</v>
      </c>
      <c r="G59" s="125">
        <f t="shared" si="5"/>
        <v>458634.29810000001</v>
      </c>
      <c r="H59" s="125">
        <f t="shared" si="5"/>
        <v>317545.56498000002</v>
      </c>
      <c r="I59" s="125">
        <f t="shared" si="5"/>
        <v>379058.61536</v>
      </c>
      <c r="J59" s="125">
        <f t="shared" si="5"/>
        <v>340260.61605999997</v>
      </c>
      <c r="K59" s="125">
        <f t="shared" si="5"/>
        <v>353396.99436000001</v>
      </c>
      <c r="L59" s="125">
        <f t="shared" si="5"/>
        <v>370517.69183999998</v>
      </c>
      <c r="M59" s="125">
        <f t="shared" si="5"/>
        <v>370802.00416999997</v>
      </c>
      <c r="N59" s="125">
        <f t="shared" si="5"/>
        <v>368186.53768000001</v>
      </c>
      <c r="O59" s="125">
        <f t="shared" si="5"/>
        <v>4310587.7220599996</v>
      </c>
    </row>
    <row r="60" spans="1:15" ht="13.8" x14ac:dyDescent="0.25">
      <c r="A60" s="93">
        <v>2020</v>
      </c>
      <c r="B60" s="121" t="s">
        <v>155</v>
      </c>
      <c r="C60" s="122">
        <v>330358.94588000001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3">
        <v>330358.94588000001</v>
      </c>
    </row>
    <row r="61" spans="1:15" ht="14.4" thickBot="1" x14ac:dyDescent="0.3">
      <c r="A61" s="92">
        <v>2019</v>
      </c>
      <c r="B61" s="121" t="s">
        <v>155</v>
      </c>
      <c r="C61" s="122">
        <v>304076.55554999999</v>
      </c>
      <c r="D61" s="122">
        <v>294499.67238</v>
      </c>
      <c r="E61" s="122">
        <v>368202.37163000001</v>
      </c>
      <c r="F61" s="122">
        <v>385406.79995000002</v>
      </c>
      <c r="G61" s="122">
        <v>458634.29810000001</v>
      </c>
      <c r="H61" s="122">
        <v>317545.56498000002</v>
      </c>
      <c r="I61" s="122">
        <v>379058.61536</v>
      </c>
      <c r="J61" s="122">
        <v>340260.61605999997</v>
      </c>
      <c r="K61" s="122">
        <v>353396.99436000001</v>
      </c>
      <c r="L61" s="122">
        <v>370517.69183999998</v>
      </c>
      <c r="M61" s="122">
        <v>370802.00416999997</v>
      </c>
      <c r="N61" s="122">
        <v>368186.53768000001</v>
      </c>
      <c r="O61" s="123">
        <v>4310587.7220599996</v>
      </c>
    </row>
    <row r="62" spans="1:15" s="33" customFormat="1" ht="15" customHeight="1" thickBot="1" x14ac:dyDescent="0.25">
      <c r="A62" s="126">
        <v>2002</v>
      </c>
      <c r="B62" s="127" t="s">
        <v>40</v>
      </c>
      <c r="C62" s="128">
        <v>2607319.6609999998</v>
      </c>
      <c r="D62" s="128">
        <v>2383772.9539999999</v>
      </c>
      <c r="E62" s="128">
        <v>2918943.5210000002</v>
      </c>
      <c r="F62" s="128">
        <v>2742857.9219999998</v>
      </c>
      <c r="G62" s="128">
        <v>3000325.2429999998</v>
      </c>
      <c r="H62" s="128">
        <v>2770693.8810000001</v>
      </c>
      <c r="I62" s="128">
        <v>3103851.8620000002</v>
      </c>
      <c r="J62" s="128">
        <v>2975888.9739999999</v>
      </c>
      <c r="K62" s="128">
        <v>3218206.861</v>
      </c>
      <c r="L62" s="128">
        <v>3501128.02</v>
      </c>
      <c r="M62" s="128">
        <v>3593604.8960000002</v>
      </c>
      <c r="N62" s="128">
        <v>3242495.2340000002</v>
      </c>
      <c r="O62" s="129">
        <f>SUM(C62:N62)</f>
        <v>36059089.028999999</v>
      </c>
    </row>
    <row r="63" spans="1:15" s="33" customFormat="1" ht="15" customHeight="1" thickBot="1" x14ac:dyDescent="0.25">
      <c r="A63" s="126">
        <v>2003</v>
      </c>
      <c r="B63" s="127" t="s">
        <v>40</v>
      </c>
      <c r="C63" s="128">
        <v>3533705.5819999999</v>
      </c>
      <c r="D63" s="128">
        <v>2923460.39</v>
      </c>
      <c r="E63" s="128">
        <v>3908255.9909999999</v>
      </c>
      <c r="F63" s="128">
        <v>3662183.449</v>
      </c>
      <c r="G63" s="128">
        <v>3860471.3</v>
      </c>
      <c r="H63" s="128">
        <v>3796113.5219999999</v>
      </c>
      <c r="I63" s="128">
        <v>4236114.2640000004</v>
      </c>
      <c r="J63" s="128">
        <v>3828726.17</v>
      </c>
      <c r="K63" s="128">
        <v>4114677.523</v>
      </c>
      <c r="L63" s="128">
        <v>4824388.2589999996</v>
      </c>
      <c r="M63" s="128">
        <v>3969697.4580000001</v>
      </c>
      <c r="N63" s="128">
        <v>4595042.3940000003</v>
      </c>
      <c r="O63" s="129">
        <f t="shared" ref="O63:O80" si="6">SUM(C63:N63)</f>
        <v>47252836.302000001</v>
      </c>
    </row>
    <row r="64" spans="1:15" s="33" customFormat="1" ht="15" customHeight="1" thickBot="1" x14ac:dyDescent="0.25">
      <c r="A64" s="126">
        <v>2004</v>
      </c>
      <c r="B64" s="127" t="s">
        <v>40</v>
      </c>
      <c r="C64" s="128">
        <v>4619660.84</v>
      </c>
      <c r="D64" s="128">
        <v>3664503.0430000001</v>
      </c>
      <c r="E64" s="128">
        <v>5218042.1770000001</v>
      </c>
      <c r="F64" s="128">
        <v>5072462.9939999999</v>
      </c>
      <c r="G64" s="128">
        <v>5170061.6050000004</v>
      </c>
      <c r="H64" s="128">
        <v>5284383.2860000003</v>
      </c>
      <c r="I64" s="128">
        <v>5632138.7980000004</v>
      </c>
      <c r="J64" s="128">
        <v>4707491.284</v>
      </c>
      <c r="K64" s="128">
        <v>5656283.5209999997</v>
      </c>
      <c r="L64" s="128">
        <v>5867342.1210000003</v>
      </c>
      <c r="M64" s="128">
        <v>5733908.9759999998</v>
      </c>
      <c r="N64" s="128">
        <v>6540874.1749999998</v>
      </c>
      <c r="O64" s="129">
        <f t="shared" si="6"/>
        <v>63167152.819999993</v>
      </c>
    </row>
    <row r="65" spans="1:15" s="33" customFormat="1" ht="15" customHeight="1" thickBot="1" x14ac:dyDescent="0.25">
      <c r="A65" s="126">
        <v>2005</v>
      </c>
      <c r="B65" s="127" t="s">
        <v>40</v>
      </c>
      <c r="C65" s="128">
        <v>4997279.7240000004</v>
      </c>
      <c r="D65" s="128">
        <v>5651741.2520000003</v>
      </c>
      <c r="E65" s="128">
        <v>6591859.2180000003</v>
      </c>
      <c r="F65" s="128">
        <v>6128131.8779999996</v>
      </c>
      <c r="G65" s="128">
        <v>5977226.2170000002</v>
      </c>
      <c r="H65" s="128">
        <v>6038534.3669999996</v>
      </c>
      <c r="I65" s="128">
        <v>5763466.3530000001</v>
      </c>
      <c r="J65" s="128">
        <v>5552867.2120000003</v>
      </c>
      <c r="K65" s="128">
        <v>6814268.9409999996</v>
      </c>
      <c r="L65" s="128">
        <v>6772178.5690000001</v>
      </c>
      <c r="M65" s="128">
        <v>5942575.7819999997</v>
      </c>
      <c r="N65" s="128">
        <v>7246278.6299999999</v>
      </c>
      <c r="O65" s="129">
        <f t="shared" si="6"/>
        <v>73476408.142999992</v>
      </c>
    </row>
    <row r="66" spans="1:15" s="33" customFormat="1" ht="15" customHeight="1" thickBot="1" x14ac:dyDescent="0.25">
      <c r="A66" s="126">
        <v>2006</v>
      </c>
      <c r="B66" s="127" t="s">
        <v>40</v>
      </c>
      <c r="C66" s="128">
        <v>5133048.8810000001</v>
      </c>
      <c r="D66" s="128">
        <v>6058251.2790000001</v>
      </c>
      <c r="E66" s="128">
        <v>7411101.659</v>
      </c>
      <c r="F66" s="128">
        <v>6456090.2609999999</v>
      </c>
      <c r="G66" s="128">
        <v>7041543.2470000004</v>
      </c>
      <c r="H66" s="128">
        <v>7815434.6220000004</v>
      </c>
      <c r="I66" s="128">
        <v>7067411.4790000003</v>
      </c>
      <c r="J66" s="128">
        <v>6811202.4100000001</v>
      </c>
      <c r="K66" s="128">
        <v>7606551.0949999997</v>
      </c>
      <c r="L66" s="128">
        <v>6888812.5489999996</v>
      </c>
      <c r="M66" s="128">
        <v>8641474.5559999999</v>
      </c>
      <c r="N66" s="128">
        <v>8603753.4800000004</v>
      </c>
      <c r="O66" s="129">
        <f t="shared" si="6"/>
        <v>85534675.517999992</v>
      </c>
    </row>
    <row r="67" spans="1:15" s="33" customFormat="1" ht="15" customHeight="1" thickBot="1" x14ac:dyDescent="0.25">
      <c r="A67" s="126">
        <v>2007</v>
      </c>
      <c r="B67" s="127" t="s">
        <v>40</v>
      </c>
      <c r="C67" s="128">
        <v>6564559.7929999996</v>
      </c>
      <c r="D67" s="128">
        <v>7656951.608</v>
      </c>
      <c r="E67" s="128">
        <v>8957851.6209999993</v>
      </c>
      <c r="F67" s="128">
        <v>8313312.0049999999</v>
      </c>
      <c r="G67" s="128">
        <v>9147620.0419999994</v>
      </c>
      <c r="H67" s="128">
        <v>8980247.4370000008</v>
      </c>
      <c r="I67" s="128">
        <v>8937741.591</v>
      </c>
      <c r="J67" s="128">
        <v>8736689.0920000002</v>
      </c>
      <c r="K67" s="128">
        <v>9038743.8959999997</v>
      </c>
      <c r="L67" s="128">
        <v>9895216.6219999995</v>
      </c>
      <c r="M67" s="128">
        <v>11318798.220000001</v>
      </c>
      <c r="N67" s="128">
        <v>9724017.977</v>
      </c>
      <c r="O67" s="129">
        <f t="shared" si="6"/>
        <v>107271749.90399998</v>
      </c>
    </row>
    <row r="68" spans="1:15" s="33" customFormat="1" ht="15" customHeight="1" thickBot="1" x14ac:dyDescent="0.25">
      <c r="A68" s="126">
        <v>2008</v>
      </c>
      <c r="B68" s="127" t="s">
        <v>40</v>
      </c>
      <c r="C68" s="128">
        <v>10632207.040999999</v>
      </c>
      <c r="D68" s="128">
        <v>11077899.119999999</v>
      </c>
      <c r="E68" s="128">
        <v>11428587.233999999</v>
      </c>
      <c r="F68" s="128">
        <v>11363963.503</v>
      </c>
      <c r="G68" s="128">
        <v>12477968.699999999</v>
      </c>
      <c r="H68" s="128">
        <v>11770634.384</v>
      </c>
      <c r="I68" s="128">
        <v>12595426.863</v>
      </c>
      <c r="J68" s="128">
        <v>11046830.085999999</v>
      </c>
      <c r="K68" s="128">
        <v>12793148.034</v>
      </c>
      <c r="L68" s="128">
        <v>9722708.7899999991</v>
      </c>
      <c r="M68" s="128">
        <v>9395872.8969999999</v>
      </c>
      <c r="N68" s="128">
        <v>7721948.9740000004</v>
      </c>
      <c r="O68" s="129">
        <f t="shared" si="6"/>
        <v>132027195.626</v>
      </c>
    </row>
    <row r="69" spans="1:15" s="33" customFormat="1" ht="15" customHeight="1" thickBot="1" x14ac:dyDescent="0.25">
      <c r="A69" s="126">
        <v>2009</v>
      </c>
      <c r="B69" s="127" t="s">
        <v>40</v>
      </c>
      <c r="C69" s="128">
        <v>7884493.5240000002</v>
      </c>
      <c r="D69" s="128">
        <v>8435115.8340000007</v>
      </c>
      <c r="E69" s="128">
        <v>8155485.0810000002</v>
      </c>
      <c r="F69" s="128">
        <v>7561696.2829999998</v>
      </c>
      <c r="G69" s="128">
        <v>7346407.5279999999</v>
      </c>
      <c r="H69" s="128">
        <v>8329692.7829999998</v>
      </c>
      <c r="I69" s="128">
        <v>9055733.6710000001</v>
      </c>
      <c r="J69" s="128">
        <v>7839908.8420000002</v>
      </c>
      <c r="K69" s="128">
        <v>8480708.3870000001</v>
      </c>
      <c r="L69" s="128">
        <v>10095768.029999999</v>
      </c>
      <c r="M69" s="128">
        <v>8903010.773</v>
      </c>
      <c r="N69" s="128">
        <v>10054591.867000001</v>
      </c>
      <c r="O69" s="129">
        <f t="shared" si="6"/>
        <v>102142612.603</v>
      </c>
    </row>
    <row r="70" spans="1:15" s="33" customFormat="1" ht="15" customHeight="1" thickBot="1" x14ac:dyDescent="0.25">
      <c r="A70" s="126">
        <v>2010</v>
      </c>
      <c r="B70" s="127" t="s">
        <v>40</v>
      </c>
      <c r="C70" s="128">
        <v>7828748.0580000002</v>
      </c>
      <c r="D70" s="128">
        <v>8263237.8140000002</v>
      </c>
      <c r="E70" s="128">
        <v>9886488.1710000001</v>
      </c>
      <c r="F70" s="128">
        <v>9396006.6539999992</v>
      </c>
      <c r="G70" s="128">
        <v>9799958.1170000006</v>
      </c>
      <c r="H70" s="128">
        <v>9542907.6439999994</v>
      </c>
      <c r="I70" s="128">
        <v>9564682.5449999999</v>
      </c>
      <c r="J70" s="128">
        <v>8523451.9729999993</v>
      </c>
      <c r="K70" s="128">
        <v>8909230.5209999997</v>
      </c>
      <c r="L70" s="128">
        <v>10963586.27</v>
      </c>
      <c r="M70" s="128">
        <v>9382369.7180000003</v>
      </c>
      <c r="N70" s="128">
        <v>11822551.698999999</v>
      </c>
      <c r="O70" s="129">
        <f t="shared" si="6"/>
        <v>113883219.18399999</v>
      </c>
    </row>
    <row r="71" spans="1:15" s="33" customFormat="1" ht="15" customHeight="1" thickBot="1" x14ac:dyDescent="0.25">
      <c r="A71" s="126">
        <v>2011</v>
      </c>
      <c r="B71" s="127" t="s">
        <v>40</v>
      </c>
      <c r="C71" s="128">
        <v>9551084.6390000004</v>
      </c>
      <c r="D71" s="128">
        <v>10059126.307</v>
      </c>
      <c r="E71" s="128">
        <v>11811085.16</v>
      </c>
      <c r="F71" s="128">
        <v>11873269.447000001</v>
      </c>
      <c r="G71" s="128">
        <v>10943364.372</v>
      </c>
      <c r="H71" s="128">
        <v>11349953.558</v>
      </c>
      <c r="I71" s="128">
        <v>11860004.271</v>
      </c>
      <c r="J71" s="128">
        <v>11245124.657</v>
      </c>
      <c r="K71" s="128">
        <v>10750626.098999999</v>
      </c>
      <c r="L71" s="128">
        <v>11907219.297</v>
      </c>
      <c r="M71" s="128">
        <v>11078524.743000001</v>
      </c>
      <c r="N71" s="128">
        <v>12477486.279999999</v>
      </c>
      <c r="O71" s="129">
        <f t="shared" si="6"/>
        <v>134906868.83000001</v>
      </c>
    </row>
    <row r="72" spans="1:15" ht="13.8" thickBot="1" x14ac:dyDescent="0.3">
      <c r="A72" s="126">
        <v>2012</v>
      </c>
      <c r="B72" s="127" t="s">
        <v>40</v>
      </c>
      <c r="C72" s="128">
        <v>10348187.165999999</v>
      </c>
      <c r="D72" s="128">
        <v>11748000.124</v>
      </c>
      <c r="E72" s="128">
        <v>13208572.977</v>
      </c>
      <c r="F72" s="128">
        <v>12630226.718</v>
      </c>
      <c r="G72" s="128">
        <v>13131530.960999999</v>
      </c>
      <c r="H72" s="128">
        <v>13231198.687999999</v>
      </c>
      <c r="I72" s="128">
        <v>12830675.307</v>
      </c>
      <c r="J72" s="128">
        <v>12831394.572000001</v>
      </c>
      <c r="K72" s="128">
        <v>12952651.721999999</v>
      </c>
      <c r="L72" s="128">
        <v>13190769.654999999</v>
      </c>
      <c r="M72" s="128">
        <v>13753052.493000001</v>
      </c>
      <c r="N72" s="128">
        <v>12605476.173</v>
      </c>
      <c r="O72" s="129">
        <f t="shared" si="6"/>
        <v>152461736.55599999</v>
      </c>
    </row>
    <row r="73" spans="1:15" ht="13.8" thickBot="1" x14ac:dyDescent="0.3">
      <c r="A73" s="126">
        <v>2013</v>
      </c>
      <c r="B73" s="127" t="s">
        <v>40</v>
      </c>
      <c r="C73" s="128">
        <v>11481521.079</v>
      </c>
      <c r="D73" s="128">
        <v>12385690.909</v>
      </c>
      <c r="E73" s="128">
        <v>13122058.141000001</v>
      </c>
      <c r="F73" s="128">
        <v>12468202.903000001</v>
      </c>
      <c r="G73" s="128">
        <v>13277209.017000001</v>
      </c>
      <c r="H73" s="128">
        <v>12399973.961999999</v>
      </c>
      <c r="I73" s="128">
        <v>13059519.685000001</v>
      </c>
      <c r="J73" s="128">
        <v>11118300.903000001</v>
      </c>
      <c r="K73" s="128">
        <v>13060371.039000001</v>
      </c>
      <c r="L73" s="128">
        <v>12053704.638</v>
      </c>
      <c r="M73" s="128">
        <v>14201227.351</v>
      </c>
      <c r="N73" s="128">
        <v>13174857.460000001</v>
      </c>
      <c r="O73" s="129">
        <f t="shared" si="6"/>
        <v>151802637.08700001</v>
      </c>
    </row>
    <row r="74" spans="1:15" ht="13.8" thickBot="1" x14ac:dyDescent="0.3">
      <c r="A74" s="126">
        <v>2014</v>
      </c>
      <c r="B74" s="127" t="s">
        <v>40</v>
      </c>
      <c r="C74" s="128">
        <v>12399761.948000001</v>
      </c>
      <c r="D74" s="128">
        <v>13053292.493000001</v>
      </c>
      <c r="E74" s="128">
        <v>14680110.779999999</v>
      </c>
      <c r="F74" s="128">
        <v>13371185.664000001</v>
      </c>
      <c r="G74" s="128">
        <v>13681906.159</v>
      </c>
      <c r="H74" s="128">
        <v>12880924.245999999</v>
      </c>
      <c r="I74" s="128">
        <v>13344776.958000001</v>
      </c>
      <c r="J74" s="128">
        <v>11386828.925000001</v>
      </c>
      <c r="K74" s="128">
        <v>13583120.905999999</v>
      </c>
      <c r="L74" s="128">
        <v>12891630.102</v>
      </c>
      <c r="M74" s="128">
        <v>13067348.107000001</v>
      </c>
      <c r="N74" s="128">
        <v>13269271.402000001</v>
      </c>
      <c r="O74" s="129">
        <f t="shared" si="6"/>
        <v>157610157.69</v>
      </c>
    </row>
    <row r="75" spans="1:15" ht="13.8" thickBot="1" x14ac:dyDescent="0.3">
      <c r="A75" s="126">
        <v>2015</v>
      </c>
      <c r="B75" s="127" t="s">
        <v>40</v>
      </c>
      <c r="C75" s="128">
        <v>12301766.75</v>
      </c>
      <c r="D75" s="128">
        <v>12231860.140000001</v>
      </c>
      <c r="E75" s="128">
        <v>12519910.437999999</v>
      </c>
      <c r="F75" s="128">
        <v>13349346.866</v>
      </c>
      <c r="G75" s="128">
        <v>11080385.127</v>
      </c>
      <c r="H75" s="128">
        <v>11949647.085999999</v>
      </c>
      <c r="I75" s="128">
        <v>11129358.973999999</v>
      </c>
      <c r="J75" s="128">
        <v>11022045.344000001</v>
      </c>
      <c r="K75" s="128">
        <v>11581703.842</v>
      </c>
      <c r="L75" s="128">
        <v>13240039.088</v>
      </c>
      <c r="M75" s="128">
        <v>11681989.013</v>
      </c>
      <c r="N75" s="128">
        <v>11750818.76</v>
      </c>
      <c r="O75" s="129">
        <f t="shared" si="6"/>
        <v>143838871.428</v>
      </c>
    </row>
    <row r="76" spans="1:15" ht="13.8" thickBot="1" x14ac:dyDescent="0.3">
      <c r="A76" s="126">
        <v>2016</v>
      </c>
      <c r="B76" s="127" t="s">
        <v>40</v>
      </c>
      <c r="C76" s="128">
        <v>9546115.4000000004</v>
      </c>
      <c r="D76" s="128">
        <v>12366388.057</v>
      </c>
      <c r="E76" s="128">
        <v>12757672.093</v>
      </c>
      <c r="F76" s="128">
        <v>11950497.685000001</v>
      </c>
      <c r="G76" s="128">
        <v>12098611.067</v>
      </c>
      <c r="H76" s="128">
        <v>12864154.060000001</v>
      </c>
      <c r="I76" s="128">
        <v>9850124.8719999995</v>
      </c>
      <c r="J76" s="128">
        <v>11830762.82</v>
      </c>
      <c r="K76" s="128">
        <v>10901638.452</v>
      </c>
      <c r="L76" s="128">
        <v>12796159.91</v>
      </c>
      <c r="M76" s="128">
        <v>12786936.247</v>
      </c>
      <c r="N76" s="128">
        <v>12780523.145</v>
      </c>
      <c r="O76" s="129">
        <f t="shared" si="6"/>
        <v>142529583.80799997</v>
      </c>
    </row>
    <row r="77" spans="1:15" ht="13.8" thickBot="1" x14ac:dyDescent="0.3">
      <c r="A77" s="126">
        <v>2017</v>
      </c>
      <c r="B77" s="127" t="s">
        <v>40</v>
      </c>
      <c r="C77" s="128">
        <v>11247585.677000133</v>
      </c>
      <c r="D77" s="128">
        <v>12089908.933999483</v>
      </c>
      <c r="E77" s="128">
        <v>14470814.05899963</v>
      </c>
      <c r="F77" s="128">
        <v>12859938.790999187</v>
      </c>
      <c r="G77" s="128">
        <v>13582079.73099998</v>
      </c>
      <c r="H77" s="128">
        <v>13125306.943999315</v>
      </c>
      <c r="I77" s="128">
        <v>12612074.05599888</v>
      </c>
      <c r="J77" s="128">
        <v>13248462.990000026</v>
      </c>
      <c r="K77" s="128">
        <v>11810080.804999635</v>
      </c>
      <c r="L77" s="128">
        <v>13912699.49399944</v>
      </c>
      <c r="M77" s="128">
        <v>14188323.115998682</v>
      </c>
      <c r="N77" s="128">
        <v>13845665.816998869</v>
      </c>
      <c r="O77" s="129">
        <f t="shared" si="6"/>
        <v>156992940.41399324</v>
      </c>
    </row>
    <row r="78" spans="1:15" ht="13.8" thickBot="1" x14ac:dyDescent="0.3">
      <c r="A78" s="126">
        <v>2018</v>
      </c>
      <c r="B78" s="127" t="s">
        <v>40</v>
      </c>
      <c r="C78" s="128">
        <v>12434098.319</v>
      </c>
      <c r="D78" s="128">
        <v>13148021.710999999</v>
      </c>
      <c r="E78" s="128">
        <v>15553245.176999999</v>
      </c>
      <c r="F78" s="128">
        <v>13846627.891000001</v>
      </c>
      <c r="G78" s="128">
        <v>14256695.228</v>
      </c>
      <c r="H78" s="128">
        <v>12924498.134</v>
      </c>
      <c r="I78" s="128">
        <v>14048956.242000001</v>
      </c>
      <c r="J78" s="128">
        <v>12331984.01</v>
      </c>
      <c r="K78" s="128">
        <v>14397835.42</v>
      </c>
      <c r="L78" s="128">
        <v>15676860.082</v>
      </c>
      <c r="M78" s="128">
        <v>15491509.931</v>
      </c>
      <c r="N78" s="128">
        <v>13810281.310000001</v>
      </c>
      <c r="O78" s="129">
        <f t="shared" si="6"/>
        <v>167920613.45500001</v>
      </c>
    </row>
    <row r="79" spans="1:15" ht="13.8" thickBot="1" x14ac:dyDescent="0.3">
      <c r="A79" s="126">
        <v>2019</v>
      </c>
      <c r="B79" s="127" t="s">
        <v>40</v>
      </c>
      <c r="C79" s="128">
        <v>13179566.503999347</v>
      </c>
      <c r="D79" s="128">
        <v>13571661.858998239</v>
      </c>
      <c r="E79" s="128">
        <v>15462010.128998313</v>
      </c>
      <c r="F79" s="128">
        <v>14462840.165998938</v>
      </c>
      <c r="G79" s="128">
        <v>15940929.228998305</v>
      </c>
      <c r="H79" s="128">
        <v>11065137.754999125</v>
      </c>
      <c r="I79" s="128">
        <v>15128916.856998757</v>
      </c>
      <c r="J79" s="128">
        <v>12502491.317999167</v>
      </c>
      <c r="K79" s="128">
        <v>14410244.070999179</v>
      </c>
      <c r="L79" s="128">
        <v>15644580.439999202</v>
      </c>
      <c r="M79" s="128">
        <v>15468097.636998609</v>
      </c>
      <c r="N79" s="128">
        <v>14694198.69199934</v>
      </c>
      <c r="O79" s="128">
        <f t="shared" si="6"/>
        <v>171530674.6569865</v>
      </c>
    </row>
    <row r="80" spans="1:15" ht="13.8" thickBot="1" x14ac:dyDescent="0.3">
      <c r="A80" s="126">
        <v>2020</v>
      </c>
      <c r="B80" s="127" t="s">
        <v>40</v>
      </c>
      <c r="C80" s="128">
        <v>13908947.023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>
        <f t="shared" si="6"/>
        <v>13908947.023</v>
      </c>
    </row>
    <row r="81" spans="1:15" x14ac:dyDescent="0.25">
      <c r="A81" s="92"/>
      <c r="B81" s="130" t="s">
        <v>61</v>
      </c>
      <c r="C81" s="131"/>
      <c r="D81" s="131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1"/>
    </row>
    <row r="83" spans="1:15" x14ac:dyDescent="0.25">
      <c r="C83" s="36"/>
    </row>
  </sheetData>
  <autoFilter ref="A1:O81" xr:uid="{8F457745-2743-4C5F-A576-5904CF6A34ED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7" customWidth="1"/>
    <col min="3" max="3" width="17.5546875" style="37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4" spans="1:4" x14ac:dyDescent="0.25">
      <c r="A4" s="133"/>
      <c r="B4" s="134"/>
      <c r="C4" s="134"/>
      <c r="D4" s="133"/>
    </row>
    <row r="5" spans="1:4" x14ac:dyDescent="0.25">
      <c r="A5" s="135" t="s">
        <v>64</v>
      </c>
      <c r="B5" s="136" t="s">
        <v>156</v>
      </c>
      <c r="C5" s="136" t="s">
        <v>157</v>
      </c>
      <c r="D5" s="137" t="s">
        <v>65</v>
      </c>
    </row>
    <row r="6" spans="1:4" x14ac:dyDescent="0.25">
      <c r="A6" s="138" t="s">
        <v>158</v>
      </c>
      <c r="B6" s="139">
        <v>62.059240000000003</v>
      </c>
      <c r="C6" s="139">
        <v>27889.08367</v>
      </c>
      <c r="D6" s="145">
        <f t="shared" ref="D6:D15" si="0">(C6-B6)/B6</f>
        <v>448.39454092573482</v>
      </c>
    </row>
    <row r="7" spans="1:4" x14ac:dyDescent="0.25">
      <c r="A7" s="138" t="s">
        <v>159</v>
      </c>
      <c r="B7" s="139">
        <v>5.8399000000000001</v>
      </c>
      <c r="C7" s="139">
        <v>2077.5999000000002</v>
      </c>
      <c r="D7" s="145">
        <f t="shared" si="0"/>
        <v>354.759499306495</v>
      </c>
    </row>
    <row r="8" spans="1:4" x14ac:dyDescent="0.25">
      <c r="A8" s="138" t="s">
        <v>160</v>
      </c>
      <c r="B8" s="139">
        <v>6.048</v>
      </c>
      <c r="C8" s="139">
        <v>756.91696000000002</v>
      </c>
      <c r="D8" s="145">
        <f t="shared" si="0"/>
        <v>124.15161375661376</v>
      </c>
    </row>
    <row r="9" spans="1:4" x14ac:dyDescent="0.25">
      <c r="A9" s="138" t="s">
        <v>161</v>
      </c>
      <c r="B9" s="139">
        <v>87.708849999999998</v>
      </c>
      <c r="C9" s="139">
        <v>839.80817999999999</v>
      </c>
      <c r="D9" s="145">
        <f t="shared" si="0"/>
        <v>8.5749537247381546</v>
      </c>
    </row>
    <row r="10" spans="1:4" x14ac:dyDescent="0.25">
      <c r="A10" s="138" t="s">
        <v>162</v>
      </c>
      <c r="B10" s="139">
        <v>326.55385999999999</v>
      </c>
      <c r="C10" s="139">
        <v>2475.5474399999998</v>
      </c>
      <c r="D10" s="145">
        <f t="shared" si="0"/>
        <v>6.5808243087373093</v>
      </c>
    </row>
    <row r="11" spans="1:4" x14ac:dyDescent="0.25">
      <c r="A11" s="138" t="s">
        <v>163</v>
      </c>
      <c r="B11" s="139">
        <v>45.400559999999999</v>
      </c>
      <c r="C11" s="139">
        <v>199.1824</v>
      </c>
      <c r="D11" s="145">
        <f t="shared" si="0"/>
        <v>3.3872234175085065</v>
      </c>
    </row>
    <row r="12" spans="1:4" x14ac:dyDescent="0.25">
      <c r="A12" s="138" t="s">
        <v>164</v>
      </c>
      <c r="B12" s="139">
        <v>2766.18552</v>
      </c>
      <c r="C12" s="139">
        <v>10281.833049999999</v>
      </c>
      <c r="D12" s="145">
        <f t="shared" si="0"/>
        <v>2.7169716115063749</v>
      </c>
    </row>
    <row r="13" spans="1:4" x14ac:dyDescent="0.25">
      <c r="A13" s="138" t="s">
        <v>165</v>
      </c>
      <c r="B13" s="139">
        <v>458.75869999999998</v>
      </c>
      <c r="C13" s="139">
        <v>1700.76259</v>
      </c>
      <c r="D13" s="145">
        <f t="shared" si="0"/>
        <v>2.707314084724715</v>
      </c>
    </row>
    <row r="14" spans="1:4" x14ac:dyDescent="0.25">
      <c r="A14" s="138" t="s">
        <v>166</v>
      </c>
      <c r="B14" s="139">
        <v>48.551679999999998</v>
      </c>
      <c r="C14" s="139">
        <v>169.47883999999999</v>
      </c>
      <c r="D14" s="145">
        <f t="shared" si="0"/>
        <v>2.4906895085813714</v>
      </c>
    </row>
    <row r="15" spans="1:4" x14ac:dyDescent="0.25">
      <c r="A15" s="138" t="s">
        <v>167</v>
      </c>
      <c r="B15" s="139">
        <v>818.70664999999997</v>
      </c>
      <c r="C15" s="139">
        <v>2808.7018499999999</v>
      </c>
      <c r="D15" s="145">
        <f t="shared" si="0"/>
        <v>2.4306571834978987</v>
      </c>
    </row>
    <row r="16" spans="1:4" x14ac:dyDescent="0.25">
      <c r="A16" s="140"/>
      <c r="B16" s="134"/>
      <c r="C16" s="134"/>
      <c r="D16" s="141"/>
    </row>
    <row r="17" spans="1:4" x14ac:dyDescent="0.25">
      <c r="A17" s="142"/>
      <c r="B17" s="134"/>
      <c r="C17" s="134"/>
      <c r="D17" s="133"/>
    </row>
    <row r="18" spans="1:4" ht="19.2" x14ac:dyDescent="0.35">
      <c r="A18" s="152" t="s">
        <v>66</v>
      </c>
      <c r="B18" s="152"/>
      <c r="C18" s="152"/>
      <c r="D18" s="152"/>
    </row>
    <row r="19" spans="1:4" ht="15.6" x14ac:dyDescent="0.3">
      <c r="A19" s="151" t="s">
        <v>67</v>
      </c>
      <c r="B19" s="151"/>
      <c r="C19" s="151"/>
      <c r="D19" s="151"/>
    </row>
    <row r="20" spans="1:4" x14ac:dyDescent="0.25">
      <c r="A20" s="143"/>
      <c r="B20" s="134"/>
      <c r="C20" s="134"/>
      <c r="D20" s="133"/>
    </row>
    <row r="21" spans="1:4" x14ac:dyDescent="0.25">
      <c r="A21" s="135" t="s">
        <v>64</v>
      </c>
      <c r="B21" s="136" t="s">
        <v>156</v>
      </c>
      <c r="C21" s="136" t="s">
        <v>157</v>
      </c>
      <c r="D21" s="137" t="s">
        <v>65</v>
      </c>
    </row>
    <row r="22" spans="1:4" x14ac:dyDescent="0.25">
      <c r="A22" s="138" t="s">
        <v>168</v>
      </c>
      <c r="B22" s="139">
        <v>1243074.48924</v>
      </c>
      <c r="C22" s="139">
        <v>1273537.8886200001</v>
      </c>
      <c r="D22" s="145">
        <f t="shared" ref="D22:D31" si="1">(C22-B22)/B22</f>
        <v>2.450649550263477E-2</v>
      </c>
    </row>
    <row r="23" spans="1:4" x14ac:dyDescent="0.25">
      <c r="A23" s="138" t="s">
        <v>169</v>
      </c>
      <c r="B23" s="139">
        <v>774176.54442000005</v>
      </c>
      <c r="C23" s="139">
        <v>845882.37132000003</v>
      </c>
      <c r="D23" s="145">
        <f t="shared" si="1"/>
        <v>9.262206071319401E-2</v>
      </c>
    </row>
    <row r="24" spans="1:4" x14ac:dyDescent="0.25">
      <c r="A24" s="138" t="s">
        <v>170</v>
      </c>
      <c r="B24" s="139">
        <v>930735.37841</v>
      </c>
      <c r="C24" s="139">
        <v>836373.66142999998</v>
      </c>
      <c r="D24" s="145">
        <f t="shared" si="1"/>
        <v>-0.10138404445439761</v>
      </c>
    </row>
    <row r="25" spans="1:4" x14ac:dyDescent="0.25">
      <c r="A25" s="138" t="s">
        <v>171</v>
      </c>
      <c r="B25" s="139">
        <v>585748.47617000004</v>
      </c>
      <c r="C25" s="139">
        <v>640616.95343999995</v>
      </c>
      <c r="D25" s="145">
        <f t="shared" si="1"/>
        <v>9.3672419992904266E-2</v>
      </c>
    </row>
    <row r="26" spans="1:4" x14ac:dyDescent="0.25">
      <c r="A26" s="138" t="s">
        <v>172</v>
      </c>
      <c r="B26" s="139">
        <v>539295.77907000005</v>
      </c>
      <c r="C26" s="139">
        <v>623174.41365999996</v>
      </c>
      <c r="D26" s="145">
        <f t="shared" si="1"/>
        <v>0.15553363820990068</v>
      </c>
    </row>
    <row r="27" spans="1:4" x14ac:dyDescent="0.25">
      <c r="A27" s="138" t="s">
        <v>173</v>
      </c>
      <c r="B27" s="139">
        <v>555016.70192999998</v>
      </c>
      <c r="C27" s="139">
        <v>619210.48236000002</v>
      </c>
      <c r="D27" s="145">
        <f t="shared" si="1"/>
        <v>0.11566098859146821</v>
      </c>
    </row>
    <row r="28" spans="1:4" x14ac:dyDescent="0.25">
      <c r="A28" s="138" t="s">
        <v>174</v>
      </c>
      <c r="B28" s="139">
        <v>611089.28625</v>
      </c>
      <c r="C28" s="139">
        <v>592812.68880999996</v>
      </c>
      <c r="D28" s="145">
        <f t="shared" si="1"/>
        <v>-2.9908227572039259E-2</v>
      </c>
    </row>
    <row r="29" spans="1:4" x14ac:dyDescent="0.25">
      <c r="A29" s="138" t="s">
        <v>175</v>
      </c>
      <c r="B29" s="139">
        <v>386540.03620999999</v>
      </c>
      <c r="C29" s="139">
        <v>473547.95426999999</v>
      </c>
      <c r="D29" s="145">
        <f t="shared" si="1"/>
        <v>0.22509419441542716</v>
      </c>
    </row>
    <row r="30" spans="1:4" x14ac:dyDescent="0.25">
      <c r="A30" s="138" t="s">
        <v>176</v>
      </c>
      <c r="B30" s="139">
        <v>291489.18296000001</v>
      </c>
      <c r="C30" s="139">
        <v>365733.39926999999</v>
      </c>
      <c r="D30" s="145">
        <f t="shared" si="1"/>
        <v>0.25470659170288407</v>
      </c>
    </row>
    <row r="31" spans="1:4" x14ac:dyDescent="0.25">
      <c r="A31" s="138" t="s">
        <v>177</v>
      </c>
      <c r="B31" s="139">
        <v>309630.91603999998</v>
      </c>
      <c r="C31" s="139">
        <v>336886.56873</v>
      </c>
      <c r="D31" s="145">
        <f t="shared" si="1"/>
        <v>8.8026263780710351E-2</v>
      </c>
    </row>
    <row r="32" spans="1:4" x14ac:dyDescent="0.25">
      <c r="A32" s="133"/>
      <c r="B32" s="134"/>
      <c r="C32" s="134"/>
      <c r="D32" s="133"/>
    </row>
    <row r="33" spans="1:4" ht="19.2" x14ac:dyDescent="0.35">
      <c r="A33" s="152" t="s">
        <v>68</v>
      </c>
      <c r="B33" s="152"/>
      <c r="C33" s="152"/>
      <c r="D33" s="152"/>
    </row>
    <row r="34" spans="1:4" ht="15.6" x14ac:dyDescent="0.3">
      <c r="A34" s="151" t="s">
        <v>72</v>
      </c>
      <c r="B34" s="151"/>
      <c r="C34" s="151"/>
      <c r="D34" s="151"/>
    </row>
    <row r="35" spans="1:4" x14ac:dyDescent="0.25">
      <c r="A35" s="133"/>
      <c r="B35" s="134"/>
      <c r="C35" s="134"/>
      <c r="D35" s="133"/>
    </row>
    <row r="36" spans="1:4" x14ac:dyDescent="0.25">
      <c r="A36" s="135" t="s">
        <v>70</v>
      </c>
      <c r="B36" s="136" t="s">
        <v>156</v>
      </c>
      <c r="C36" s="136" t="s">
        <v>157</v>
      </c>
      <c r="D36" s="137" t="s">
        <v>65</v>
      </c>
    </row>
    <row r="37" spans="1:4" x14ac:dyDescent="0.25">
      <c r="A37" s="138" t="s">
        <v>136</v>
      </c>
      <c r="B37" s="139">
        <v>8448.1456600000001</v>
      </c>
      <c r="C37" s="139">
        <v>11024.010979999999</v>
      </c>
      <c r="D37" s="145">
        <f t="shared" ref="D37:D46" si="2">(C37-B37)/B37</f>
        <v>0.30490304306613941</v>
      </c>
    </row>
    <row r="38" spans="1:4" x14ac:dyDescent="0.25">
      <c r="A38" s="138" t="s">
        <v>130</v>
      </c>
      <c r="B38" s="139">
        <v>199176.22761</v>
      </c>
      <c r="C38" s="139">
        <v>256226.96775000001</v>
      </c>
      <c r="D38" s="145">
        <f t="shared" si="2"/>
        <v>0.28643348066471602</v>
      </c>
    </row>
    <row r="39" spans="1:4" x14ac:dyDescent="0.25">
      <c r="A39" s="138" t="s">
        <v>133</v>
      </c>
      <c r="B39" s="139">
        <v>152194.65153</v>
      </c>
      <c r="C39" s="139">
        <v>185182.07725999999</v>
      </c>
      <c r="D39" s="145">
        <f t="shared" si="2"/>
        <v>0.21674497361359402</v>
      </c>
    </row>
    <row r="40" spans="1:4" x14ac:dyDescent="0.25">
      <c r="A40" s="138" t="s">
        <v>141</v>
      </c>
      <c r="B40" s="139">
        <v>182640.83843999999</v>
      </c>
      <c r="C40" s="139">
        <v>221658.42421999999</v>
      </c>
      <c r="D40" s="145">
        <f t="shared" si="2"/>
        <v>0.21363012847106375</v>
      </c>
    </row>
    <row r="41" spans="1:4" x14ac:dyDescent="0.25">
      <c r="A41" s="138" t="s">
        <v>145</v>
      </c>
      <c r="B41" s="139">
        <v>91906.762210000001</v>
      </c>
      <c r="C41" s="139">
        <v>108772.34581</v>
      </c>
      <c r="D41" s="145">
        <f t="shared" si="2"/>
        <v>0.18350753736121631</v>
      </c>
    </row>
    <row r="42" spans="1:4" x14ac:dyDescent="0.25">
      <c r="A42" s="138" t="s">
        <v>138</v>
      </c>
      <c r="B42" s="139">
        <v>392886.26405</v>
      </c>
      <c r="C42" s="139">
        <v>453783.84272000002</v>
      </c>
      <c r="D42" s="145">
        <f t="shared" si="2"/>
        <v>0.15500052875925943</v>
      </c>
    </row>
    <row r="43" spans="1:4" x14ac:dyDescent="0.25">
      <c r="A43" s="140" t="s">
        <v>150</v>
      </c>
      <c r="B43" s="139">
        <v>251902.82900999999</v>
      </c>
      <c r="C43" s="139">
        <v>288446.03128</v>
      </c>
      <c r="D43" s="145">
        <f t="shared" si="2"/>
        <v>0.14506864576955317</v>
      </c>
    </row>
    <row r="44" spans="1:4" x14ac:dyDescent="0.25">
      <c r="A44" s="138" t="s">
        <v>140</v>
      </c>
      <c r="B44" s="139">
        <v>116826.44227</v>
      </c>
      <c r="C44" s="139">
        <v>133437.7789</v>
      </c>
      <c r="D44" s="145">
        <f t="shared" si="2"/>
        <v>0.14218815798232734</v>
      </c>
    </row>
    <row r="45" spans="1:4" x14ac:dyDescent="0.25">
      <c r="A45" s="138" t="s">
        <v>142</v>
      </c>
      <c r="B45" s="139">
        <v>1536645.9649100001</v>
      </c>
      <c r="C45" s="139">
        <v>1700258.1746700001</v>
      </c>
      <c r="D45" s="145">
        <f t="shared" si="2"/>
        <v>0.10647358825400138</v>
      </c>
    </row>
    <row r="46" spans="1:4" x14ac:dyDescent="0.25">
      <c r="A46" s="138" t="s">
        <v>155</v>
      </c>
      <c r="B46" s="139">
        <v>304076.55554999999</v>
      </c>
      <c r="C46" s="139">
        <v>330358.94588000001</v>
      </c>
      <c r="D46" s="145">
        <f t="shared" si="2"/>
        <v>8.6433465028113124E-2</v>
      </c>
    </row>
    <row r="47" spans="1:4" x14ac:dyDescent="0.25">
      <c r="A47" s="133"/>
      <c r="B47" s="134"/>
      <c r="C47" s="134"/>
      <c r="D47" s="133"/>
    </row>
    <row r="48" spans="1:4" ht="19.2" x14ac:dyDescent="0.35">
      <c r="A48" s="152" t="s">
        <v>71</v>
      </c>
      <c r="B48" s="152"/>
      <c r="C48" s="152"/>
      <c r="D48" s="152"/>
    </row>
    <row r="49" spans="1:4" ht="15.6" x14ac:dyDescent="0.3">
      <c r="A49" s="151" t="s">
        <v>69</v>
      </c>
      <c r="B49" s="151"/>
      <c r="C49" s="151"/>
      <c r="D49" s="151"/>
    </row>
    <row r="50" spans="1:4" x14ac:dyDescent="0.25">
      <c r="A50" s="133"/>
      <c r="B50" s="134"/>
      <c r="C50" s="134"/>
      <c r="D50" s="133"/>
    </row>
    <row r="51" spans="1:4" x14ac:dyDescent="0.25">
      <c r="A51" s="135" t="s">
        <v>70</v>
      </c>
      <c r="B51" s="136" t="s">
        <v>156</v>
      </c>
      <c r="C51" s="136" t="s">
        <v>157</v>
      </c>
      <c r="D51" s="137" t="s">
        <v>65</v>
      </c>
    </row>
    <row r="52" spans="1:4" x14ac:dyDescent="0.25">
      <c r="A52" s="138" t="s">
        <v>144</v>
      </c>
      <c r="B52" s="139">
        <v>2327581.5546900001</v>
      </c>
      <c r="C52" s="139">
        <v>2402323.4506600001</v>
      </c>
      <c r="D52" s="145">
        <f t="shared" ref="D52:D61" si="3">(C52-B52)/B52</f>
        <v>3.2111397265284863E-2</v>
      </c>
    </row>
    <row r="53" spans="1:4" x14ac:dyDescent="0.25">
      <c r="A53" s="138" t="s">
        <v>142</v>
      </c>
      <c r="B53" s="139">
        <v>1536645.9649100001</v>
      </c>
      <c r="C53" s="139">
        <v>1700258.1746700001</v>
      </c>
      <c r="D53" s="145">
        <f t="shared" si="3"/>
        <v>0.10647358825400138</v>
      </c>
    </row>
    <row r="54" spans="1:4" x14ac:dyDescent="0.25">
      <c r="A54" s="138" t="s">
        <v>143</v>
      </c>
      <c r="B54" s="139">
        <v>1414001.49691</v>
      </c>
      <c r="C54" s="139">
        <v>1495474.8953</v>
      </c>
      <c r="D54" s="145">
        <f t="shared" si="3"/>
        <v>5.761903263047656E-2</v>
      </c>
    </row>
    <row r="55" spans="1:4" x14ac:dyDescent="0.25">
      <c r="A55" s="138" t="s">
        <v>149</v>
      </c>
      <c r="B55" s="139">
        <v>1195660.6079299999</v>
      </c>
      <c r="C55" s="139">
        <v>1148221.4463500001</v>
      </c>
      <c r="D55" s="145">
        <f t="shared" si="3"/>
        <v>-3.9676109813577776E-2</v>
      </c>
    </row>
    <row r="56" spans="1:4" x14ac:dyDescent="0.25">
      <c r="A56" s="138" t="s">
        <v>146</v>
      </c>
      <c r="B56" s="139">
        <v>797011.88977000001</v>
      </c>
      <c r="C56" s="139">
        <v>824784.23383000004</v>
      </c>
      <c r="D56" s="145">
        <f t="shared" si="3"/>
        <v>3.4845583129273661E-2</v>
      </c>
    </row>
    <row r="57" spans="1:4" x14ac:dyDescent="0.25">
      <c r="A57" s="138" t="s">
        <v>148</v>
      </c>
      <c r="B57" s="139">
        <v>650703.22959</v>
      </c>
      <c r="C57" s="139">
        <v>702899.94932999997</v>
      </c>
      <c r="D57" s="145">
        <f t="shared" si="3"/>
        <v>8.0215860881601084E-2</v>
      </c>
    </row>
    <row r="58" spans="1:4" x14ac:dyDescent="0.25">
      <c r="A58" s="138" t="s">
        <v>139</v>
      </c>
      <c r="B58" s="139">
        <v>675583.07246000005</v>
      </c>
      <c r="C58" s="139">
        <v>673702.03388999996</v>
      </c>
      <c r="D58" s="145">
        <f t="shared" si="3"/>
        <v>-2.7843186821580172E-3</v>
      </c>
    </row>
    <row r="59" spans="1:4" x14ac:dyDescent="0.25">
      <c r="A59" s="138" t="s">
        <v>147</v>
      </c>
      <c r="B59" s="139">
        <v>585583.80766000005</v>
      </c>
      <c r="C59" s="139">
        <v>625772.07894000004</v>
      </c>
      <c r="D59" s="145">
        <f t="shared" si="3"/>
        <v>6.8629410093480558E-2</v>
      </c>
    </row>
    <row r="60" spans="1:4" x14ac:dyDescent="0.25">
      <c r="A60" s="138" t="s">
        <v>129</v>
      </c>
      <c r="B60" s="139">
        <v>560029.43738000002</v>
      </c>
      <c r="C60" s="139">
        <v>584373.30284999998</v>
      </c>
      <c r="D60" s="145">
        <f t="shared" si="3"/>
        <v>4.346890332031203E-2</v>
      </c>
    </row>
    <row r="61" spans="1:4" x14ac:dyDescent="0.25">
      <c r="A61" s="138" t="s">
        <v>138</v>
      </c>
      <c r="B61" s="139">
        <v>392886.26405</v>
      </c>
      <c r="C61" s="139">
        <v>453783.84272000002</v>
      </c>
      <c r="D61" s="145">
        <f t="shared" si="3"/>
        <v>0.15500052875925943</v>
      </c>
    </row>
    <row r="62" spans="1:4" x14ac:dyDescent="0.25">
      <c r="A62" s="133"/>
      <c r="B62" s="134"/>
      <c r="C62" s="134"/>
      <c r="D62" s="133"/>
    </row>
    <row r="63" spans="1:4" ht="19.2" x14ac:dyDescent="0.35">
      <c r="A63" s="152" t="s">
        <v>73</v>
      </c>
      <c r="B63" s="152"/>
      <c r="C63" s="152"/>
      <c r="D63" s="152"/>
    </row>
    <row r="64" spans="1:4" ht="15.6" x14ac:dyDescent="0.3">
      <c r="A64" s="151" t="s">
        <v>74</v>
      </c>
      <c r="B64" s="151"/>
      <c r="C64" s="151"/>
      <c r="D64" s="151"/>
    </row>
    <row r="65" spans="1:4" x14ac:dyDescent="0.25">
      <c r="A65" s="133"/>
      <c r="B65" s="134"/>
      <c r="C65" s="134"/>
      <c r="D65" s="133"/>
    </row>
    <row r="66" spans="1:4" x14ac:dyDescent="0.25">
      <c r="A66" s="135" t="s">
        <v>75</v>
      </c>
      <c r="B66" s="136" t="s">
        <v>156</v>
      </c>
      <c r="C66" s="136" t="s">
        <v>157</v>
      </c>
      <c r="D66" s="137" t="s">
        <v>65</v>
      </c>
    </row>
    <row r="67" spans="1:4" x14ac:dyDescent="0.25">
      <c r="A67" s="138" t="s">
        <v>178</v>
      </c>
      <c r="B67" s="144">
        <v>5256951.4088899996</v>
      </c>
      <c r="C67" s="144">
        <v>5611591.1577899996</v>
      </c>
      <c r="D67" s="145">
        <f t="shared" ref="D67:D76" si="4">(C67-B67)/B67</f>
        <v>6.7461104605279557E-2</v>
      </c>
    </row>
    <row r="68" spans="1:4" x14ac:dyDescent="0.25">
      <c r="A68" s="138" t="s">
        <v>179</v>
      </c>
      <c r="B68" s="144">
        <v>1324588.75287</v>
      </c>
      <c r="C68" s="144">
        <v>1300889.0067</v>
      </c>
      <c r="D68" s="145">
        <f t="shared" si="4"/>
        <v>-1.7892154163810813E-2</v>
      </c>
    </row>
    <row r="69" spans="1:4" x14ac:dyDescent="0.25">
      <c r="A69" s="138" t="s">
        <v>180</v>
      </c>
      <c r="B69" s="144">
        <v>1108749.4961699999</v>
      </c>
      <c r="C69" s="144">
        <v>1174755.6814900001</v>
      </c>
      <c r="D69" s="145">
        <f t="shared" si="4"/>
        <v>5.9532099494076986E-2</v>
      </c>
    </row>
    <row r="70" spans="1:4" x14ac:dyDescent="0.25">
      <c r="A70" s="138" t="s">
        <v>181</v>
      </c>
      <c r="B70" s="144">
        <v>780244.23543999996</v>
      </c>
      <c r="C70" s="144">
        <v>880680.65177</v>
      </c>
      <c r="D70" s="145">
        <f t="shared" si="4"/>
        <v>0.12872432985469137</v>
      </c>
    </row>
    <row r="71" spans="1:4" x14ac:dyDescent="0.25">
      <c r="A71" s="138" t="s">
        <v>182</v>
      </c>
      <c r="B71" s="144">
        <v>617784.11768999998</v>
      </c>
      <c r="C71" s="144">
        <v>619829.84609000001</v>
      </c>
      <c r="D71" s="145">
        <f t="shared" si="4"/>
        <v>3.3113968802716207E-3</v>
      </c>
    </row>
    <row r="72" spans="1:4" x14ac:dyDescent="0.25">
      <c r="A72" s="138" t="s">
        <v>183</v>
      </c>
      <c r="B72" s="144">
        <v>585363.07134999998</v>
      </c>
      <c r="C72" s="144">
        <v>616491.30558000004</v>
      </c>
      <c r="D72" s="145">
        <f t="shared" si="4"/>
        <v>5.3177652902172717E-2</v>
      </c>
    </row>
    <row r="73" spans="1:4" x14ac:dyDescent="0.25">
      <c r="A73" s="138" t="s">
        <v>184</v>
      </c>
      <c r="B73" s="144">
        <v>405022.06582000002</v>
      </c>
      <c r="C73" s="144">
        <v>509968.13981999998</v>
      </c>
      <c r="D73" s="145">
        <f t="shared" si="4"/>
        <v>0.25911199131219709</v>
      </c>
    </row>
    <row r="74" spans="1:4" x14ac:dyDescent="0.25">
      <c r="A74" s="138" t="s">
        <v>185</v>
      </c>
      <c r="B74" s="144">
        <v>299952.64418</v>
      </c>
      <c r="C74" s="144">
        <v>272446.40506999998</v>
      </c>
      <c r="D74" s="145">
        <f t="shared" si="4"/>
        <v>-9.1701939101739252E-2</v>
      </c>
    </row>
    <row r="75" spans="1:4" x14ac:dyDescent="0.25">
      <c r="A75" s="138" t="s">
        <v>186</v>
      </c>
      <c r="B75" s="144">
        <v>251761.00876999999</v>
      </c>
      <c r="C75" s="144">
        <v>259847.14968999999</v>
      </c>
      <c r="D75" s="145">
        <f t="shared" si="4"/>
        <v>3.2118321099464692E-2</v>
      </c>
    </row>
    <row r="76" spans="1:4" x14ac:dyDescent="0.25">
      <c r="A76" s="138" t="s">
        <v>187</v>
      </c>
      <c r="B76" s="144">
        <v>237313.38185000001</v>
      </c>
      <c r="C76" s="144">
        <v>218176.78797999999</v>
      </c>
      <c r="D76" s="145">
        <f t="shared" si="4"/>
        <v>-8.0638494638687441E-2</v>
      </c>
    </row>
    <row r="77" spans="1:4" x14ac:dyDescent="0.25">
      <c r="A77" s="133"/>
      <c r="B77" s="134"/>
      <c r="C77" s="134"/>
      <c r="D77" s="133"/>
    </row>
    <row r="78" spans="1:4" ht="19.2" x14ac:dyDescent="0.35">
      <c r="A78" s="152" t="s">
        <v>76</v>
      </c>
      <c r="B78" s="152"/>
      <c r="C78" s="152"/>
      <c r="D78" s="152"/>
    </row>
    <row r="79" spans="1:4" ht="15.6" x14ac:dyDescent="0.3">
      <c r="A79" s="151" t="s">
        <v>77</v>
      </c>
      <c r="B79" s="151"/>
      <c r="C79" s="151"/>
      <c r="D79" s="151"/>
    </row>
    <row r="80" spans="1:4" x14ac:dyDescent="0.25">
      <c r="A80" s="133"/>
      <c r="B80" s="134"/>
      <c r="C80" s="134"/>
      <c r="D80" s="133"/>
    </row>
    <row r="81" spans="1:4" x14ac:dyDescent="0.25">
      <c r="A81" s="135" t="s">
        <v>75</v>
      </c>
      <c r="B81" s="136" t="s">
        <v>156</v>
      </c>
      <c r="C81" s="136" t="s">
        <v>157</v>
      </c>
      <c r="D81" s="137" t="s">
        <v>65</v>
      </c>
    </row>
    <row r="82" spans="1:4" x14ac:dyDescent="0.25">
      <c r="A82" s="138" t="s">
        <v>188</v>
      </c>
      <c r="B82" s="144">
        <v>1051.81123</v>
      </c>
      <c r="C82" s="144">
        <v>2681.2141799999999</v>
      </c>
      <c r="D82" s="145">
        <f t="shared" ref="D82:D91" si="5">(C82-B82)/B82</f>
        <v>1.549140096174862</v>
      </c>
    </row>
    <row r="83" spans="1:4" x14ac:dyDescent="0.25">
      <c r="A83" s="138" t="s">
        <v>189</v>
      </c>
      <c r="B83" s="144">
        <v>1228.81167</v>
      </c>
      <c r="C83" s="144">
        <v>2910.0875900000001</v>
      </c>
      <c r="D83" s="145">
        <f t="shared" si="5"/>
        <v>1.3682128523405055</v>
      </c>
    </row>
    <row r="84" spans="1:4" x14ac:dyDescent="0.25">
      <c r="A84" s="138" t="s">
        <v>190</v>
      </c>
      <c r="B84" s="144">
        <v>14233.45181</v>
      </c>
      <c r="C84" s="144">
        <v>29834.169689999999</v>
      </c>
      <c r="D84" s="145">
        <f t="shared" si="5"/>
        <v>1.0960600484163228</v>
      </c>
    </row>
    <row r="85" spans="1:4" x14ac:dyDescent="0.25">
      <c r="A85" s="138" t="s">
        <v>191</v>
      </c>
      <c r="B85" s="144">
        <v>92.455200000000005</v>
      </c>
      <c r="C85" s="144">
        <v>182.07594</v>
      </c>
      <c r="D85" s="145">
        <f t="shared" si="5"/>
        <v>0.96934234093917915</v>
      </c>
    </row>
    <row r="86" spans="1:4" x14ac:dyDescent="0.25">
      <c r="A86" s="138" t="s">
        <v>192</v>
      </c>
      <c r="B86" s="144">
        <v>2536.4789300000002</v>
      </c>
      <c r="C86" s="144">
        <v>4625.0766800000001</v>
      </c>
      <c r="D86" s="145">
        <f t="shared" si="5"/>
        <v>0.82342404870676367</v>
      </c>
    </row>
    <row r="87" spans="1:4" x14ac:dyDescent="0.25">
      <c r="A87" s="138" t="s">
        <v>193</v>
      </c>
      <c r="B87" s="144">
        <v>509.34312</v>
      </c>
      <c r="C87" s="144">
        <v>919.25667999999996</v>
      </c>
      <c r="D87" s="145">
        <f t="shared" si="5"/>
        <v>0.80478864620768797</v>
      </c>
    </row>
    <row r="88" spans="1:4" x14ac:dyDescent="0.25">
      <c r="A88" s="138" t="s">
        <v>194</v>
      </c>
      <c r="B88" s="144">
        <v>1373.2110700000001</v>
      </c>
      <c r="C88" s="144">
        <v>2356.7572500000001</v>
      </c>
      <c r="D88" s="145">
        <f t="shared" si="5"/>
        <v>0.71623816723236877</v>
      </c>
    </row>
    <row r="89" spans="1:4" x14ac:dyDescent="0.25">
      <c r="A89" s="138" t="s">
        <v>195</v>
      </c>
      <c r="B89" s="144">
        <v>2000.13896</v>
      </c>
      <c r="C89" s="144">
        <v>3244.4598900000001</v>
      </c>
      <c r="D89" s="145">
        <f t="shared" si="5"/>
        <v>0.62211724029414439</v>
      </c>
    </row>
    <row r="90" spans="1:4" x14ac:dyDescent="0.25">
      <c r="A90" s="138" t="s">
        <v>196</v>
      </c>
      <c r="B90" s="144">
        <v>2532.3172100000002</v>
      </c>
      <c r="C90" s="144">
        <v>3954.9450900000002</v>
      </c>
      <c r="D90" s="145">
        <f t="shared" si="5"/>
        <v>0.56178897113762449</v>
      </c>
    </row>
    <row r="91" spans="1:4" x14ac:dyDescent="0.25">
      <c r="A91" s="138" t="s">
        <v>197</v>
      </c>
      <c r="B91" s="144">
        <v>2792.0913399999999</v>
      </c>
      <c r="C91" s="144">
        <v>4214.7193200000002</v>
      </c>
      <c r="D91" s="145">
        <f t="shared" si="5"/>
        <v>0.5095205732058895</v>
      </c>
    </row>
    <row r="92" spans="1:4" x14ac:dyDescent="0.25">
      <c r="A92" s="133" t="s">
        <v>221</v>
      </c>
      <c r="B92" s="134"/>
      <c r="C92" s="134"/>
      <c r="D92" s="13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topLeftCell="A4" zoomScale="80" zoomScaleNormal="80" workbookViewId="0">
      <selection activeCell="E52" sqref="E52"/>
    </sheetView>
  </sheetViews>
  <sheetFormatPr defaultColWidth="9.109375" defaultRowHeight="13.2" x14ac:dyDescent="0.25"/>
  <cols>
    <col min="1" max="1" width="44.6640625" style="18" customWidth="1"/>
    <col min="2" max="2" width="16" style="20" customWidth="1"/>
    <col min="3" max="3" width="16" style="18" customWidth="1"/>
    <col min="4" max="4" width="10.33203125" style="18" customWidth="1"/>
    <col min="5" max="5" width="14" style="18" bestFit="1" customWidth="1"/>
    <col min="6" max="7" width="15" style="18" bestFit="1" customWidth="1"/>
    <col min="8" max="8" width="10.5546875" style="18" bestFit="1" customWidth="1"/>
    <col min="9" max="9" width="14" style="18" bestFit="1" customWidth="1"/>
    <col min="10" max="11" width="14.33203125" style="18" bestFit="1" customWidth="1"/>
    <col min="12" max="12" width="10.5546875" style="18" bestFit="1" customWidth="1"/>
    <col min="13" max="13" width="10.6640625" style="18" bestFit="1" customWidth="1"/>
    <col min="14" max="16384" width="9.109375" style="18"/>
  </cols>
  <sheetData>
    <row r="1" spans="1:13" ht="24.6" x14ac:dyDescent="0.4">
      <c r="B1" s="150" t="s">
        <v>122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9"/>
    </row>
    <row r="3" spans="1:13" x14ac:dyDescent="0.25">
      <c r="D3" s="19"/>
    </row>
    <row r="4" spans="1:13" x14ac:dyDescent="0.25">
      <c r="B4" s="21"/>
      <c r="C4" s="19"/>
      <c r="D4" s="19"/>
      <c r="E4" s="19"/>
      <c r="F4" s="19"/>
      <c r="G4" s="19"/>
      <c r="H4" s="19"/>
      <c r="I4" s="19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94"/>
      <c r="B6" s="153" t="str">
        <f>SEKTOR_USD!B6</f>
        <v>1 - 31 OCAK</v>
      </c>
      <c r="C6" s="153"/>
      <c r="D6" s="153"/>
      <c r="E6" s="153"/>
      <c r="F6" s="153" t="str">
        <f>SEKTOR_USD!F6</f>
        <v>1 OCAK  -  31 OCAK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95" t="s">
        <v>1</v>
      </c>
      <c r="B7" s="96">
        <f>SEKTOR_USD!B7</f>
        <v>2019</v>
      </c>
      <c r="C7" s="97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8" t="s">
        <v>2</v>
      </c>
      <c r="B8" s="99">
        <f>SEKTOR_USD!B8*$B$53</f>
        <v>10090093.848549439</v>
      </c>
      <c r="C8" s="99">
        <f>SEKTOR_USD!C8*$C$53</f>
        <v>12147109.93575009</v>
      </c>
      <c r="D8" s="100">
        <f t="shared" ref="D8:D43" si="0">(C8-B8)/B8*100</f>
        <v>20.386491127596098</v>
      </c>
      <c r="E8" s="100">
        <f>C8/C$44*100</f>
        <v>15.149213330071568</v>
      </c>
      <c r="F8" s="99">
        <f>SEKTOR_USD!F8*$B$54</f>
        <v>10090093.848549439</v>
      </c>
      <c r="G8" s="99">
        <f>SEKTOR_USD!G8*$C$54</f>
        <v>12147109.93575009</v>
      </c>
      <c r="H8" s="100">
        <f t="shared" ref="H8:H43" si="1">(G8-F8)/F8*100</f>
        <v>20.386491127596098</v>
      </c>
      <c r="I8" s="100">
        <f>G8/G$44*100</f>
        <v>15.149213330071568</v>
      </c>
      <c r="J8" s="99">
        <f>SEKTOR_USD!J8*$B$55</f>
        <v>112385379.68968132</v>
      </c>
      <c r="K8" s="99">
        <f>SEKTOR_USD!K8*$C$55</f>
        <v>134919504.84469405</v>
      </c>
      <c r="L8" s="100">
        <f t="shared" ref="L8:L43" si="2">(K8-J8)/J8*100</f>
        <v>20.050762134037349</v>
      </c>
      <c r="M8" s="100">
        <f>K8/K$44*100</f>
        <v>14.135021928583811</v>
      </c>
    </row>
    <row r="9" spans="1:13" s="22" customFormat="1" ht="15.6" x14ac:dyDescent="0.3">
      <c r="A9" s="101" t="s">
        <v>3</v>
      </c>
      <c r="B9" s="99">
        <f>SEKTOR_USD!B9*$B$53</f>
        <v>6799987.8670800757</v>
      </c>
      <c r="C9" s="99">
        <f>SEKTOR_USD!C9*$C$53</f>
        <v>8215933.9789349092</v>
      </c>
      <c r="D9" s="102">
        <f t="shared" si="0"/>
        <v>20.822774092137355</v>
      </c>
      <c r="E9" s="102">
        <f t="shared" ref="E9:E44" si="3">C9/C$44*100</f>
        <v>10.24646497899526</v>
      </c>
      <c r="F9" s="99">
        <f>SEKTOR_USD!F9*$B$54</f>
        <v>6799987.8670800757</v>
      </c>
      <c r="G9" s="99">
        <f>SEKTOR_USD!G9*$C$54</f>
        <v>8215933.9789349092</v>
      </c>
      <c r="H9" s="102">
        <f t="shared" si="1"/>
        <v>20.822774092137355</v>
      </c>
      <c r="I9" s="102">
        <f t="shared" ref="I9:I44" si="4">G9/G$44*100</f>
        <v>10.24646497899526</v>
      </c>
      <c r="J9" s="99">
        <f>SEKTOR_USD!J9*$B$55</f>
        <v>74864781.325988024</v>
      </c>
      <c r="K9" s="99">
        <f>SEKTOR_USD!K9*$C$55</f>
        <v>88559579.225261673</v>
      </c>
      <c r="L9" s="102">
        <f t="shared" si="2"/>
        <v>18.292710746915297</v>
      </c>
      <c r="M9" s="102">
        <f t="shared" ref="M9:M44" si="5">K9/K$44*100</f>
        <v>9.2780624697382876</v>
      </c>
    </row>
    <row r="10" spans="1:13" ht="13.8" x14ac:dyDescent="0.25">
      <c r="A10" s="103" t="str">
        <f>SEKTOR_USD!A10</f>
        <v xml:space="preserve"> Hububat, Bakliyat, Yağlı Tohumlar ve Mamulleri </v>
      </c>
      <c r="B10" s="104">
        <f>SEKTOR_USD!B10*$B$53</f>
        <v>3003454.6735520614</v>
      </c>
      <c r="C10" s="104">
        <f>SEKTOR_USD!C10*$C$53</f>
        <v>3462178.6544384127</v>
      </c>
      <c r="D10" s="105">
        <f t="shared" si="0"/>
        <v>15.273211376412664</v>
      </c>
      <c r="E10" s="105">
        <f t="shared" si="3"/>
        <v>4.3178404822487408</v>
      </c>
      <c r="F10" s="104">
        <f>SEKTOR_USD!F10*$B$54</f>
        <v>3003454.6735520614</v>
      </c>
      <c r="G10" s="104">
        <f>SEKTOR_USD!G10*$C$54</f>
        <v>3462178.6544384127</v>
      </c>
      <c r="H10" s="105">
        <f t="shared" si="1"/>
        <v>15.273211376412664</v>
      </c>
      <c r="I10" s="105">
        <f t="shared" si="4"/>
        <v>4.3178404822487408</v>
      </c>
      <c r="J10" s="104">
        <f>SEKTOR_USD!J10*$B$55</f>
        <v>33257479.784500975</v>
      </c>
      <c r="K10" s="104">
        <f>SEKTOR_USD!K10*$C$55</f>
        <v>39010953.96769347</v>
      </c>
      <c r="L10" s="105">
        <f t="shared" si="2"/>
        <v>17.299790063689052</v>
      </c>
      <c r="M10" s="105">
        <f t="shared" si="5"/>
        <v>4.0870346390839609</v>
      </c>
    </row>
    <row r="11" spans="1:13" ht="13.8" x14ac:dyDescent="0.25">
      <c r="A11" s="103" t="str">
        <f>SEKTOR_USD!A11</f>
        <v xml:space="preserve"> Yaş Meyve ve Sebze  </v>
      </c>
      <c r="B11" s="104">
        <f>SEKTOR_USD!B11*$B$53</f>
        <v>1068188.0839592584</v>
      </c>
      <c r="C11" s="104">
        <f>SEKTOR_USD!C11*$C$53</f>
        <v>1518042.5493586177</v>
      </c>
      <c r="D11" s="105">
        <f t="shared" si="0"/>
        <v>42.113788026165359</v>
      </c>
      <c r="E11" s="105">
        <f t="shared" si="3"/>
        <v>1.8932199137077548</v>
      </c>
      <c r="F11" s="104">
        <f>SEKTOR_USD!F11*$B$54</f>
        <v>1068188.0839592584</v>
      </c>
      <c r="G11" s="104">
        <f>SEKTOR_USD!G11*$C$54</f>
        <v>1518042.5493586177</v>
      </c>
      <c r="H11" s="105">
        <f t="shared" si="1"/>
        <v>42.113788026165359</v>
      </c>
      <c r="I11" s="105">
        <f t="shared" si="4"/>
        <v>1.8932199137077548</v>
      </c>
      <c r="J11" s="104">
        <f>SEKTOR_USD!J11*$B$55</f>
        <v>11429203.825278116</v>
      </c>
      <c r="K11" s="104">
        <f>SEKTOR_USD!K11*$C$55</f>
        <v>13277644.139755363</v>
      </c>
      <c r="L11" s="105">
        <f t="shared" si="2"/>
        <v>16.172957825715095</v>
      </c>
      <c r="M11" s="105">
        <f t="shared" si="5"/>
        <v>1.3910501027365372</v>
      </c>
    </row>
    <row r="12" spans="1:13" ht="13.8" x14ac:dyDescent="0.25">
      <c r="A12" s="103" t="str">
        <f>SEKTOR_USD!A12</f>
        <v xml:space="preserve"> Meyve Sebze Mamulleri </v>
      </c>
      <c r="B12" s="104">
        <f>SEKTOR_USD!B12*$B$53</f>
        <v>672687.92940215953</v>
      </c>
      <c r="C12" s="104">
        <f>SEKTOR_USD!C12*$C$53</f>
        <v>783494.43457523524</v>
      </c>
      <c r="D12" s="105">
        <f t="shared" si="0"/>
        <v>16.47220060445461</v>
      </c>
      <c r="E12" s="105">
        <f t="shared" si="3"/>
        <v>0.97713154775783317</v>
      </c>
      <c r="F12" s="104">
        <f>SEKTOR_USD!F12*$B$54</f>
        <v>672687.92940215953</v>
      </c>
      <c r="G12" s="104">
        <f>SEKTOR_USD!G12*$C$54</f>
        <v>783494.43457523524</v>
      </c>
      <c r="H12" s="105">
        <f t="shared" si="1"/>
        <v>16.47220060445461</v>
      </c>
      <c r="I12" s="105">
        <f t="shared" si="4"/>
        <v>0.97713154775783317</v>
      </c>
      <c r="J12" s="104">
        <f>SEKTOR_USD!J12*$B$55</f>
        <v>7803374.673572625</v>
      </c>
      <c r="K12" s="104">
        <f>SEKTOR_USD!K12*$C$55</f>
        <v>8909532.8628854845</v>
      </c>
      <c r="L12" s="105">
        <f t="shared" si="2"/>
        <v>14.175382261972386</v>
      </c>
      <c r="M12" s="105">
        <f t="shared" si="5"/>
        <v>0.9334190970778462</v>
      </c>
    </row>
    <row r="13" spans="1:13" ht="13.8" x14ac:dyDescent="0.25">
      <c r="A13" s="103" t="str">
        <f>SEKTOR_USD!A13</f>
        <v xml:space="preserve"> Kuru Meyve ve Mamulleri  </v>
      </c>
      <c r="B13" s="104">
        <f>SEKTOR_USD!B13*$B$53</f>
        <v>601282.97538087261</v>
      </c>
      <c r="C13" s="104">
        <f>SEKTOR_USD!C13*$C$53</f>
        <v>676087.51557061635</v>
      </c>
      <c r="D13" s="105">
        <f t="shared" si="0"/>
        <v>12.440821252648981</v>
      </c>
      <c r="E13" s="105">
        <f t="shared" si="3"/>
        <v>0.84317949350516763</v>
      </c>
      <c r="F13" s="104">
        <f>SEKTOR_USD!F13*$B$54</f>
        <v>601282.97538087261</v>
      </c>
      <c r="G13" s="104">
        <f>SEKTOR_USD!G13*$C$54</f>
        <v>676087.51557061635</v>
      </c>
      <c r="H13" s="105">
        <f t="shared" si="1"/>
        <v>12.440821252648981</v>
      </c>
      <c r="I13" s="105">
        <f t="shared" si="4"/>
        <v>0.84317949350516763</v>
      </c>
      <c r="J13" s="104">
        <f>SEKTOR_USD!J13*$B$55</f>
        <v>6911461.4981298652</v>
      </c>
      <c r="K13" s="104">
        <f>SEKTOR_USD!K13*$C$55</f>
        <v>8130227.1607740596</v>
      </c>
      <c r="L13" s="105">
        <f t="shared" si="2"/>
        <v>17.633978905532118</v>
      </c>
      <c r="M13" s="105">
        <f t="shared" si="5"/>
        <v>0.85177409548155858</v>
      </c>
    </row>
    <row r="14" spans="1:13" ht="13.8" x14ac:dyDescent="0.25">
      <c r="A14" s="103" t="str">
        <f>SEKTOR_USD!A14</f>
        <v xml:space="preserve"> Fındık ve Mamulleri </v>
      </c>
      <c r="B14" s="104">
        <f>SEKTOR_USD!B14*$B$53</f>
        <v>816224.48199493589</v>
      </c>
      <c r="C14" s="104">
        <f>SEKTOR_USD!C14*$C$53</f>
        <v>1097129.9201166732</v>
      </c>
      <c r="D14" s="105">
        <f t="shared" si="0"/>
        <v>34.415218401091792</v>
      </c>
      <c r="E14" s="105">
        <f t="shared" si="3"/>
        <v>1.3682806279488509</v>
      </c>
      <c r="F14" s="104">
        <f>SEKTOR_USD!F14*$B$54</f>
        <v>816224.48199493589</v>
      </c>
      <c r="G14" s="104">
        <f>SEKTOR_USD!G14*$C$54</f>
        <v>1097129.9201166732</v>
      </c>
      <c r="H14" s="105">
        <f t="shared" si="1"/>
        <v>34.415218401091792</v>
      </c>
      <c r="I14" s="105">
        <f t="shared" si="4"/>
        <v>1.3682806279488509</v>
      </c>
      <c r="J14" s="104">
        <f>SEKTOR_USD!J14*$B$55</f>
        <v>8109326.8788885586</v>
      </c>
      <c r="K14" s="104">
        <f>SEKTOR_USD!K14*$C$55</f>
        <v>11825093.904584862</v>
      </c>
      <c r="L14" s="105">
        <f t="shared" si="2"/>
        <v>45.820905744590931</v>
      </c>
      <c r="M14" s="105">
        <f t="shared" si="5"/>
        <v>1.2388717394217679</v>
      </c>
    </row>
    <row r="15" spans="1:13" ht="13.8" x14ac:dyDescent="0.25">
      <c r="A15" s="103" t="str">
        <f>SEKTOR_USD!A15</f>
        <v xml:space="preserve"> Zeytin ve Zeytinyağı </v>
      </c>
      <c r="B15" s="104">
        <f>SEKTOR_USD!B15*$B$53</f>
        <v>150159.17932183502</v>
      </c>
      <c r="C15" s="104">
        <f>SEKTOR_USD!C15*$C$53</f>
        <v>144865.79240031738</v>
      </c>
      <c r="D15" s="105">
        <f t="shared" si="0"/>
        <v>-3.5251837053346988</v>
      </c>
      <c r="E15" s="105">
        <f t="shared" si="3"/>
        <v>0.18066871913650387</v>
      </c>
      <c r="F15" s="104">
        <f>SEKTOR_USD!F15*$B$54</f>
        <v>150159.17932183502</v>
      </c>
      <c r="G15" s="104">
        <f>SEKTOR_USD!G15*$C$54</f>
        <v>144865.79240031738</v>
      </c>
      <c r="H15" s="105">
        <f t="shared" si="1"/>
        <v>-3.5251837053346988</v>
      </c>
      <c r="I15" s="105">
        <f t="shared" si="4"/>
        <v>0.18066871913650387</v>
      </c>
      <c r="J15" s="104">
        <f>SEKTOR_USD!J15*$B$55</f>
        <v>1809196.0806470029</v>
      </c>
      <c r="K15" s="104">
        <f>SEKTOR_USD!K15*$C$55</f>
        <v>1598512.0172027554</v>
      </c>
      <c r="L15" s="105">
        <f t="shared" si="2"/>
        <v>-11.645175760545692</v>
      </c>
      <c r="M15" s="105">
        <f t="shared" si="5"/>
        <v>0.16747024414501677</v>
      </c>
    </row>
    <row r="16" spans="1:13" ht="13.8" x14ac:dyDescent="0.25">
      <c r="A16" s="103" t="str">
        <f>SEKTOR_USD!A16</f>
        <v xml:space="preserve"> Tütün </v>
      </c>
      <c r="B16" s="104">
        <f>SEKTOR_USD!B16*$B$53</f>
        <v>442682.88485000341</v>
      </c>
      <c r="C16" s="104">
        <f>SEKTOR_USD!C16*$C$53</f>
        <v>468822.24599891831</v>
      </c>
      <c r="D16" s="105">
        <f t="shared" si="0"/>
        <v>5.9047598277425708</v>
      </c>
      <c r="E16" s="105">
        <f t="shared" si="3"/>
        <v>0.58468954805605244</v>
      </c>
      <c r="F16" s="104">
        <f>SEKTOR_USD!F16*$B$54</f>
        <v>442682.88485000341</v>
      </c>
      <c r="G16" s="104">
        <f>SEKTOR_USD!G16*$C$54</f>
        <v>468822.24599891831</v>
      </c>
      <c r="H16" s="105">
        <f t="shared" si="1"/>
        <v>5.9047598277425708</v>
      </c>
      <c r="I16" s="105">
        <f t="shared" si="4"/>
        <v>0.58468954805605244</v>
      </c>
      <c r="J16" s="104">
        <f>SEKTOR_USD!J16*$B$55</f>
        <v>5052514.8131041182</v>
      </c>
      <c r="K16" s="104">
        <f>SEKTOR_USD!K16*$C$55</f>
        <v>5183044.8095031632</v>
      </c>
      <c r="L16" s="105">
        <f t="shared" si="2"/>
        <v>2.5834658823860259</v>
      </c>
      <c r="M16" s="105">
        <f t="shared" si="5"/>
        <v>0.54300860445264887</v>
      </c>
    </row>
    <row r="17" spans="1:13" ht="13.8" x14ac:dyDescent="0.25">
      <c r="A17" s="103" t="str">
        <f>SEKTOR_USD!A17</f>
        <v xml:space="preserve"> Süs Bitkileri ve Mam.</v>
      </c>
      <c r="B17" s="104">
        <f>SEKTOR_USD!B17*$B$53</f>
        <v>45307.658618949805</v>
      </c>
      <c r="C17" s="104">
        <f>SEKTOR_USD!C17*$C$53</f>
        <v>65312.866476118972</v>
      </c>
      <c r="D17" s="105">
        <f t="shared" si="0"/>
        <v>44.154141853629234</v>
      </c>
      <c r="E17" s="105">
        <f t="shared" si="3"/>
        <v>8.1454646634356614E-2</v>
      </c>
      <c r="F17" s="104">
        <f>SEKTOR_USD!F17*$B$54</f>
        <v>45307.658618949805</v>
      </c>
      <c r="G17" s="104">
        <f>SEKTOR_USD!G17*$C$54</f>
        <v>65312.866476118972</v>
      </c>
      <c r="H17" s="105">
        <f t="shared" si="1"/>
        <v>44.154141853629234</v>
      </c>
      <c r="I17" s="105">
        <f t="shared" si="4"/>
        <v>8.1454646634356614E-2</v>
      </c>
      <c r="J17" s="104">
        <f>SEKTOR_USD!J17*$B$55</f>
        <v>492223.7718667654</v>
      </c>
      <c r="K17" s="104">
        <f>SEKTOR_USD!K17*$C$55</f>
        <v>624570.36286252225</v>
      </c>
      <c r="L17" s="105">
        <f t="shared" si="2"/>
        <v>26.887484627942815</v>
      </c>
      <c r="M17" s="105">
        <f t="shared" si="5"/>
        <v>6.5433947338952803E-2</v>
      </c>
    </row>
    <row r="18" spans="1:13" s="22" customFormat="1" ht="15.6" x14ac:dyDescent="0.3">
      <c r="A18" s="101" t="s">
        <v>12</v>
      </c>
      <c r="B18" s="99">
        <f>SEKTOR_USD!B18*$B$53</f>
        <v>1183045.1607812908</v>
      </c>
      <c r="C18" s="99">
        <f>SEKTOR_USD!C18*$C$53</f>
        <v>1242687.7484524257</v>
      </c>
      <c r="D18" s="102">
        <f t="shared" si="0"/>
        <v>5.0414464002157358</v>
      </c>
      <c r="E18" s="102">
        <f t="shared" si="3"/>
        <v>1.5498124165787104</v>
      </c>
      <c r="F18" s="99">
        <f>SEKTOR_USD!F18*$B$54</f>
        <v>1183045.1607812908</v>
      </c>
      <c r="G18" s="99">
        <f>SEKTOR_USD!G18*$C$54</f>
        <v>1242687.7484524257</v>
      </c>
      <c r="H18" s="102">
        <f t="shared" si="1"/>
        <v>5.0414464002157358</v>
      </c>
      <c r="I18" s="102">
        <f t="shared" si="4"/>
        <v>1.5498124165787104</v>
      </c>
      <c r="J18" s="99">
        <f>SEKTOR_USD!J18*$B$55</f>
        <v>12489823.834234715</v>
      </c>
      <c r="K18" s="99">
        <f>SEKTOR_USD!K18*$C$55</f>
        <v>14334622.176293321</v>
      </c>
      <c r="L18" s="102">
        <f t="shared" si="2"/>
        <v>14.770411228715638</v>
      </c>
      <c r="M18" s="102">
        <f t="shared" si="5"/>
        <v>1.5017858169069487</v>
      </c>
    </row>
    <row r="19" spans="1:13" ht="13.8" x14ac:dyDescent="0.25">
      <c r="A19" s="103" t="str">
        <f>SEKTOR_USD!A19</f>
        <v xml:space="preserve"> Su Ürünleri ve Hayvansal Mamuller</v>
      </c>
      <c r="B19" s="104">
        <f>SEKTOR_USD!B19*$B$53</f>
        <v>1183045.1607812908</v>
      </c>
      <c r="C19" s="104">
        <f>SEKTOR_USD!C19*$C$53</f>
        <v>1242687.7484524257</v>
      </c>
      <c r="D19" s="105">
        <f t="shared" si="0"/>
        <v>5.0414464002157358</v>
      </c>
      <c r="E19" s="105">
        <f t="shared" si="3"/>
        <v>1.5498124165787104</v>
      </c>
      <c r="F19" s="104">
        <f>SEKTOR_USD!F19*$B$54</f>
        <v>1183045.1607812908</v>
      </c>
      <c r="G19" s="104">
        <f>SEKTOR_USD!G19*$C$54</f>
        <v>1242687.7484524257</v>
      </c>
      <c r="H19" s="105">
        <f t="shared" si="1"/>
        <v>5.0414464002157358</v>
      </c>
      <c r="I19" s="105">
        <f t="shared" si="4"/>
        <v>1.5498124165787104</v>
      </c>
      <c r="J19" s="104">
        <f>SEKTOR_USD!J19*$B$55</f>
        <v>12489823.834234715</v>
      </c>
      <c r="K19" s="104">
        <f>SEKTOR_USD!K19*$C$55</f>
        <v>14334622.176293321</v>
      </c>
      <c r="L19" s="105">
        <f t="shared" si="2"/>
        <v>14.770411228715638</v>
      </c>
      <c r="M19" s="105">
        <f t="shared" si="5"/>
        <v>1.5017858169069487</v>
      </c>
    </row>
    <row r="20" spans="1:13" s="22" customFormat="1" ht="15.6" x14ac:dyDescent="0.3">
      <c r="A20" s="101" t="s">
        <v>110</v>
      </c>
      <c r="B20" s="99">
        <f>SEKTOR_USD!B20*$B$53</f>
        <v>2107060.8206880717</v>
      </c>
      <c r="C20" s="99">
        <f>SEKTOR_USD!C20*$C$53</f>
        <v>2688488.2083627549</v>
      </c>
      <c r="D20" s="102">
        <f t="shared" si="0"/>
        <v>27.594238475034388</v>
      </c>
      <c r="E20" s="102">
        <f t="shared" si="3"/>
        <v>3.3529359344975966</v>
      </c>
      <c r="F20" s="99">
        <f>SEKTOR_USD!F20*$B$54</f>
        <v>2107060.8206880717</v>
      </c>
      <c r="G20" s="99">
        <f>SEKTOR_USD!G20*$C$54</f>
        <v>2688488.2083627549</v>
      </c>
      <c r="H20" s="102">
        <f t="shared" si="1"/>
        <v>27.594238475034388</v>
      </c>
      <c r="I20" s="102">
        <f t="shared" si="4"/>
        <v>3.3529359344975966</v>
      </c>
      <c r="J20" s="99">
        <f>SEKTOR_USD!J20*$B$55</f>
        <v>25030774.529458586</v>
      </c>
      <c r="K20" s="99">
        <f>SEKTOR_USD!K20*$C$55</f>
        <v>32025303.443139046</v>
      </c>
      <c r="L20" s="102">
        <f t="shared" si="2"/>
        <v>27.943717464470129</v>
      </c>
      <c r="M20" s="102">
        <f t="shared" si="5"/>
        <v>3.3551736419385727</v>
      </c>
    </row>
    <row r="21" spans="1:13" ht="13.8" x14ac:dyDescent="0.25">
      <c r="A21" s="103" t="str">
        <f>SEKTOR_USD!A21</f>
        <v xml:space="preserve"> Mobilya,Kağıt ve Orman Ürünleri</v>
      </c>
      <c r="B21" s="104">
        <f>SEKTOR_USD!B21*$B$53</f>
        <v>2107060.8206880717</v>
      </c>
      <c r="C21" s="104">
        <f>SEKTOR_USD!C21*$C$53</f>
        <v>2688488.2083627549</v>
      </c>
      <c r="D21" s="105">
        <f t="shared" si="0"/>
        <v>27.594238475034388</v>
      </c>
      <c r="E21" s="105">
        <f t="shared" si="3"/>
        <v>3.3529359344975966</v>
      </c>
      <c r="F21" s="104">
        <f>SEKTOR_USD!F21*$B$54</f>
        <v>2107060.8206880717</v>
      </c>
      <c r="G21" s="104">
        <f>SEKTOR_USD!G21*$C$54</f>
        <v>2688488.2083627549</v>
      </c>
      <c r="H21" s="105">
        <f t="shared" si="1"/>
        <v>27.594238475034388</v>
      </c>
      <c r="I21" s="105">
        <f t="shared" si="4"/>
        <v>3.3529359344975966</v>
      </c>
      <c r="J21" s="104">
        <f>SEKTOR_USD!J21*$B$55</f>
        <v>25030774.529458586</v>
      </c>
      <c r="K21" s="104">
        <f>SEKTOR_USD!K21*$C$55</f>
        <v>32025303.443139046</v>
      </c>
      <c r="L21" s="105">
        <f t="shared" si="2"/>
        <v>27.943717464470129</v>
      </c>
      <c r="M21" s="105">
        <f t="shared" si="5"/>
        <v>3.3551736419385727</v>
      </c>
    </row>
    <row r="22" spans="1:13" ht="16.8" x14ac:dyDescent="0.3">
      <c r="A22" s="98" t="s">
        <v>14</v>
      </c>
      <c r="B22" s="99">
        <f>SEKTOR_USD!B22*$B$53</f>
        <v>56912822.926917031</v>
      </c>
      <c r="C22" s="99">
        <f>SEKTOR_USD!C22*$C$53</f>
        <v>66078752.133959554</v>
      </c>
      <c r="D22" s="102">
        <f t="shared" si="0"/>
        <v>16.105209222906915</v>
      </c>
      <c r="E22" s="102">
        <f t="shared" si="3"/>
        <v>82.409817475687504</v>
      </c>
      <c r="F22" s="99">
        <f>SEKTOR_USD!F22*$B$54</f>
        <v>56912822.926917031</v>
      </c>
      <c r="G22" s="99">
        <f>SEKTOR_USD!G22*$C$54</f>
        <v>66078752.133959554</v>
      </c>
      <c r="H22" s="102">
        <f t="shared" si="1"/>
        <v>16.105209222906915</v>
      </c>
      <c r="I22" s="102">
        <f t="shared" si="4"/>
        <v>82.409817475687504</v>
      </c>
      <c r="J22" s="99">
        <f>SEKTOR_USD!J22*$B$55</f>
        <v>680584128.97935224</v>
      </c>
      <c r="K22" s="99">
        <f>SEKTOR_USD!K22*$C$55</f>
        <v>794747953.73424494</v>
      </c>
      <c r="L22" s="102">
        <f t="shared" si="2"/>
        <v>16.774388336986366</v>
      </c>
      <c r="M22" s="102">
        <f t="shared" si="5"/>
        <v>83.262829689909367</v>
      </c>
    </row>
    <row r="23" spans="1:13" s="22" customFormat="1" ht="15.6" x14ac:dyDescent="0.3">
      <c r="A23" s="101" t="s">
        <v>15</v>
      </c>
      <c r="B23" s="99">
        <f>SEKTOR_USD!B23*$B$53</f>
        <v>5229224.2955613052</v>
      </c>
      <c r="C23" s="99">
        <f>SEKTOR_USD!C23*$C$53</f>
        <v>6095219.0637876829</v>
      </c>
      <c r="D23" s="102">
        <f t="shared" si="0"/>
        <v>16.560673615806753</v>
      </c>
      <c r="E23" s="102">
        <f t="shared" si="3"/>
        <v>7.601624944471765</v>
      </c>
      <c r="F23" s="99">
        <f>SEKTOR_USD!F23*$B$54</f>
        <v>5229224.2955613052</v>
      </c>
      <c r="G23" s="99">
        <f>SEKTOR_USD!G23*$C$54</f>
        <v>6095219.0637876829</v>
      </c>
      <c r="H23" s="102">
        <f t="shared" si="1"/>
        <v>16.560673615806753</v>
      </c>
      <c r="I23" s="102">
        <f t="shared" si="4"/>
        <v>7.601624944471765</v>
      </c>
      <c r="J23" s="99">
        <f>SEKTOR_USD!J23*$B$55</f>
        <v>61567304.759221591</v>
      </c>
      <c r="K23" s="99">
        <f>SEKTOR_USD!K23*$C$55</f>
        <v>69716364.533305213</v>
      </c>
      <c r="L23" s="102">
        <f t="shared" si="2"/>
        <v>13.236018380133899</v>
      </c>
      <c r="M23" s="102">
        <f t="shared" si="5"/>
        <v>7.3039279427667276</v>
      </c>
    </row>
    <row r="24" spans="1:13" ht="13.8" x14ac:dyDescent="0.25">
      <c r="A24" s="103" t="str">
        <f>SEKTOR_USD!A24</f>
        <v xml:space="preserve"> Tekstil ve Hammaddeleri</v>
      </c>
      <c r="B24" s="104">
        <f>SEKTOR_USD!B24*$B$53</f>
        <v>3623172.2850951543</v>
      </c>
      <c r="C24" s="104">
        <f>SEKTOR_USD!C24*$C$53</f>
        <v>3991415.7436867277</v>
      </c>
      <c r="D24" s="105">
        <f t="shared" si="0"/>
        <v>10.163564678015369</v>
      </c>
      <c r="E24" s="105">
        <f t="shared" si="3"/>
        <v>4.9778761293792995</v>
      </c>
      <c r="F24" s="104">
        <f>SEKTOR_USD!F24*$B$54</f>
        <v>3623172.2850951543</v>
      </c>
      <c r="G24" s="104">
        <f>SEKTOR_USD!G24*$C$54</f>
        <v>3991415.7436867277</v>
      </c>
      <c r="H24" s="105">
        <f t="shared" si="1"/>
        <v>10.163564678015369</v>
      </c>
      <c r="I24" s="105">
        <f t="shared" si="4"/>
        <v>4.9778761293792995</v>
      </c>
      <c r="J24" s="104">
        <f>SEKTOR_USD!J24*$B$55</f>
        <v>41933684.265675947</v>
      </c>
      <c r="K24" s="104">
        <f>SEKTOR_USD!K24*$C$55</f>
        <v>45337223.018852428</v>
      </c>
      <c r="L24" s="105">
        <f t="shared" si="2"/>
        <v>8.1164791808250083</v>
      </c>
      <c r="M24" s="105">
        <f t="shared" si="5"/>
        <v>4.7498146564519947</v>
      </c>
    </row>
    <row r="25" spans="1:13" ht="13.8" x14ac:dyDescent="0.25">
      <c r="A25" s="103" t="str">
        <f>SEKTOR_USD!A25</f>
        <v xml:space="preserve"> Deri ve Deri Mamulleri </v>
      </c>
      <c r="B25" s="104">
        <f>SEKTOR_USD!B25*$B$53</f>
        <v>626543.71468727814</v>
      </c>
      <c r="C25" s="104">
        <f>SEKTOR_USD!C25*$C$53</f>
        <v>790565.59830871888</v>
      </c>
      <c r="D25" s="105">
        <f t="shared" si="0"/>
        <v>26.178841120975527</v>
      </c>
      <c r="E25" s="105">
        <f t="shared" si="3"/>
        <v>0.98595031769216446</v>
      </c>
      <c r="F25" s="104">
        <f>SEKTOR_USD!F25*$B$54</f>
        <v>626543.71468727814</v>
      </c>
      <c r="G25" s="104">
        <f>SEKTOR_USD!G25*$C$54</f>
        <v>790565.59830871888</v>
      </c>
      <c r="H25" s="105">
        <f t="shared" si="1"/>
        <v>26.178841120975527</v>
      </c>
      <c r="I25" s="105">
        <f t="shared" si="4"/>
        <v>0.98595031769216446</v>
      </c>
      <c r="J25" s="104">
        <f>SEKTOR_USD!J25*$B$55</f>
        <v>8307079.0690984111</v>
      </c>
      <c r="K25" s="104">
        <f>SEKTOR_USD!K25*$C$55</f>
        <v>9638003.7325138953</v>
      </c>
      <c r="L25" s="105">
        <f t="shared" si="2"/>
        <v>16.021572111506732</v>
      </c>
      <c r="M25" s="105">
        <f t="shared" si="5"/>
        <v>1.0097383196275058</v>
      </c>
    </row>
    <row r="26" spans="1:13" ht="13.8" x14ac:dyDescent="0.25">
      <c r="A26" s="103" t="str">
        <f>SEKTOR_USD!A26</f>
        <v xml:space="preserve"> Halı </v>
      </c>
      <c r="B26" s="104">
        <f>SEKTOR_USD!B26*$B$53</f>
        <v>979508.29577887314</v>
      </c>
      <c r="C26" s="104">
        <f>SEKTOR_USD!C26*$C$53</f>
        <v>1313237.7217922362</v>
      </c>
      <c r="D26" s="105">
        <f t="shared" si="0"/>
        <v>34.071117871236837</v>
      </c>
      <c r="E26" s="105">
        <f t="shared" si="3"/>
        <v>1.6377984974003008</v>
      </c>
      <c r="F26" s="104">
        <f>SEKTOR_USD!F26*$B$54</f>
        <v>979508.29577887314</v>
      </c>
      <c r="G26" s="104">
        <f>SEKTOR_USD!G26*$C$54</f>
        <v>1313237.7217922362</v>
      </c>
      <c r="H26" s="105">
        <f t="shared" si="1"/>
        <v>34.071117871236837</v>
      </c>
      <c r="I26" s="105">
        <f t="shared" si="4"/>
        <v>1.6377984974003008</v>
      </c>
      <c r="J26" s="104">
        <f>SEKTOR_USD!J26*$B$55</f>
        <v>11326541.424447229</v>
      </c>
      <c r="K26" s="104">
        <f>SEKTOR_USD!K26*$C$55</f>
        <v>14741137.781938888</v>
      </c>
      <c r="L26" s="105">
        <f t="shared" si="2"/>
        <v>30.146857981921894</v>
      </c>
      <c r="M26" s="105">
        <f t="shared" si="5"/>
        <v>1.5443749666872266</v>
      </c>
    </row>
    <row r="27" spans="1:13" s="22" customFormat="1" ht="15.6" x14ac:dyDescent="0.3">
      <c r="A27" s="101" t="s">
        <v>19</v>
      </c>
      <c r="B27" s="99">
        <f>SEKTOR_USD!B27*$B$53</f>
        <v>8241078.4091912778</v>
      </c>
      <c r="C27" s="99">
        <f>SEKTOR_USD!C27*$C$53</f>
        <v>10073351.281908058</v>
      </c>
      <c r="D27" s="102">
        <f t="shared" si="0"/>
        <v>22.233411475289998</v>
      </c>
      <c r="E27" s="102">
        <f t="shared" si="3"/>
        <v>12.56293458489653</v>
      </c>
      <c r="F27" s="99">
        <f>SEKTOR_USD!F27*$B$54</f>
        <v>8241078.4091912778</v>
      </c>
      <c r="G27" s="99">
        <f>SEKTOR_USD!G27*$C$54</f>
        <v>10073351.281908058</v>
      </c>
      <c r="H27" s="102">
        <f t="shared" si="1"/>
        <v>22.233411475289998</v>
      </c>
      <c r="I27" s="102">
        <f t="shared" si="4"/>
        <v>12.56293458489653</v>
      </c>
      <c r="J27" s="99">
        <f>SEKTOR_USD!J27*$B$55</f>
        <v>87155555.525791973</v>
      </c>
      <c r="K27" s="99">
        <f>SEKTOR_USD!K27*$C$55</f>
        <v>118829102.3775132</v>
      </c>
      <c r="L27" s="102">
        <f t="shared" si="2"/>
        <v>36.341397471040231</v>
      </c>
      <c r="M27" s="102">
        <f t="shared" si="5"/>
        <v>12.449289447019009</v>
      </c>
    </row>
    <row r="28" spans="1:13" ht="13.8" x14ac:dyDescent="0.25">
      <c r="A28" s="103" t="str">
        <f>SEKTOR_USD!A28</f>
        <v xml:space="preserve"> Kimyevi Maddeler ve Mamulleri  </v>
      </c>
      <c r="B28" s="104">
        <f>SEKTOR_USD!B28*$B$53</f>
        <v>8241078.4091912778</v>
      </c>
      <c r="C28" s="104">
        <f>SEKTOR_USD!C28*$C$53</f>
        <v>10073351.281908058</v>
      </c>
      <c r="D28" s="105">
        <f t="shared" si="0"/>
        <v>22.233411475289998</v>
      </c>
      <c r="E28" s="105">
        <f t="shared" si="3"/>
        <v>12.56293458489653</v>
      </c>
      <c r="F28" s="104">
        <f>SEKTOR_USD!F28*$B$54</f>
        <v>8241078.4091912778</v>
      </c>
      <c r="G28" s="104">
        <f>SEKTOR_USD!G28*$C$54</f>
        <v>10073351.281908058</v>
      </c>
      <c r="H28" s="105">
        <f t="shared" si="1"/>
        <v>22.233411475289998</v>
      </c>
      <c r="I28" s="105">
        <f t="shared" si="4"/>
        <v>12.56293458489653</v>
      </c>
      <c r="J28" s="104">
        <f>SEKTOR_USD!J28*$B$55</f>
        <v>87155555.525791973</v>
      </c>
      <c r="K28" s="104">
        <f>SEKTOR_USD!K28*$C$55</f>
        <v>118829102.3775132</v>
      </c>
      <c r="L28" s="105">
        <f t="shared" si="2"/>
        <v>36.341397471040231</v>
      </c>
      <c r="M28" s="105">
        <f t="shared" si="5"/>
        <v>12.449289447019009</v>
      </c>
    </row>
    <row r="29" spans="1:13" s="22" customFormat="1" ht="15.6" x14ac:dyDescent="0.3">
      <c r="A29" s="101" t="s">
        <v>21</v>
      </c>
      <c r="B29" s="99">
        <f>SEKTOR_USD!B29*$B$53</f>
        <v>43442520.222164452</v>
      </c>
      <c r="C29" s="99">
        <f>SEKTOR_USD!C29*$C$53</f>
        <v>49910181.788263813</v>
      </c>
      <c r="D29" s="102">
        <f t="shared" si="0"/>
        <v>14.887859942341809</v>
      </c>
      <c r="E29" s="102">
        <f t="shared" si="3"/>
        <v>62.245257946319214</v>
      </c>
      <c r="F29" s="99">
        <f>SEKTOR_USD!F29*$B$54</f>
        <v>43442520.222164452</v>
      </c>
      <c r="G29" s="99">
        <f>SEKTOR_USD!G29*$C$54</f>
        <v>49910181.788263813</v>
      </c>
      <c r="H29" s="102">
        <f t="shared" si="1"/>
        <v>14.887859942341809</v>
      </c>
      <c r="I29" s="102">
        <f t="shared" si="4"/>
        <v>62.245257946319214</v>
      </c>
      <c r="J29" s="99">
        <f>SEKTOR_USD!J29*$B$55</f>
        <v>531861268.69433868</v>
      </c>
      <c r="K29" s="99">
        <f>SEKTOR_USD!K29*$C$55</f>
        <v>606202486.82342649</v>
      </c>
      <c r="L29" s="102">
        <f t="shared" si="2"/>
        <v>13.977558153762045</v>
      </c>
      <c r="M29" s="102">
        <f t="shared" si="5"/>
        <v>63.509612300123628</v>
      </c>
    </row>
    <row r="30" spans="1:13" ht="13.8" x14ac:dyDescent="0.25">
      <c r="A30" s="103" t="str">
        <f>SEKTOR_USD!A30</f>
        <v xml:space="preserve"> Hazırgiyim ve Konfeksiyon </v>
      </c>
      <c r="B30" s="104">
        <f>SEKTOR_USD!B30*$B$53</f>
        <v>7583332.4479732374</v>
      </c>
      <c r="C30" s="104">
        <f>SEKTOR_USD!C30*$C$53</f>
        <v>8860092.0601692759</v>
      </c>
      <c r="D30" s="105">
        <f t="shared" si="0"/>
        <v>16.836392456159192</v>
      </c>
      <c r="E30" s="105">
        <f t="shared" si="3"/>
        <v>11.049823822582312</v>
      </c>
      <c r="F30" s="104">
        <f>SEKTOR_USD!F30*$B$54</f>
        <v>7583332.4479732374</v>
      </c>
      <c r="G30" s="104">
        <f>SEKTOR_USD!G30*$C$54</f>
        <v>8860092.0601692759</v>
      </c>
      <c r="H30" s="105">
        <f t="shared" si="1"/>
        <v>16.836392456159192</v>
      </c>
      <c r="I30" s="105">
        <f t="shared" si="4"/>
        <v>11.049823822582312</v>
      </c>
      <c r="J30" s="104">
        <f>SEKTOR_USD!J30*$B$55</f>
        <v>87549784.428054795</v>
      </c>
      <c r="K30" s="104">
        <f>SEKTOR_USD!K30*$C$55</f>
        <v>101798519.60237084</v>
      </c>
      <c r="L30" s="105">
        <f t="shared" si="2"/>
        <v>16.275008861986564</v>
      </c>
      <c r="M30" s="105">
        <f t="shared" si="5"/>
        <v>10.665057721144379</v>
      </c>
    </row>
    <row r="31" spans="1:13" ht="13.8" x14ac:dyDescent="0.25">
      <c r="A31" s="103" t="str">
        <f>SEKTOR_USD!A31</f>
        <v xml:space="preserve"> Otomotiv Endüstrisi</v>
      </c>
      <c r="B31" s="104">
        <f>SEKTOR_USD!B31*$B$53</f>
        <v>12482889.705249112</v>
      </c>
      <c r="C31" s="104">
        <f>SEKTOR_USD!C31*$C$53</f>
        <v>14232807.918103687</v>
      </c>
      <c r="D31" s="105">
        <f t="shared" si="0"/>
        <v>14.018534603559999</v>
      </c>
      <c r="E31" s="105">
        <f t="shared" si="3"/>
        <v>17.750382154911332</v>
      </c>
      <c r="F31" s="104">
        <f>SEKTOR_USD!F31*$B$54</f>
        <v>12482889.705249112</v>
      </c>
      <c r="G31" s="104">
        <f>SEKTOR_USD!G31*$C$54</f>
        <v>14232807.918103687</v>
      </c>
      <c r="H31" s="105">
        <f t="shared" si="1"/>
        <v>14.018534603559999</v>
      </c>
      <c r="I31" s="105">
        <f t="shared" si="4"/>
        <v>17.750382154911332</v>
      </c>
      <c r="J31" s="104">
        <f>SEKTOR_USD!J31*$B$55</f>
        <v>157090510.76865581</v>
      </c>
      <c r="K31" s="104">
        <f>SEKTOR_USD!K31*$C$55</f>
        <v>175610530.49816868</v>
      </c>
      <c r="L31" s="105">
        <f t="shared" si="2"/>
        <v>11.789394304527374</v>
      </c>
      <c r="M31" s="105">
        <f t="shared" si="5"/>
        <v>18.39807151930464</v>
      </c>
    </row>
    <row r="32" spans="1:13" ht="13.8" x14ac:dyDescent="0.25">
      <c r="A32" s="103" t="str">
        <f>SEKTOR_USD!A32</f>
        <v xml:space="preserve"> Gemi ve Yat</v>
      </c>
      <c r="B32" s="104">
        <f>SEKTOR_USD!B32*$B$53</f>
        <v>492898.7229350963</v>
      </c>
      <c r="C32" s="104">
        <f>SEKTOR_USD!C32*$C$53</f>
        <v>644432.7487582718</v>
      </c>
      <c r="D32" s="105">
        <f t="shared" si="0"/>
        <v>30.743440543084777</v>
      </c>
      <c r="E32" s="105">
        <f t="shared" si="3"/>
        <v>0.80370139394977202</v>
      </c>
      <c r="F32" s="104">
        <f>SEKTOR_USD!F32*$B$54</f>
        <v>492898.7229350963</v>
      </c>
      <c r="G32" s="104">
        <f>SEKTOR_USD!G32*$C$54</f>
        <v>644432.7487582718</v>
      </c>
      <c r="H32" s="105">
        <f t="shared" si="1"/>
        <v>30.743440543084777</v>
      </c>
      <c r="I32" s="105">
        <f t="shared" si="4"/>
        <v>0.80370139394977202</v>
      </c>
      <c r="J32" s="104">
        <f>SEKTOR_USD!J32*$B$55</f>
        <v>5168577.7633728813</v>
      </c>
      <c r="K32" s="104">
        <f>SEKTOR_USD!K32*$C$55</f>
        <v>6066083.336216243</v>
      </c>
      <c r="L32" s="105">
        <f t="shared" si="2"/>
        <v>17.36465259753918</v>
      </c>
      <c r="M32" s="105">
        <f t="shared" si="5"/>
        <v>0.63552131381399357</v>
      </c>
    </row>
    <row r="33" spans="1:13" ht="13.8" x14ac:dyDescent="0.25">
      <c r="A33" s="103" t="str">
        <f>SEKTOR_USD!A33</f>
        <v xml:space="preserve"> Elektrik Elektronik</v>
      </c>
      <c r="B33" s="104">
        <f>SEKTOR_USD!B33*$B$53</f>
        <v>4274398.6751932036</v>
      </c>
      <c r="C33" s="104">
        <f>SEKTOR_USD!C33*$C$53</f>
        <v>4886517.4965334525</v>
      </c>
      <c r="D33" s="105">
        <f t="shared" si="0"/>
        <v>14.320583264558987</v>
      </c>
      <c r="E33" s="105">
        <f t="shared" si="3"/>
        <v>6.0941982403768646</v>
      </c>
      <c r="F33" s="104">
        <f>SEKTOR_USD!F33*$B$54</f>
        <v>4274398.6751932036</v>
      </c>
      <c r="G33" s="104">
        <f>SEKTOR_USD!G33*$C$54</f>
        <v>4886517.4965334525</v>
      </c>
      <c r="H33" s="105">
        <f t="shared" si="1"/>
        <v>14.320583264558987</v>
      </c>
      <c r="I33" s="105">
        <f t="shared" si="4"/>
        <v>6.0941982403768646</v>
      </c>
      <c r="J33" s="104">
        <f>SEKTOR_USD!J33*$B$55</f>
        <v>56330666.207851313</v>
      </c>
      <c r="K33" s="104">
        <f>SEKTOR_USD!K33*$C$55</f>
        <v>64529644.890618429</v>
      </c>
      <c r="L33" s="105">
        <f t="shared" si="2"/>
        <v>14.555089145429545</v>
      </c>
      <c r="M33" s="105">
        <f t="shared" si="5"/>
        <v>6.7605343395127999</v>
      </c>
    </row>
    <row r="34" spans="1:13" ht="13.8" x14ac:dyDescent="0.25">
      <c r="A34" s="103" t="str">
        <f>SEKTOR_USD!A34</f>
        <v xml:space="preserve"> Makine ve Aksamları</v>
      </c>
      <c r="B34" s="104">
        <f>SEKTOR_USD!B34*$B$53</f>
        <v>3140503.5279948101</v>
      </c>
      <c r="C34" s="104">
        <f>SEKTOR_USD!C34*$C$53</f>
        <v>3707449.8846600032</v>
      </c>
      <c r="D34" s="105">
        <f t="shared" si="0"/>
        <v>18.052721533708464</v>
      </c>
      <c r="E34" s="105">
        <f t="shared" si="3"/>
        <v>4.6237293899814702</v>
      </c>
      <c r="F34" s="104">
        <f>SEKTOR_USD!F34*$B$54</f>
        <v>3140503.5279948101</v>
      </c>
      <c r="G34" s="104">
        <f>SEKTOR_USD!G34*$C$54</f>
        <v>3707449.8846600032</v>
      </c>
      <c r="H34" s="105">
        <f t="shared" si="1"/>
        <v>18.052721533708464</v>
      </c>
      <c r="I34" s="105">
        <f t="shared" si="4"/>
        <v>4.6237293899814702</v>
      </c>
      <c r="J34" s="104">
        <f>SEKTOR_USD!J34*$B$55</f>
        <v>36705829.297789566</v>
      </c>
      <c r="K34" s="104">
        <f>SEKTOR_USD!K34*$C$55</f>
        <v>45102755.753762662</v>
      </c>
      <c r="L34" s="105">
        <f t="shared" si="2"/>
        <v>22.876275013022962</v>
      </c>
      <c r="M34" s="105">
        <f t="shared" si="5"/>
        <v>4.7252503806091957</v>
      </c>
    </row>
    <row r="35" spans="1:13" ht="13.8" x14ac:dyDescent="0.25">
      <c r="A35" s="103" t="str">
        <f>SEKTOR_USD!A35</f>
        <v xml:space="preserve"> Demir ve Demir Dışı Metaller </v>
      </c>
      <c r="B35" s="104">
        <f>SEKTOR_USD!B35*$B$53</f>
        <v>3489740.941388058</v>
      </c>
      <c r="C35" s="104">
        <f>SEKTOR_USD!C35*$C$53</f>
        <v>4164401.7427004674</v>
      </c>
      <c r="D35" s="105">
        <f t="shared" si="0"/>
        <v>19.332690094871637</v>
      </c>
      <c r="E35" s="105">
        <f t="shared" si="3"/>
        <v>5.1936148372724436</v>
      </c>
      <c r="F35" s="104">
        <f>SEKTOR_USD!F35*$B$54</f>
        <v>3489740.941388058</v>
      </c>
      <c r="G35" s="104">
        <f>SEKTOR_USD!G35*$C$54</f>
        <v>4164401.7427004674</v>
      </c>
      <c r="H35" s="105">
        <f t="shared" si="1"/>
        <v>19.332690094871637</v>
      </c>
      <c r="I35" s="105">
        <f t="shared" si="4"/>
        <v>5.1936148372724436</v>
      </c>
      <c r="J35" s="104">
        <f>SEKTOR_USD!J35*$B$55</f>
        <v>40437609.925010987</v>
      </c>
      <c r="K35" s="104">
        <f>SEKTOR_USD!K35*$C$55</f>
        <v>46812906.563420266</v>
      </c>
      <c r="L35" s="105">
        <f t="shared" si="2"/>
        <v>15.765760266820584</v>
      </c>
      <c r="M35" s="105">
        <f t="shared" si="5"/>
        <v>4.9044166117891956</v>
      </c>
    </row>
    <row r="36" spans="1:13" ht="13.8" x14ac:dyDescent="0.25">
      <c r="A36" s="103" t="str">
        <f>SEKTOR_USD!A36</f>
        <v xml:space="preserve"> Çelik</v>
      </c>
      <c r="B36" s="104">
        <f>SEKTOR_USD!B36*$B$53</f>
        <v>6412363.7101468276</v>
      </c>
      <c r="C36" s="104">
        <f>SEKTOR_USD!C36*$C$53</f>
        <v>6802753.9292666567</v>
      </c>
      <c r="D36" s="105">
        <f t="shared" si="0"/>
        <v>6.0880860282781768</v>
      </c>
      <c r="E36" s="105">
        <f t="shared" si="3"/>
        <v>8.4840238584767018</v>
      </c>
      <c r="F36" s="104">
        <f>SEKTOR_USD!F36*$B$54</f>
        <v>6412363.7101468276</v>
      </c>
      <c r="G36" s="104">
        <f>SEKTOR_USD!G36*$C$54</f>
        <v>6802753.9292666567</v>
      </c>
      <c r="H36" s="105">
        <f t="shared" si="1"/>
        <v>6.0880860282781768</v>
      </c>
      <c r="I36" s="105">
        <f t="shared" si="4"/>
        <v>8.4840238584767018</v>
      </c>
      <c r="J36" s="104">
        <f>SEKTOR_USD!J36*$B$55</f>
        <v>77420868.21021688</v>
      </c>
      <c r="K36" s="104">
        <f>SEKTOR_USD!K36*$C$55</f>
        <v>79024910.952419937</v>
      </c>
      <c r="L36" s="105">
        <f t="shared" si="2"/>
        <v>2.0718480421166068</v>
      </c>
      <c r="M36" s="105">
        <f t="shared" si="5"/>
        <v>8.279150227408854</v>
      </c>
    </row>
    <row r="37" spans="1:13" ht="13.8" x14ac:dyDescent="0.25">
      <c r="A37" s="103" t="str">
        <f>SEKTOR_USD!A37</f>
        <v xml:space="preserve"> Çimento Cam Seramik ve Toprak Ürünleri</v>
      </c>
      <c r="B37" s="104">
        <f>SEKTOR_USD!B37*$B$53</f>
        <v>1350962.4290655004</v>
      </c>
      <c r="C37" s="104">
        <f>SEKTOR_USD!C37*$C$53</f>
        <v>1708927.6453675192</v>
      </c>
      <c r="D37" s="105">
        <f t="shared" si="0"/>
        <v>26.49705192391129</v>
      </c>
      <c r="E37" s="105">
        <f t="shared" si="3"/>
        <v>2.131281399630371</v>
      </c>
      <c r="F37" s="104">
        <f>SEKTOR_USD!F37*$B$54</f>
        <v>1350962.4290655004</v>
      </c>
      <c r="G37" s="104">
        <f>SEKTOR_USD!G37*$C$54</f>
        <v>1708927.6453675192</v>
      </c>
      <c r="H37" s="105">
        <f t="shared" si="1"/>
        <v>26.49705192391129</v>
      </c>
      <c r="I37" s="105">
        <f t="shared" si="4"/>
        <v>2.131281399630371</v>
      </c>
      <c r="J37" s="104">
        <f>SEKTOR_USD!J37*$B$55</f>
        <v>15059432.849778445</v>
      </c>
      <c r="K37" s="104">
        <f>SEKTOR_USD!K37*$C$55</f>
        <v>20344327.162180595</v>
      </c>
      <c r="L37" s="105">
        <f t="shared" si="2"/>
        <v>35.093581312923753</v>
      </c>
      <c r="M37" s="105">
        <f t="shared" si="5"/>
        <v>2.131400577631271</v>
      </c>
    </row>
    <row r="38" spans="1:13" ht="13.8" x14ac:dyDescent="0.25">
      <c r="A38" s="103" t="str">
        <f>SEKTOR_USD!A38</f>
        <v xml:space="preserve"> Mücevher</v>
      </c>
      <c r="B38" s="104">
        <f>SEKTOR_USD!B38*$B$53</f>
        <v>1449312.0833511825</v>
      </c>
      <c r="C38" s="104">
        <f>SEKTOR_USD!C38*$C$53</f>
        <v>1729820.3693089609</v>
      </c>
      <c r="D38" s="105">
        <f t="shared" si="0"/>
        <v>19.354581334143781</v>
      </c>
      <c r="E38" s="105">
        <f t="shared" si="3"/>
        <v>2.1573376659940826</v>
      </c>
      <c r="F38" s="104">
        <f>SEKTOR_USD!F38*$B$54</f>
        <v>1449312.0833511825</v>
      </c>
      <c r="G38" s="104">
        <f>SEKTOR_USD!G38*$C$54</f>
        <v>1729820.3693089609</v>
      </c>
      <c r="H38" s="105">
        <f t="shared" si="1"/>
        <v>19.354581334143781</v>
      </c>
      <c r="I38" s="105">
        <f t="shared" si="4"/>
        <v>2.1573376659940826</v>
      </c>
      <c r="J38" s="104">
        <f>SEKTOR_USD!J38*$B$55</f>
        <v>22494759.174317949</v>
      </c>
      <c r="K38" s="104">
        <f>SEKTOR_USD!K38*$C$55</f>
        <v>23628313.256038364</v>
      </c>
      <c r="L38" s="105">
        <f t="shared" si="2"/>
        <v>5.0391918977047032</v>
      </c>
      <c r="M38" s="105">
        <f t="shared" si="5"/>
        <v>2.4754517621006848</v>
      </c>
    </row>
    <row r="39" spans="1:13" ht="13.8" x14ac:dyDescent="0.25">
      <c r="A39" s="103" t="str">
        <f>SEKTOR_USD!A39</f>
        <v xml:space="preserve"> Savunma ve Havacılık Sanayii</v>
      </c>
      <c r="B39" s="104">
        <f>SEKTOR_USD!B39*$B$53</f>
        <v>935838.35415824119</v>
      </c>
      <c r="C39" s="104">
        <f>SEKTOR_USD!C39*$C$53</f>
        <v>989094.63419749564</v>
      </c>
      <c r="D39" s="105">
        <f t="shared" si="0"/>
        <v>5.6907562938213729</v>
      </c>
      <c r="E39" s="105">
        <f t="shared" si="3"/>
        <v>1.233544908734844</v>
      </c>
      <c r="F39" s="104">
        <f>SEKTOR_USD!F39*$B$54</f>
        <v>935838.35415824119</v>
      </c>
      <c r="G39" s="104">
        <f>SEKTOR_USD!G39*$C$54</f>
        <v>989094.63419749564</v>
      </c>
      <c r="H39" s="105">
        <f t="shared" si="1"/>
        <v>5.6907562938213729</v>
      </c>
      <c r="I39" s="105">
        <f t="shared" si="4"/>
        <v>1.233544908734844</v>
      </c>
      <c r="J39" s="104">
        <f>SEKTOR_USD!J39*$B$55</f>
        <v>10457145.108021956</v>
      </c>
      <c r="K39" s="104">
        <f>SEKTOR_USD!K39*$C$55</f>
        <v>15654168.698636632</v>
      </c>
      <c r="L39" s="105">
        <f t="shared" si="2"/>
        <v>49.698302327543495</v>
      </c>
      <c r="M39" s="105">
        <f t="shared" si="5"/>
        <v>1.6400298687998109</v>
      </c>
    </row>
    <row r="40" spans="1:13" ht="13.8" x14ac:dyDescent="0.25">
      <c r="A40" s="103" t="str">
        <f>SEKTOR_USD!A40</f>
        <v xml:space="preserve"> İklimlendirme Sanayii</v>
      </c>
      <c r="B40" s="104">
        <f>SEKTOR_USD!B40*$B$53</f>
        <v>1791029.5980914647</v>
      </c>
      <c r="C40" s="104">
        <f>SEKTOR_USD!C40*$C$53</f>
        <v>2141123.9639054062</v>
      </c>
      <c r="D40" s="105">
        <f t="shared" si="0"/>
        <v>19.547101074544205</v>
      </c>
      <c r="E40" s="105">
        <f t="shared" si="3"/>
        <v>2.670293087565482</v>
      </c>
      <c r="F40" s="104">
        <f>SEKTOR_USD!F40*$B$54</f>
        <v>1791029.5980914647</v>
      </c>
      <c r="G40" s="104">
        <f>SEKTOR_USD!G40*$C$54</f>
        <v>2141123.9639054062</v>
      </c>
      <c r="H40" s="105">
        <f t="shared" si="1"/>
        <v>19.547101074544205</v>
      </c>
      <c r="I40" s="105">
        <f t="shared" si="4"/>
        <v>2.670293087565482</v>
      </c>
      <c r="J40" s="104">
        <f>SEKTOR_USD!J40*$B$55</f>
        <v>22539067.251095276</v>
      </c>
      <c r="K40" s="104">
        <f>SEKTOR_USD!K40*$C$55</f>
        <v>26948329.428950395</v>
      </c>
      <c r="L40" s="105">
        <f t="shared" si="2"/>
        <v>19.562753545805464</v>
      </c>
      <c r="M40" s="105">
        <f t="shared" si="5"/>
        <v>2.8232776858719286</v>
      </c>
    </row>
    <row r="41" spans="1:13" ht="13.8" x14ac:dyDescent="0.25">
      <c r="A41" s="103" t="str">
        <f>SEKTOR_USD!A41</f>
        <v xml:space="preserve"> Diğer Sanayi Ürünleri</v>
      </c>
      <c r="B41" s="104">
        <f>SEKTOR_USD!B41*$B$53</f>
        <v>39250.026617718504</v>
      </c>
      <c r="C41" s="104">
        <f>SEKTOR_USD!C41*$C$53</f>
        <v>42759.395292621601</v>
      </c>
      <c r="D41" s="105">
        <f t="shared" si="0"/>
        <v>8.9410606241955382</v>
      </c>
      <c r="E41" s="105">
        <f t="shared" si="3"/>
        <v>5.332718684354134E-2</v>
      </c>
      <c r="F41" s="104">
        <f>SEKTOR_USD!F41*$B$54</f>
        <v>39250.026617718504</v>
      </c>
      <c r="G41" s="104">
        <f>SEKTOR_USD!G41*$C$54</f>
        <v>42759.395292621601</v>
      </c>
      <c r="H41" s="105">
        <f t="shared" si="1"/>
        <v>8.9410606241955382</v>
      </c>
      <c r="I41" s="105">
        <f t="shared" si="4"/>
        <v>5.332718684354134E-2</v>
      </c>
      <c r="J41" s="104">
        <f>SEKTOR_USD!J41*$B$55</f>
        <v>607017.71017287555</v>
      </c>
      <c r="K41" s="104">
        <f>SEKTOR_USD!K41*$C$55</f>
        <v>681996.68064351589</v>
      </c>
      <c r="L41" s="105">
        <f t="shared" si="2"/>
        <v>12.352023542984721</v>
      </c>
      <c r="M41" s="105">
        <f t="shared" si="5"/>
        <v>7.1450292136886515E-2</v>
      </c>
    </row>
    <row r="42" spans="1:13" ht="16.8" x14ac:dyDescent="0.3">
      <c r="A42" s="98" t="s">
        <v>31</v>
      </c>
      <c r="B42" s="99">
        <f>SEKTOR_USD!B42*$B$53</f>
        <v>1630771.6897113165</v>
      </c>
      <c r="C42" s="99">
        <f>SEKTOR_USD!C42*$C$53</f>
        <v>1957244.941119594</v>
      </c>
      <c r="D42" s="102">
        <f t="shared" si="0"/>
        <v>20.019555984938069</v>
      </c>
      <c r="E42" s="102">
        <f t="shared" si="3"/>
        <v>2.4409691942409464</v>
      </c>
      <c r="F42" s="99">
        <f>SEKTOR_USD!F42*$B$54</f>
        <v>1630771.6897113165</v>
      </c>
      <c r="G42" s="99">
        <f>SEKTOR_USD!G42*$C$54</f>
        <v>1957244.941119594</v>
      </c>
      <c r="H42" s="102">
        <f t="shared" si="1"/>
        <v>20.019555984938069</v>
      </c>
      <c r="I42" s="102">
        <f t="shared" si="4"/>
        <v>2.4409691942409464</v>
      </c>
      <c r="J42" s="99">
        <f>SEKTOR_USD!J42*$B$55</f>
        <v>22237169.166997276</v>
      </c>
      <c r="K42" s="99">
        <f>SEKTOR_USD!K42*$C$55</f>
        <v>24837638.946662478</v>
      </c>
      <c r="L42" s="102">
        <f t="shared" si="2"/>
        <v>11.694248310727529</v>
      </c>
      <c r="M42" s="102">
        <f t="shared" si="5"/>
        <v>2.6021483815068143</v>
      </c>
    </row>
    <row r="43" spans="1:13" ht="13.8" x14ac:dyDescent="0.25">
      <c r="A43" s="103" t="str">
        <f>SEKTOR_USD!A43</f>
        <v xml:space="preserve"> Madencilik Ürünleri</v>
      </c>
      <c r="B43" s="104">
        <f>SEKTOR_USD!B43*$B$53</f>
        <v>1630771.6897113165</v>
      </c>
      <c r="C43" s="104">
        <f>SEKTOR_USD!C43*$C$53</f>
        <v>1957244.941119594</v>
      </c>
      <c r="D43" s="105">
        <f t="shared" si="0"/>
        <v>20.019555984938069</v>
      </c>
      <c r="E43" s="105">
        <f t="shared" si="3"/>
        <v>2.4409691942409464</v>
      </c>
      <c r="F43" s="104">
        <f>SEKTOR_USD!F43*$B$54</f>
        <v>1630771.6897113165</v>
      </c>
      <c r="G43" s="104">
        <f>SEKTOR_USD!G43*$C$54</f>
        <v>1957244.941119594</v>
      </c>
      <c r="H43" s="105">
        <f t="shared" si="1"/>
        <v>20.019555984938069</v>
      </c>
      <c r="I43" s="105">
        <f t="shared" si="4"/>
        <v>2.4409691942409464</v>
      </c>
      <c r="J43" s="104">
        <f>SEKTOR_USD!J43*$B$55</f>
        <v>22237169.166997276</v>
      </c>
      <c r="K43" s="104">
        <f>SEKTOR_USD!K43*$C$55</f>
        <v>24837638.946662478</v>
      </c>
      <c r="L43" s="105">
        <f t="shared" si="2"/>
        <v>11.694248310727529</v>
      </c>
      <c r="M43" s="105">
        <f t="shared" si="5"/>
        <v>2.6021483815068143</v>
      </c>
    </row>
    <row r="44" spans="1:13" ht="17.399999999999999" x14ac:dyDescent="0.3">
      <c r="A44" s="106" t="s">
        <v>33</v>
      </c>
      <c r="B44" s="107">
        <f>SEKTOR_USD!B44*$B$53</f>
        <v>68633688.465177789</v>
      </c>
      <c r="C44" s="107">
        <f>SEKTOR_USD!C44*$C$53</f>
        <v>80183107.010829225</v>
      </c>
      <c r="D44" s="108">
        <f>(C44-B44)/B44*100</f>
        <v>16.827623291018647</v>
      </c>
      <c r="E44" s="109">
        <f t="shared" si="3"/>
        <v>100</v>
      </c>
      <c r="F44" s="107">
        <f>SEKTOR_USD!F44*$B$54</f>
        <v>68633688.465177789</v>
      </c>
      <c r="G44" s="107">
        <f>SEKTOR_USD!G44*$C$54</f>
        <v>80183107.010829225</v>
      </c>
      <c r="H44" s="108">
        <f>(G44-F44)/F44*100</f>
        <v>16.827623291018647</v>
      </c>
      <c r="I44" s="108">
        <f t="shared" si="4"/>
        <v>100</v>
      </c>
      <c r="J44" s="107">
        <f>SEKTOR_USD!J44*$B$55</f>
        <v>815206677.83603096</v>
      </c>
      <c r="K44" s="107">
        <f>SEKTOR_USD!K44*$C$55</f>
        <v>954505097.52560151</v>
      </c>
      <c r="L44" s="108">
        <f>(K44-J44)/J44*100</f>
        <v>17.087497376657744</v>
      </c>
      <c r="M44" s="108">
        <f t="shared" si="5"/>
        <v>100</v>
      </c>
    </row>
    <row r="45" spans="1:13" ht="13.8" hidden="1" x14ac:dyDescent="0.25">
      <c r="A45" s="43" t="s">
        <v>34</v>
      </c>
      <c r="B45" s="41">
        <f>SEKTOR_USD!B45*2.1157</f>
        <v>808215.00355490786</v>
      </c>
      <c r="C45" s="41">
        <f>SEKTOR_USD!C45*2.7012</f>
        <v>1013008.8402396046</v>
      </c>
      <c r="D45" s="42"/>
      <c r="E45" s="42"/>
      <c r="F45" s="41">
        <f>SEKTOR_USD!F45*2.1642</f>
        <v>826742.40709624789</v>
      </c>
      <c r="G45" s="41">
        <f>SEKTOR_USD!G45*2.5613</f>
        <v>960543.29279790435</v>
      </c>
      <c r="H45" s="42">
        <f>(G45-F45)/F45*100</f>
        <v>16.184108200231659</v>
      </c>
      <c r="I45" s="42" t="e">
        <f t="shared" ref="I45:I46" si="6">G45/G$46*100</f>
        <v>#REF!</v>
      </c>
      <c r="J45" s="41">
        <f>SEKTOR_USD!J45*2.0809</f>
        <v>9673692.6148003489</v>
      </c>
      <c r="K45" s="41">
        <f>SEKTOR_USD!K45*2.3856</f>
        <v>13347608.334503883</v>
      </c>
      <c r="L45" s="42">
        <f>(K45-J45)/J45*100</f>
        <v>37.978421126205681</v>
      </c>
      <c r="M45" s="42" t="e">
        <f t="shared" ref="M45:M46" si="7">K45/K$46*100</f>
        <v>#REF!</v>
      </c>
    </row>
    <row r="46" spans="1:13" s="23" customFormat="1" ht="17.399999999999999" hidden="1" x14ac:dyDescent="0.3">
      <c r="A46" s="44" t="s">
        <v>35</v>
      </c>
      <c r="B46" s="45" t="e">
        <f>SEKTOR_USD!#REF!*2.1157</f>
        <v>#REF!</v>
      </c>
      <c r="C46" s="45" t="e">
        <f>SEKTOR_USD!#REF!*2.7012</f>
        <v>#REF!</v>
      </c>
      <c r="D46" s="46" t="e">
        <f>(C46-B46)/B46*100</f>
        <v>#REF!</v>
      </c>
      <c r="E46" s="47" t="e">
        <f>C46/C$46*100</f>
        <v>#REF!</v>
      </c>
      <c r="F46" s="45" t="e">
        <f>SEKTOR_USD!#REF!*2.1642</f>
        <v>#REF!</v>
      </c>
      <c r="G46" s="45" t="e">
        <f>SEKTOR_USD!#REF!*2.5613</f>
        <v>#REF!</v>
      </c>
      <c r="H46" s="46" t="e">
        <f>(G46-F46)/F46*100</f>
        <v>#REF!</v>
      </c>
      <c r="I46" s="47" t="e">
        <f t="shared" si="6"/>
        <v>#REF!</v>
      </c>
      <c r="J46" s="45" t="e">
        <f>SEKTOR_USD!#REF!*2.0809</f>
        <v>#REF!</v>
      </c>
      <c r="K46" s="45" t="e">
        <f>SEKTOR_USD!#REF!*2.3856</f>
        <v>#REF!</v>
      </c>
      <c r="L46" s="46" t="e">
        <f>(K46-J46)/J46*100</f>
        <v>#REF!</v>
      </c>
      <c r="M46" s="47" t="e">
        <f t="shared" si="7"/>
        <v>#REF!</v>
      </c>
    </row>
    <row r="47" spans="1:13" s="23" customFormat="1" ht="17.399999999999999" hidden="1" x14ac:dyDescent="0.3">
      <c r="A47" s="24"/>
      <c r="B47" s="25"/>
      <c r="C47" s="25"/>
      <c r="D47" s="26"/>
      <c r="E47" s="27"/>
      <c r="F47" s="27"/>
      <c r="G47" s="27"/>
      <c r="H47" s="27"/>
      <c r="I47" s="27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8" t="s">
        <v>115</v>
      </c>
    </row>
    <row r="52" spans="1:3" x14ac:dyDescent="0.25">
      <c r="A52" s="82"/>
      <c r="B52" s="83">
        <v>2019</v>
      </c>
      <c r="C52" s="83">
        <v>2020</v>
      </c>
    </row>
    <row r="53" spans="1:3" x14ac:dyDescent="0.25">
      <c r="A53" s="85" t="s">
        <v>227</v>
      </c>
      <c r="B53" s="84">
        <v>5.3630300000000002</v>
      </c>
      <c r="C53" s="84">
        <v>5.924601</v>
      </c>
    </row>
    <row r="54" spans="1:3" x14ac:dyDescent="0.25">
      <c r="A54" s="85" t="s">
        <v>227</v>
      </c>
      <c r="B54" s="84">
        <v>5.3630300000000002</v>
      </c>
      <c r="C54" s="84">
        <v>5.924601</v>
      </c>
    </row>
    <row r="55" spans="1:3" x14ac:dyDescent="0.25">
      <c r="A55" s="85" t="s">
        <v>228</v>
      </c>
      <c r="B55" s="84">
        <v>4.9702487499999997</v>
      </c>
      <c r="C55" s="84">
        <v>5.7270884999999998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F7" sqref="F7"/>
    </sheetView>
  </sheetViews>
  <sheetFormatPr defaultColWidth="9.109375" defaultRowHeight="13.2" x14ac:dyDescent="0.25"/>
  <cols>
    <col min="1" max="1" width="51" style="18" customWidth="1"/>
    <col min="2" max="2" width="14.44140625" style="18" customWidth="1"/>
    <col min="3" max="3" width="17.88671875" style="18" bestFit="1" customWidth="1"/>
    <col min="4" max="4" width="14.44140625" style="18" customWidth="1"/>
    <col min="5" max="5" width="17.88671875" style="18" bestFit="1" customWidth="1"/>
    <col min="6" max="6" width="19.88671875" style="18" bestFit="1" customWidth="1"/>
    <col min="7" max="7" width="19.88671875" style="18" customWidth="1"/>
    <col min="8" max="16384" width="9.109375" style="18"/>
  </cols>
  <sheetData>
    <row r="1" spans="1:7" x14ac:dyDescent="0.25">
      <c r="B1" s="19"/>
    </row>
    <row r="2" spans="1:7" x14ac:dyDescent="0.25">
      <c r="B2" s="19"/>
    </row>
    <row r="3" spans="1:7" x14ac:dyDescent="0.25">
      <c r="B3" s="19"/>
    </row>
    <row r="4" spans="1:7" x14ac:dyDescent="0.25">
      <c r="B4" s="19"/>
      <c r="C4" s="19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94"/>
      <c r="B6" s="157" t="s">
        <v>119</v>
      </c>
      <c r="C6" s="157"/>
      <c r="D6" s="157" t="s">
        <v>119</v>
      </c>
      <c r="E6" s="157"/>
      <c r="F6" s="157" t="s">
        <v>120</v>
      </c>
      <c r="G6" s="157"/>
    </row>
    <row r="7" spans="1:7" ht="28.2" x14ac:dyDescent="0.3">
      <c r="A7" s="95" t="s">
        <v>1</v>
      </c>
      <c r="B7" s="110" t="s">
        <v>38</v>
      </c>
      <c r="C7" s="110" t="s">
        <v>39</v>
      </c>
      <c r="D7" s="110" t="s">
        <v>38</v>
      </c>
      <c r="E7" s="110" t="s">
        <v>39</v>
      </c>
      <c r="F7" s="110" t="s">
        <v>38</v>
      </c>
      <c r="G7" s="110" t="s">
        <v>39</v>
      </c>
    </row>
    <row r="8" spans="1:7" ht="16.8" x14ac:dyDescent="0.3">
      <c r="A8" s="98" t="s">
        <v>2</v>
      </c>
      <c r="B8" s="111">
        <f>SEKTOR_USD!D8</f>
        <v>8.9755012214378294</v>
      </c>
      <c r="C8" s="111">
        <f>SEKTOR_TL!D8</f>
        <v>20.386491127596098</v>
      </c>
      <c r="D8" s="111">
        <f>SEKTOR_USD!H8</f>
        <v>8.9755012214378294</v>
      </c>
      <c r="E8" s="111">
        <f>SEKTOR_TL!H8</f>
        <v>20.386491127596098</v>
      </c>
      <c r="F8" s="111">
        <f>SEKTOR_USD!L8</f>
        <v>4.1859490093869534</v>
      </c>
      <c r="G8" s="111">
        <f>SEKTOR_TL!L8</f>
        <v>20.050762134037349</v>
      </c>
    </row>
    <row r="9" spans="1:7" s="22" customFormat="1" ht="15.6" x14ac:dyDescent="0.3">
      <c r="A9" s="101" t="s">
        <v>3</v>
      </c>
      <c r="B9" s="111">
        <f>SEKTOR_USD!D9</f>
        <v>9.3704305385890923</v>
      </c>
      <c r="C9" s="111">
        <f>SEKTOR_TL!D9</f>
        <v>20.822774092137355</v>
      </c>
      <c r="D9" s="111">
        <f>SEKTOR_USD!H9</f>
        <v>9.3704305385890923</v>
      </c>
      <c r="E9" s="111">
        <f>SEKTOR_TL!H9</f>
        <v>20.822774092137355</v>
      </c>
      <c r="F9" s="111">
        <f>SEKTOR_USD!L9</f>
        <v>2.660225649379655</v>
      </c>
      <c r="G9" s="111">
        <f>SEKTOR_TL!L9</f>
        <v>18.292710746915297</v>
      </c>
    </row>
    <row r="10" spans="1:7" ht="13.8" x14ac:dyDescent="0.25">
      <c r="A10" s="103" t="s">
        <v>4</v>
      </c>
      <c r="B10" s="112">
        <f>SEKTOR_USD!D10</f>
        <v>4.3468903320312027</v>
      </c>
      <c r="C10" s="112">
        <f>SEKTOR_TL!D10</f>
        <v>15.273211376412664</v>
      </c>
      <c r="D10" s="112">
        <f>SEKTOR_USD!H10</f>
        <v>4.3468903320312027</v>
      </c>
      <c r="E10" s="112">
        <f>SEKTOR_TL!H10</f>
        <v>15.273211376412664</v>
      </c>
      <c r="F10" s="112">
        <f>SEKTOR_USD!L10</f>
        <v>1.7985203021243612</v>
      </c>
      <c r="G10" s="112">
        <f>SEKTOR_TL!L10</f>
        <v>17.299790063689052</v>
      </c>
    </row>
    <row r="11" spans="1:7" ht="13.8" x14ac:dyDescent="0.25">
      <c r="A11" s="103" t="s">
        <v>5</v>
      </c>
      <c r="B11" s="112">
        <f>SEKTOR_USD!D11</f>
        <v>28.643348066471603</v>
      </c>
      <c r="C11" s="112">
        <f>SEKTOR_TL!D11</f>
        <v>42.113788026165359</v>
      </c>
      <c r="D11" s="112">
        <f>SEKTOR_USD!H11</f>
        <v>28.643348066471603</v>
      </c>
      <c r="E11" s="112">
        <f>SEKTOR_TL!H11</f>
        <v>42.113788026165359</v>
      </c>
      <c r="F11" s="112">
        <f>SEKTOR_USD!L11</f>
        <v>0.82059992910240354</v>
      </c>
      <c r="G11" s="112">
        <f>SEKTOR_TL!L11</f>
        <v>16.172957825715095</v>
      </c>
    </row>
    <row r="12" spans="1:7" ht="13.8" x14ac:dyDescent="0.25">
      <c r="A12" s="103" t="s">
        <v>6</v>
      </c>
      <c r="B12" s="112">
        <f>SEKTOR_USD!D12</f>
        <v>5.4322318089788988</v>
      </c>
      <c r="C12" s="112">
        <f>SEKTOR_TL!D12</f>
        <v>16.47220060445461</v>
      </c>
      <c r="D12" s="112">
        <f>SEKTOR_USD!H12</f>
        <v>5.4322318089788988</v>
      </c>
      <c r="E12" s="112">
        <f>SEKTOR_TL!H12</f>
        <v>16.47220060445461</v>
      </c>
      <c r="F12" s="112">
        <f>SEKTOR_USD!L12</f>
        <v>-0.91299427827238022</v>
      </c>
      <c r="G12" s="112">
        <f>SEKTOR_TL!L12</f>
        <v>14.175382261972386</v>
      </c>
    </row>
    <row r="13" spans="1:7" ht="13.8" x14ac:dyDescent="0.25">
      <c r="A13" s="103" t="s">
        <v>7</v>
      </c>
      <c r="B13" s="112">
        <f>SEKTOR_USD!D13</f>
        <v>1.7829719845427667</v>
      </c>
      <c r="C13" s="112">
        <f>SEKTOR_TL!D13</f>
        <v>12.440821252648981</v>
      </c>
      <c r="D13" s="112">
        <f>SEKTOR_USD!H13</f>
        <v>1.7829719845427667</v>
      </c>
      <c r="E13" s="112">
        <f>SEKTOR_TL!H13</f>
        <v>12.440821252648981</v>
      </c>
      <c r="F13" s="112">
        <f>SEKTOR_USD!L13</f>
        <v>2.0885457964805951</v>
      </c>
      <c r="G13" s="112">
        <f>SEKTOR_TL!L13</f>
        <v>17.633978905532118</v>
      </c>
    </row>
    <row r="14" spans="1:7" ht="13.8" x14ac:dyDescent="0.25">
      <c r="A14" s="103" t="s">
        <v>8</v>
      </c>
      <c r="B14" s="112">
        <f>SEKTOR_USD!D14</f>
        <v>21.6744973613594</v>
      </c>
      <c r="C14" s="112">
        <f>SEKTOR_TL!D14</f>
        <v>34.415218401091792</v>
      </c>
      <c r="D14" s="112">
        <f>SEKTOR_USD!H14</f>
        <v>21.6744973613594</v>
      </c>
      <c r="E14" s="112">
        <f>SEKTOR_TL!H14</f>
        <v>34.415218401091792</v>
      </c>
      <c r="F14" s="112">
        <f>SEKTOR_USD!L14</f>
        <v>26.550545622076697</v>
      </c>
      <c r="G14" s="112">
        <f>SEKTOR_TL!L14</f>
        <v>45.820905744590931</v>
      </c>
    </row>
    <row r="15" spans="1:7" ht="13.8" x14ac:dyDescent="0.25">
      <c r="A15" s="103" t="s">
        <v>9</v>
      </c>
      <c r="B15" s="112">
        <f>SEKTOR_USD!D15</f>
        <v>-12.669674458621111</v>
      </c>
      <c r="C15" s="112">
        <f>SEKTOR_TL!D15</f>
        <v>-3.5251837053346988</v>
      </c>
      <c r="D15" s="112">
        <f>SEKTOR_USD!H15</f>
        <v>-12.669674458621111</v>
      </c>
      <c r="E15" s="112">
        <f>SEKTOR_TL!H15</f>
        <v>-3.5251837053346988</v>
      </c>
      <c r="F15" s="112">
        <f>SEKTOR_USD!L15</f>
        <v>-23.321342994329939</v>
      </c>
      <c r="G15" s="112">
        <f>SEKTOR_TL!L15</f>
        <v>-11.645175760545692</v>
      </c>
    </row>
    <row r="16" spans="1:7" ht="13.8" x14ac:dyDescent="0.25">
      <c r="A16" s="103" t="s">
        <v>10</v>
      </c>
      <c r="B16" s="112">
        <f>SEKTOR_USD!D16</f>
        <v>-4.1335603698918684</v>
      </c>
      <c r="C16" s="112">
        <f>SEKTOR_TL!D16</f>
        <v>5.9047598277425708</v>
      </c>
      <c r="D16" s="112">
        <f>SEKTOR_USD!H16</f>
        <v>-4.1335603698918684</v>
      </c>
      <c r="E16" s="112">
        <f>SEKTOR_TL!H16</f>
        <v>5.9047598277425708</v>
      </c>
      <c r="F16" s="112">
        <f>SEKTOR_USD!L16</f>
        <v>-10.973028778480238</v>
      </c>
      <c r="G16" s="112">
        <f>SEKTOR_TL!L16</f>
        <v>2.5834658823860259</v>
      </c>
    </row>
    <row r="17" spans="1:7" ht="13.8" x14ac:dyDescent="0.25">
      <c r="A17" s="113" t="s">
        <v>11</v>
      </c>
      <c r="B17" s="112">
        <f>SEKTOR_USD!D17</f>
        <v>30.49030430661394</v>
      </c>
      <c r="C17" s="112">
        <f>SEKTOR_TL!D17</f>
        <v>44.154141853629234</v>
      </c>
      <c r="D17" s="112">
        <f>SEKTOR_USD!H17</f>
        <v>30.49030430661394</v>
      </c>
      <c r="E17" s="112">
        <f>SEKTOR_TL!H17</f>
        <v>44.154141853629234</v>
      </c>
      <c r="F17" s="112">
        <f>SEKTOR_USD!L17</f>
        <v>10.119192651323075</v>
      </c>
      <c r="G17" s="112">
        <f>SEKTOR_TL!L17</f>
        <v>26.887484627942815</v>
      </c>
    </row>
    <row r="18" spans="1:7" s="22" customFormat="1" ht="15.6" x14ac:dyDescent="0.3">
      <c r="A18" s="101" t="s">
        <v>12</v>
      </c>
      <c r="B18" s="111">
        <f>SEKTOR_USD!D18</f>
        <v>-4.9150435130147931</v>
      </c>
      <c r="C18" s="111">
        <f>SEKTOR_TL!D18</f>
        <v>5.0414464002157358</v>
      </c>
      <c r="D18" s="111">
        <f>SEKTOR_USD!H18</f>
        <v>-4.9150435130147931</v>
      </c>
      <c r="E18" s="111">
        <f>SEKTOR_TL!H18</f>
        <v>5.0414464002157358</v>
      </c>
      <c r="F18" s="111">
        <f>SEKTOR_USD!L18</f>
        <v>-0.39659890946161624</v>
      </c>
      <c r="G18" s="111">
        <f>SEKTOR_TL!L18</f>
        <v>14.770411228715638</v>
      </c>
    </row>
    <row r="19" spans="1:7" ht="13.8" x14ac:dyDescent="0.25">
      <c r="A19" s="103" t="s">
        <v>13</v>
      </c>
      <c r="B19" s="112">
        <f>SEKTOR_USD!D19</f>
        <v>-4.9150435130147931</v>
      </c>
      <c r="C19" s="112">
        <f>SEKTOR_TL!D19</f>
        <v>5.0414464002157358</v>
      </c>
      <c r="D19" s="112">
        <f>SEKTOR_USD!H19</f>
        <v>-4.9150435130147931</v>
      </c>
      <c r="E19" s="112">
        <f>SEKTOR_TL!H19</f>
        <v>5.0414464002157358</v>
      </c>
      <c r="F19" s="112">
        <f>SEKTOR_USD!L19</f>
        <v>-0.39659890946161624</v>
      </c>
      <c r="G19" s="112">
        <f>SEKTOR_TL!L19</f>
        <v>14.770411228715638</v>
      </c>
    </row>
    <row r="20" spans="1:7" s="22" customFormat="1" ht="15.6" x14ac:dyDescent="0.3">
      <c r="A20" s="101" t="s">
        <v>110</v>
      </c>
      <c r="B20" s="111">
        <f>SEKTOR_USD!D20</f>
        <v>15.500052875925943</v>
      </c>
      <c r="C20" s="111">
        <f>SEKTOR_TL!D20</f>
        <v>27.594238475034388</v>
      </c>
      <c r="D20" s="111">
        <f>SEKTOR_USD!H20</f>
        <v>15.500052875925943</v>
      </c>
      <c r="E20" s="111">
        <f>SEKTOR_TL!H20</f>
        <v>27.594238475034388</v>
      </c>
      <c r="F20" s="111">
        <f>SEKTOR_USD!L20</f>
        <v>11.035843395494204</v>
      </c>
      <c r="G20" s="111">
        <f>SEKTOR_TL!L20</f>
        <v>27.943717464470129</v>
      </c>
    </row>
    <row r="21" spans="1:7" ht="13.8" x14ac:dyDescent="0.25">
      <c r="A21" s="103" t="s">
        <v>109</v>
      </c>
      <c r="B21" s="112">
        <f>SEKTOR_USD!D21</f>
        <v>15.500052875925943</v>
      </c>
      <c r="C21" s="112">
        <f>SEKTOR_TL!D21</f>
        <v>27.594238475034388</v>
      </c>
      <c r="D21" s="112">
        <f>SEKTOR_USD!H21</f>
        <v>15.500052875925943</v>
      </c>
      <c r="E21" s="112">
        <f>SEKTOR_TL!H21</f>
        <v>27.594238475034388</v>
      </c>
      <c r="F21" s="112">
        <f>SEKTOR_USD!L21</f>
        <v>11.035843395494204</v>
      </c>
      <c r="G21" s="112">
        <f>SEKTOR_TL!L21</f>
        <v>27.943717464470129</v>
      </c>
    </row>
    <row r="22" spans="1:7" ht="16.8" x14ac:dyDescent="0.3">
      <c r="A22" s="98" t="s">
        <v>14</v>
      </c>
      <c r="B22" s="111">
        <f>SEKTOR_USD!D22</f>
        <v>5.1000261821389188</v>
      </c>
      <c r="C22" s="111">
        <f>SEKTOR_TL!D22</f>
        <v>16.105209222906915</v>
      </c>
      <c r="D22" s="111">
        <f>SEKTOR_USD!H22</f>
        <v>5.1000261821389188</v>
      </c>
      <c r="E22" s="111">
        <f>SEKTOR_TL!H22</f>
        <v>16.105209222906915</v>
      </c>
      <c r="F22" s="111">
        <f>SEKTOR_USD!L22</f>
        <v>1.3425508727376942</v>
      </c>
      <c r="G22" s="111">
        <f>SEKTOR_TL!L22</f>
        <v>16.774388336986366</v>
      </c>
    </row>
    <row r="23" spans="1:7" s="22" customFormat="1" ht="15.6" x14ac:dyDescent="0.3">
      <c r="A23" s="101" t="s">
        <v>15</v>
      </c>
      <c r="B23" s="111">
        <f>SEKTOR_USD!D23</f>
        <v>5.5123187910510998</v>
      </c>
      <c r="C23" s="111">
        <f>SEKTOR_TL!D23</f>
        <v>16.560673615806753</v>
      </c>
      <c r="D23" s="111">
        <f>SEKTOR_USD!H23</f>
        <v>5.5123187910510998</v>
      </c>
      <c r="E23" s="111">
        <f>SEKTOR_TL!H23</f>
        <v>16.560673615806753</v>
      </c>
      <c r="F23" s="111">
        <f>SEKTOR_USD!L23</f>
        <v>-1.7282204022449656</v>
      </c>
      <c r="G23" s="111">
        <f>SEKTOR_TL!L23</f>
        <v>13.236018380133899</v>
      </c>
    </row>
    <row r="24" spans="1:7" ht="13.8" x14ac:dyDescent="0.25">
      <c r="A24" s="103" t="s">
        <v>16</v>
      </c>
      <c r="B24" s="112">
        <f>SEKTOR_USD!D24</f>
        <v>-0.27843186821580174</v>
      </c>
      <c r="C24" s="112">
        <f>SEKTOR_TL!D24</f>
        <v>10.163564678015369</v>
      </c>
      <c r="D24" s="112">
        <f>SEKTOR_USD!H24</f>
        <v>-0.27843186821580174</v>
      </c>
      <c r="E24" s="112">
        <f>SEKTOR_TL!H24</f>
        <v>10.163564678015369</v>
      </c>
      <c r="F24" s="112">
        <f>SEKTOR_USD!L24</f>
        <v>-6.1712080225586758</v>
      </c>
      <c r="G24" s="112">
        <f>SEKTOR_TL!L24</f>
        <v>8.1164791808250083</v>
      </c>
    </row>
    <row r="25" spans="1:7" ht="13.8" x14ac:dyDescent="0.25">
      <c r="A25" s="103" t="s">
        <v>17</v>
      </c>
      <c r="B25" s="112">
        <f>SEKTOR_USD!D25</f>
        <v>14.218815798232734</v>
      </c>
      <c r="C25" s="112">
        <f>SEKTOR_TL!D25</f>
        <v>26.178841120975527</v>
      </c>
      <c r="D25" s="112">
        <f>SEKTOR_USD!H25</f>
        <v>14.218815798232734</v>
      </c>
      <c r="E25" s="112">
        <f>SEKTOR_TL!H25</f>
        <v>26.178841120975527</v>
      </c>
      <c r="F25" s="112">
        <f>SEKTOR_USD!L25</f>
        <v>0.6892199693179375</v>
      </c>
      <c r="G25" s="112">
        <f>SEKTOR_TL!L25</f>
        <v>16.021572111506732</v>
      </c>
    </row>
    <row r="26" spans="1:7" ht="13.8" x14ac:dyDescent="0.25">
      <c r="A26" s="103" t="s">
        <v>18</v>
      </c>
      <c r="B26" s="112">
        <f>SEKTOR_USD!D26</f>
        <v>21.363012847106376</v>
      </c>
      <c r="C26" s="112">
        <f>SEKTOR_TL!D26</f>
        <v>34.071117871236837</v>
      </c>
      <c r="D26" s="112">
        <f>SEKTOR_USD!H26</f>
        <v>21.363012847106376</v>
      </c>
      <c r="E26" s="112">
        <f>SEKTOR_TL!H26</f>
        <v>34.071117871236837</v>
      </c>
      <c r="F26" s="112">
        <f>SEKTOR_USD!L26</f>
        <v>12.947836968308552</v>
      </c>
      <c r="G26" s="112">
        <f>SEKTOR_TL!L26</f>
        <v>30.146857981921894</v>
      </c>
    </row>
    <row r="27" spans="1:7" s="22" customFormat="1" ht="15.6" x14ac:dyDescent="0.3">
      <c r="A27" s="101" t="s">
        <v>19</v>
      </c>
      <c r="B27" s="111">
        <f>SEKTOR_USD!D27</f>
        <v>10.647358825400138</v>
      </c>
      <c r="C27" s="111">
        <f>SEKTOR_TL!D27</f>
        <v>22.233411475289998</v>
      </c>
      <c r="D27" s="111">
        <f>SEKTOR_USD!H27</f>
        <v>10.647358825400138</v>
      </c>
      <c r="E27" s="111">
        <f>SEKTOR_TL!H27</f>
        <v>22.233411475289998</v>
      </c>
      <c r="F27" s="111">
        <f>SEKTOR_USD!L27</f>
        <v>18.323762650723999</v>
      </c>
      <c r="G27" s="111">
        <f>SEKTOR_TL!L27</f>
        <v>36.341397471040231</v>
      </c>
    </row>
    <row r="28" spans="1:7" ht="13.8" x14ac:dyDescent="0.25">
      <c r="A28" s="103" t="s">
        <v>20</v>
      </c>
      <c r="B28" s="112">
        <f>SEKTOR_USD!D28</f>
        <v>10.647358825400138</v>
      </c>
      <c r="C28" s="112">
        <f>SEKTOR_TL!D28</f>
        <v>22.233411475289998</v>
      </c>
      <c r="D28" s="112">
        <f>SEKTOR_USD!H28</f>
        <v>10.647358825400138</v>
      </c>
      <c r="E28" s="112">
        <f>SEKTOR_TL!H28</f>
        <v>22.233411475289998</v>
      </c>
      <c r="F28" s="112">
        <f>SEKTOR_USD!L28</f>
        <v>18.323762650723999</v>
      </c>
      <c r="G28" s="112">
        <f>SEKTOR_TL!L28</f>
        <v>36.341397471040231</v>
      </c>
    </row>
    <row r="29" spans="1:7" s="22" customFormat="1" ht="15.6" x14ac:dyDescent="0.3">
      <c r="A29" s="101" t="s">
        <v>21</v>
      </c>
      <c r="B29" s="111">
        <f>SEKTOR_USD!D29</f>
        <v>3.9980649340904866</v>
      </c>
      <c r="C29" s="111">
        <f>SEKTOR_TL!D29</f>
        <v>14.887859942341809</v>
      </c>
      <c r="D29" s="111">
        <f>SEKTOR_USD!H29</f>
        <v>3.9980649340904866</v>
      </c>
      <c r="E29" s="111">
        <f>SEKTOR_TL!H29</f>
        <v>14.887859942341809</v>
      </c>
      <c r="F29" s="111">
        <f>SEKTOR_USD!L29</f>
        <v>-1.0846757577103754</v>
      </c>
      <c r="G29" s="111">
        <f>SEKTOR_TL!L29</f>
        <v>13.977558153762045</v>
      </c>
    </row>
    <row r="30" spans="1:7" ht="13.8" x14ac:dyDescent="0.25">
      <c r="A30" s="103" t="s">
        <v>22</v>
      </c>
      <c r="B30" s="112">
        <f>SEKTOR_USD!D30</f>
        <v>5.7619032630476559</v>
      </c>
      <c r="C30" s="112">
        <f>SEKTOR_TL!D30</f>
        <v>16.836392456159192</v>
      </c>
      <c r="D30" s="112">
        <f>SEKTOR_USD!H30</f>
        <v>5.7619032630476559</v>
      </c>
      <c r="E30" s="112">
        <f>SEKTOR_TL!H30</f>
        <v>16.836392456159192</v>
      </c>
      <c r="F30" s="112">
        <f>SEKTOR_USD!L30</f>
        <v>0.9091648317513541</v>
      </c>
      <c r="G30" s="112">
        <f>SEKTOR_TL!L30</f>
        <v>16.275008861986564</v>
      </c>
    </row>
    <row r="31" spans="1:7" ht="13.8" x14ac:dyDescent="0.25">
      <c r="A31" s="103" t="s">
        <v>23</v>
      </c>
      <c r="B31" s="112">
        <f>SEKTOR_USD!D31</f>
        <v>3.2111397265284864</v>
      </c>
      <c r="C31" s="112">
        <f>SEKTOR_TL!D31</f>
        <v>14.018534603559999</v>
      </c>
      <c r="D31" s="112">
        <f>SEKTOR_USD!H31</f>
        <v>3.2111397265284864</v>
      </c>
      <c r="E31" s="112">
        <f>SEKTOR_TL!H31</f>
        <v>14.018534603559999</v>
      </c>
      <c r="F31" s="112">
        <f>SEKTOR_USD!L31</f>
        <v>-2.983671842100188</v>
      </c>
      <c r="G31" s="112">
        <f>SEKTOR_TL!L31</f>
        <v>11.789394304527374</v>
      </c>
    </row>
    <row r="32" spans="1:7" ht="13.8" x14ac:dyDescent="0.25">
      <c r="A32" s="103" t="s">
        <v>24</v>
      </c>
      <c r="B32" s="112">
        <f>SEKTOR_USD!D32</f>
        <v>18.350753736121632</v>
      </c>
      <c r="C32" s="112">
        <f>SEKTOR_TL!D32</f>
        <v>30.743440543084777</v>
      </c>
      <c r="D32" s="112">
        <f>SEKTOR_USD!H32</f>
        <v>18.350753736121632</v>
      </c>
      <c r="E32" s="112">
        <f>SEKTOR_TL!H32</f>
        <v>30.743440543084777</v>
      </c>
      <c r="F32" s="112">
        <f>SEKTOR_USD!L32</f>
        <v>1.8548111954448498</v>
      </c>
      <c r="G32" s="112">
        <f>SEKTOR_TL!L32</f>
        <v>17.36465259753918</v>
      </c>
    </row>
    <row r="33" spans="1:7" ht="13.8" x14ac:dyDescent="0.25">
      <c r="A33" s="103" t="s">
        <v>105</v>
      </c>
      <c r="B33" s="112">
        <f>SEKTOR_USD!D33</f>
        <v>3.4845583129273661</v>
      </c>
      <c r="C33" s="112">
        <f>SEKTOR_TL!D33</f>
        <v>14.320583264558987</v>
      </c>
      <c r="D33" s="112">
        <f>SEKTOR_USD!H33</f>
        <v>3.4845583129273661</v>
      </c>
      <c r="E33" s="112">
        <f>SEKTOR_TL!H33</f>
        <v>14.320583264558987</v>
      </c>
      <c r="F33" s="112">
        <f>SEKTOR_USD!L33</f>
        <v>-0.5834659912781518</v>
      </c>
      <c r="G33" s="112">
        <f>SEKTOR_TL!L33</f>
        <v>14.555089145429545</v>
      </c>
    </row>
    <row r="34" spans="1:7" ht="13.8" x14ac:dyDescent="0.25">
      <c r="A34" s="103" t="s">
        <v>25</v>
      </c>
      <c r="B34" s="112">
        <f>SEKTOR_USD!D34</f>
        <v>6.8629410093480558</v>
      </c>
      <c r="C34" s="112">
        <f>SEKTOR_TL!D34</f>
        <v>18.052721533708464</v>
      </c>
      <c r="D34" s="112">
        <f>SEKTOR_USD!H34</f>
        <v>6.8629410093480558</v>
      </c>
      <c r="E34" s="112">
        <f>SEKTOR_TL!H34</f>
        <v>18.052721533708464</v>
      </c>
      <c r="F34" s="112">
        <f>SEKTOR_USD!L34</f>
        <v>6.6380678922865561</v>
      </c>
      <c r="G34" s="112">
        <f>SEKTOR_TL!L34</f>
        <v>22.876275013022962</v>
      </c>
    </row>
    <row r="35" spans="1:7" ht="13.8" x14ac:dyDescent="0.25">
      <c r="A35" s="103" t="s">
        <v>26</v>
      </c>
      <c r="B35" s="112">
        <f>SEKTOR_USD!D35</f>
        <v>8.0215860881601078</v>
      </c>
      <c r="C35" s="112">
        <f>SEKTOR_TL!D35</f>
        <v>19.332690094871637</v>
      </c>
      <c r="D35" s="112">
        <f>SEKTOR_USD!H35</f>
        <v>8.0215860881601078</v>
      </c>
      <c r="E35" s="112">
        <f>SEKTOR_TL!H35</f>
        <v>19.332690094871637</v>
      </c>
      <c r="F35" s="112">
        <f>SEKTOR_USD!L35</f>
        <v>0.46721388345310078</v>
      </c>
      <c r="G35" s="112">
        <f>SEKTOR_TL!L35</f>
        <v>15.765760266820584</v>
      </c>
    </row>
    <row r="36" spans="1:7" ht="13.8" x14ac:dyDescent="0.25">
      <c r="A36" s="103" t="s">
        <v>27</v>
      </c>
      <c r="B36" s="112">
        <f>SEKTOR_USD!D36</f>
        <v>-3.9676109813577778</v>
      </c>
      <c r="C36" s="112">
        <f>SEKTOR_TL!D36</f>
        <v>6.0880860282781768</v>
      </c>
      <c r="D36" s="112">
        <f>SEKTOR_USD!H36</f>
        <v>-3.9676109813577778</v>
      </c>
      <c r="E36" s="112">
        <f>SEKTOR_TL!H36</f>
        <v>6.0880860282781768</v>
      </c>
      <c r="F36" s="112">
        <f>SEKTOR_USD!L36</f>
        <v>-11.417035874071082</v>
      </c>
      <c r="G36" s="112">
        <f>SEKTOR_TL!L36</f>
        <v>2.0718480421166068</v>
      </c>
    </row>
    <row r="37" spans="1:7" ht="13.8" x14ac:dyDescent="0.25">
      <c r="A37" s="103" t="s">
        <v>106</v>
      </c>
      <c r="B37" s="112">
        <f>SEKTOR_USD!D37</f>
        <v>14.506864576955318</v>
      </c>
      <c r="C37" s="112">
        <f>SEKTOR_TL!D37</f>
        <v>26.49705192391129</v>
      </c>
      <c r="D37" s="112">
        <f>SEKTOR_USD!H37</f>
        <v>14.506864576955318</v>
      </c>
      <c r="E37" s="112">
        <f>SEKTOR_TL!H37</f>
        <v>26.49705192391129</v>
      </c>
      <c r="F37" s="112">
        <f>SEKTOR_USD!L37</f>
        <v>17.240846488330426</v>
      </c>
      <c r="G37" s="112">
        <f>SEKTOR_TL!L37</f>
        <v>35.093581312923753</v>
      </c>
    </row>
    <row r="38" spans="1:7" ht="13.8" x14ac:dyDescent="0.25">
      <c r="A38" s="113" t="s">
        <v>28</v>
      </c>
      <c r="B38" s="112">
        <f>SEKTOR_USD!D38</f>
        <v>8.0414023378879236</v>
      </c>
      <c r="C38" s="112">
        <f>SEKTOR_TL!D38</f>
        <v>19.354581334143781</v>
      </c>
      <c r="D38" s="112">
        <f>SEKTOR_USD!H38</f>
        <v>8.0414023378879236</v>
      </c>
      <c r="E38" s="112">
        <f>SEKTOR_TL!H38</f>
        <v>19.354581334143781</v>
      </c>
      <c r="F38" s="112">
        <f>SEKTOR_USD!L38</f>
        <v>-8.8418291020687221</v>
      </c>
      <c r="G38" s="112">
        <f>SEKTOR_TL!L38</f>
        <v>5.0391918977047032</v>
      </c>
    </row>
    <row r="39" spans="1:7" ht="13.8" x14ac:dyDescent="0.25">
      <c r="A39" s="113" t="s">
        <v>107</v>
      </c>
      <c r="B39" s="112">
        <f>SEKTOR_USD!D39</f>
        <v>-4.3272793009262749</v>
      </c>
      <c r="C39" s="112">
        <f>SEKTOR_TL!D39</f>
        <v>5.6907562938213729</v>
      </c>
      <c r="D39" s="112">
        <f>SEKTOR_USD!H39</f>
        <v>-4.3272793009262749</v>
      </c>
      <c r="E39" s="112">
        <f>SEKTOR_TL!H39</f>
        <v>5.6907562938213729</v>
      </c>
      <c r="F39" s="112">
        <f>SEKTOR_USD!L39</f>
        <v>29.915540858255476</v>
      </c>
      <c r="G39" s="112">
        <f>SEKTOR_TL!L39</f>
        <v>49.698302327543495</v>
      </c>
    </row>
    <row r="40" spans="1:7" ht="13.8" x14ac:dyDescent="0.25">
      <c r="A40" s="113" t="s">
        <v>29</v>
      </c>
      <c r="B40" s="112">
        <f>SEKTOR_USD!D40</f>
        <v>8.2156738446712012</v>
      </c>
      <c r="C40" s="112">
        <f>SEKTOR_TL!D40</f>
        <v>19.547101074544205</v>
      </c>
      <c r="D40" s="112">
        <f>SEKTOR_USD!H40</f>
        <v>8.2156738446712012</v>
      </c>
      <c r="E40" s="112">
        <f>SEKTOR_TL!H40</f>
        <v>19.547101074544205</v>
      </c>
      <c r="F40" s="112">
        <f>SEKTOR_USD!L40</f>
        <v>3.7624311825454879</v>
      </c>
      <c r="G40" s="112">
        <f>SEKTOR_TL!L40</f>
        <v>19.562753545805464</v>
      </c>
    </row>
    <row r="41" spans="1:7" ht="13.8" x14ac:dyDescent="0.25">
      <c r="A41" s="103" t="s">
        <v>30</v>
      </c>
      <c r="B41" s="112">
        <f>SEKTOR_USD!D41</f>
        <v>-1.3850592876415799</v>
      </c>
      <c r="C41" s="112">
        <f>SEKTOR_TL!D41</f>
        <v>8.9410606241955382</v>
      </c>
      <c r="D41" s="112">
        <f>SEKTOR_USD!H41</f>
        <v>-1.3850592876415799</v>
      </c>
      <c r="E41" s="112">
        <f>SEKTOR_TL!H41</f>
        <v>8.9410606241955382</v>
      </c>
      <c r="F41" s="112">
        <f>SEKTOR_USD!L41</f>
        <v>-2.4953945491691929</v>
      </c>
      <c r="G41" s="112">
        <f>SEKTOR_TL!L41</f>
        <v>12.352023542984721</v>
      </c>
    </row>
    <row r="42" spans="1:7" ht="16.8" x14ac:dyDescent="0.3">
      <c r="A42" s="98" t="s">
        <v>31</v>
      </c>
      <c r="B42" s="111">
        <f>SEKTOR_USD!D42</f>
        <v>8.6433465028113119</v>
      </c>
      <c r="C42" s="111">
        <f>SEKTOR_TL!D42</f>
        <v>20.019555984938069</v>
      </c>
      <c r="D42" s="111">
        <f>SEKTOR_USD!H42</f>
        <v>8.6433465028113119</v>
      </c>
      <c r="E42" s="111">
        <f>SEKTOR_TL!H42</f>
        <v>20.019555984938069</v>
      </c>
      <c r="F42" s="111">
        <f>SEKTOR_USD!L42</f>
        <v>-3.0662442096742457</v>
      </c>
      <c r="G42" s="111">
        <f>SEKTOR_TL!L42</f>
        <v>11.694248310727529</v>
      </c>
    </row>
    <row r="43" spans="1:7" ht="13.8" x14ac:dyDescent="0.25">
      <c r="A43" s="103" t="s">
        <v>32</v>
      </c>
      <c r="B43" s="112">
        <f>SEKTOR_USD!D43</f>
        <v>8.6433465028113119</v>
      </c>
      <c r="C43" s="112">
        <f>SEKTOR_TL!D43</f>
        <v>20.019555984938069</v>
      </c>
      <c r="D43" s="112">
        <f>SEKTOR_USD!H43</f>
        <v>8.6433465028113119</v>
      </c>
      <c r="E43" s="112">
        <f>SEKTOR_TL!H43</f>
        <v>20.019555984938069</v>
      </c>
      <c r="F43" s="112">
        <f>SEKTOR_USD!L43</f>
        <v>-3.0662442096742457</v>
      </c>
      <c r="G43" s="112">
        <f>SEKTOR_TL!L43</f>
        <v>11.694248310727529</v>
      </c>
    </row>
    <row r="44" spans="1:7" ht="17.399999999999999" x14ac:dyDescent="0.3">
      <c r="A44" s="114" t="s">
        <v>40</v>
      </c>
      <c r="B44" s="115">
        <f>SEKTOR_USD!D44</f>
        <v>5.7539652946133852</v>
      </c>
      <c r="C44" s="115">
        <f>SEKTOR_TL!D44</f>
        <v>16.827623291018647</v>
      </c>
      <c r="D44" s="115">
        <f>SEKTOR_USD!H44</f>
        <v>5.7539652946133852</v>
      </c>
      <c r="E44" s="115">
        <f>SEKTOR_TL!H44</f>
        <v>16.827623291018647</v>
      </c>
      <c r="F44" s="115">
        <f>SEKTOR_USD!L44</f>
        <v>1.6142822792002198</v>
      </c>
      <c r="G44" s="115">
        <f>SEKTOR_TL!L44</f>
        <v>17.087497376657744</v>
      </c>
    </row>
    <row r="45" spans="1:7" ht="13.8" hidden="1" x14ac:dyDescent="0.25">
      <c r="A45" s="43" t="s">
        <v>34</v>
      </c>
      <c r="B45" s="48"/>
      <c r="C45" s="48"/>
      <c r="D45" s="42">
        <f>SEKTOR_USD!H45</f>
        <v>-1.8288966669498443</v>
      </c>
      <c r="E45" s="42">
        <f>SEKTOR_TL!H45</f>
        <v>16.184108200231659</v>
      </c>
      <c r="F45" s="42">
        <f>SEKTOR_USD!L45</f>
        <v>20.355171244769199</v>
      </c>
      <c r="G45" s="42">
        <f>SEKTOR_TL!L45</f>
        <v>37.978421126205681</v>
      </c>
    </row>
    <row r="46" spans="1:7" s="23" customFormat="1" ht="17.399999999999999" hidden="1" x14ac:dyDescent="0.3">
      <c r="A46" s="44" t="s">
        <v>40</v>
      </c>
      <c r="B46" s="49" t="e">
        <f>SEKTOR_USD!#REF!</f>
        <v>#REF!</v>
      </c>
      <c r="C46" s="49" t="e">
        <f>SEKTOR_TL!D46</f>
        <v>#REF!</v>
      </c>
      <c r="D46" s="49" t="e">
        <f>SEKTOR_USD!#REF!</f>
        <v>#REF!</v>
      </c>
      <c r="E46" s="49" t="e">
        <f>SEKTOR_TL!H46</f>
        <v>#REF!</v>
      </c>
      <c r="F46" s="49" t="e">
        <f>SEKTOR_USD!#REF!</f>
        <v>#REF!</v>
      </c>
      <c r="G46" s="49" t="e">
        <f>SEKTOR_TL!L46</f>
        <v>#REF!</v>
      </c>
    </row>
    <row r="47" spans="1:7" s="23" customFormat="1" ht="17.399999999999999" x14ac:dyDescent="0.3">
      <c r="A47" s="24"/>
      <c r="B47" s="26"/>
      <c r="C47" s="26"/>
      <c r="D47" s="26"/>
      <c r="E47" s="26"/>
    </row>
    <row r="48" spans="1:7" x14ac:dyDescent="0.25">
      <c r="A48" s="22" t="s">
        <v>36</v>
      </c>
    </row>
    <row r="49" spans="1:1" x14ac:dyDescent="0.25">
      <c r="A49" s="29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F12" sqref="F1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123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1"/>
      <c r="B7" s="146" t="s">
        <v>125</v>
      </c>
      <c r="C7" s="146"/>
      <c r="D7" s="146"/>
      <c r="E7" s="146"/>
      <c r="F7" s="146" t="s">
        <v>126</v>
      </c>
      <c r="G7" s="146"/>
      <c r="H7" s="146"/>
      <c r="I7" s="146"/>
      <c r="J7" s="146" t="s">
        <v>104</v>
      </c>
      <c r="K7" s="146"/>
      <c r="L7" s="146"/>
      <c r="M7" s="146"/>
    </row>
    <row r="8" spans="1:13" ht="64.8" x14ac:dyDescent="0.3">
      <c r="A8" s="52" t="s">
        <v>41</v>
      </c>
      <c r="B8" s="72">
        <v>2019</v>
      </c>
      <c r="C8" s="73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127</v>
      </c>
      <c r="K8" s="5" t="s">
        <v>128</v>
      </c>
      <c r="L8" s="7" t="s">
        <v>117</v>
      </c>
      <c r="M8" s="7" t="s">
        <v>118</v>
      </c>
    </row>
    <row r="9" spans="1:13" ht="22.5" customHeight="1" x14ac:dyDescent="0.3">
      <c r="A9" s="53" t="s">
        <v>198</v>
      </c>
      <c r="B9" s="76">
        <v>3482417.18377</v>
      </c>
      <c r="C9" s="76">
        <v>3677416.9225099999</v>
      </c>
      <c r="D9" s="65">
        <f>(C9-B9)/B9*100</f>
        <v>5.5995513590045194</v>
      </c>
      <c r="E9" s="78">
        <f t="shared" ref="E9:E22" si="0">C9/C$22*100</f>
        <v>27.171843033691829</v>
      </c>
      <c r="F9" s="76">
        <v>3482417.18377</v>
      </c>
      <c r="G9" s="76">
        <v>3677416.9225099999</v>
      </c>
      <c r="H9" s="65">
        <f t="shared" ref="H9:H21" si="1">(G9-F9)/F9*100</f>
        <v>5.5995513590045194</v>
      </c>
      <c r="I9" s="67">
        <f t="shared" ref="I9:I22" si="2">G9/G$22*100</f>
        <v>27.171843033691829</v>
      </c>
      <c r="J9" s="76">
        <v>47615147.679619998</v>
      </c>
      <c r="K9" s="76">
        <v>47393499.876620002</v>
      </c>
      <c r="L9" s="65">
        <f t="shared" ref="L9:L22" si="3">(K9-J9)/J9*100</f>
        <v>-0.46549851003583936</v>
      </c>
      <c r="M9" s="78">
        <f t="shared" ref="M9:M22" si="4">K9/K$22*100</f>
        <v>28.436387487271812</v>
      </c>
    </row>
    <row r="10" spans="1:13" ht="22.5" customHeight="1" x14ac:dyDescent="0.3">
      <c r="A10" s="53" t="s">
        <v>199</v>
      </c>
      <c r="B10" s="76">
        <v>2413441.8149600001</v>
      </c>
      <c r="C10" s="76">
        <v>2529101.3477599998</v>
      </c>
      <c r="D10" s="65">
        <f t="shared" ref="D10:D22" si="5">(C10-B10)/B10*100</f>
        <v>4.7923066586097338</v>
      </c>
      <c r="E10" s="78">
        <f t="shared" si="0"/>
        <v>18.687123675584893</v>
      </c>
      <c r="F10" s="76">
        <v>2413441.8149600001</v>
      </c>
      <c r="G10" s="76">
        <v>2529101.3477599998</v>
      </c>
      <c r="H10" s="65">
        <f t="shared" si="1"/>
        <v>4.7923066586097338</v>
      </c>
      <c r="I10" s="67">
        <f t="shared" si="2"/>
        <v>18.687123675584893</v>
      </c>
      <c r="J10" s="76">
        <v>32892922.412110001</v>
      </c>
      <c r="K10" s="76">
        <v>31851458.603870001</v>
      </c>
      <c r="L10" s="65">
        <f t="shared" si="3"/>
        <v>-3.166224621794536</v>
      </c>
      <c r="M10" s="78">
        <f t="shared" si="4"/>
        <v>19.111068421879978</v>
      </c>
    </row>
    <row r="11" spans="1:13" ht="22.5" customHeight="1" x14ac:dyDescent="0.3">
      <c r="A11" s="53" t="s">
        <v>200</v>
      </c>
      <c r="B11" s="76">
        <v>1573174.23636</v>
      </c>
      <c r="C11" s="76">
        <v>1658143.8542599999</v>
      </c>
      <c r="D11" s="65">
        <f t="shared" si="5"/>
        <v>5.4011574774197983</v>
      </c>
      <c r="E11" s="78">
        <f t="shared" si="0"/>
        <v>12.251758635102375</v>
      </c>
      <c r="F11" s="76">
        <v>1573174.23636</v>
      </c>
      <c r="G11" s="76">
        <v>1658143.8542599999</v>
      </c>
      <c r="H11" s="65">
        <f t="shared" si="1"/>
        <v>5.4011574774197983</v>
      </c>
      <c r="I11" s="67">
        <f t="shared" si="2"/>
        <v>12.251758635102375</v>
      </c>
      <c r="J11" s="76">
        <v>19696237.129250001</v>
      </c>
      <c r="K11" s="76">
        <v>19659591.66525</v>
      </c>
      <c r="L11" s="65">
        <f t="shared" si="3"/>
        <v>-0.18605312151518022</v>
      </c>
      <c r="M11" s="78">
        <f t="shared" si="4"/>
        <v>11.795874284236515</v>
      </c>
    </row>
    <row r="12" spans="1:13" ht="22.5" customHeight="1" x14ac:dyDescent="0.3">
      <c r="A12" s="53" t="s">
        <v>201</v>
      </c>
      <c r="B12" s="76">
        <v>1169294.5260000001</v>
      </c>
      <c r="C12" s="76">
        <v>1238682.99028</v>
      </c>
      <c r="D12" s="65">
        <f t="shared" si="5"/>
        <v>5.9342161223800982</v>
      </c>
      <c r="E12" s="78">
        <f t="shared" si="0"/>
        <v>9.1524296781175369</v>
      </c>
      <c r="F12" s="76">
        <v>1169294.5260000001</v>
      </c>
      <c r="G12" s="76">
        <v>1238682.99028</v>
      </c>
      <c r="H12" s="65">
        <f t="shared" si="1"/>
        <v>5.9342161223800982</v>
      </c>
      <c r="I12" s="67">
        <f t="shared" si="2"/>
        <v>9.1524296781175369</v>
      </c>
      <c r="J12" s="76">
        <v>14295676.551550001</v>
      </c>
      <c r="K12" s="76">
        <v>15892374.410089999</v>
      </c>
      <c r="L12" s="65">
        <f t="shared" si="3"/>
        <v>11.169096144434503</v>
      </c>
      <c r="M12" s="78">
        <f t="shared" si="4"/>
        <v>9.5355210734513101</v>
      </c>
    </row>
    <row r="13" spans="1:13" ht="22.5" customHeight="1" x14ac:dyDescent="0.3">
      <c r="A13" s="54" t="s">
        <v>202</v>
      </c>
      <c r="B13" s="76">
        <v>1186197.6333300001</v>
      </c>
      <c r="C13" s="76">
        <v>1190092.7204400001</v>
      </c>
      <c r="D13" s="65">
        <f t="shared" si="5"/>
        <v>0.32836746597321453</v>
      </c>
      <c r="E13" s="78">
        <f t="shared" si="0"/>
        <v>8.7934039780465056</v>
      </c>
      <c r="F13" s="76">
        <v>1186197.6333300001</v>
      </c>
      <c r="G13" s="76">
        <v>1190092.7204400001</v>
      </c>
      <c r="H13" s="65">
        <f t="shared" si="1"/>
        <v>0.32836746597321453</v>
      </c>
      <c r="I13" s="67">
        <f t="shared" si="2"/>
        <v>8.7934039780465056</v>
      </c>
      <c r="J13" s="76">
        <v>12613024.90906</v>
      </c>
      <c r="K13" s="76">
        <v>13438034.80876</v>
      </c>
      <c r="L13" s="65">
        <f t="shared" si="3"/>
        <v>6.5409361009617291</v>
      </c>
      <c r="M13" s="78">
        <f t="shared" si="4"/>
        <v>8.0629024208835993</v>
      </c>
    </row>
    <row r="14" spans="1:13" ht="22.5" customHeight="1" x14ac:dyDescent="0.3">
      <c r="A14" s="53" t="s">
        <v>203</v>
      </c>
      <c r="B14" s="76">
        <v>1036114.90442</v>
      </c>
      <c r="C14" s="76">
        <v>1143237.0082400001</v>
      </c>
      <c r="D14" s="65">
        <f t="shared" si="5"/>
        <v>10.338824715581643</v>
      </c>
      <c r="E14" s="78">
        <f t="shared" si="0"/>
        <v>8.4471946458010727</v>
      </c>
      <c r="F14" s="76">
        <v>1036114.90442</v>
      </c>
      <c r="G14" s="76">
        <v>1143237.0082400001</v>
      </c>
      <c r="H14" s="65">
        <f t="shared" si="1"/>
        <v>10.338824715581643</v>
      </c>
      <c r="I14" s="67">
        <f t="shared" si="2"/>
        <v>8.4471946458010727</v>
      </c>
      <c r="J14" s="76">
        <v>13282429.263940001</v>
      </c>
      <c r="K14" s="76">
        <v>13406831.569010001</v>
      </c>
      <c r="L14" s="65">
        <f t="shared" si="3"/>
        <v>0.93659301772255776</v>
      </c>
      <c r="M14" s="78">
        <f t="shared" si="4"/>
        <v>8.0441802877071265</v>
      </c>
    </row>
    <row r="15" spans="1:13" ht="22.5" customHeight="1" x14ac:dyDescent="0.3">
      <c r="A15" s="53" t="s">
        <v>204</v>
      </c>
      <c r="B15" s="76">
        <v>690645.39387000003</v>
      </c>
      <c r="C15" s="76">
        <v>712499.83444999997</v>
      </c>
      <c r="D15" s="65">
        <f t="shared" si="5"/>
        <v>3.1643504429298472</v>
      </c>
      <c r="E15" s="78">
        <f t="shared" si="0"/>
        <v>5.2645468466471295</v>
      </c>
      <c r="F15" s="76">
        <v>690645.39387000003</v>
      </c>
      <c r="G15" s="76">
        <v>712499.83444999997</v>
      </c>
      <c r="H15" s="65">
        <f t="shared" si="1"/>
        <v>3.1643504429298472</v>
      </c>
      <c r="I15" s="67">
        <f t="shared" si="2"/>
        <v>5.2645468466471295</v>
      </c>
      <c r="J15" s="76">
        <v>8509257.7999900002</v>
      </c>
      <c r="K15" s="76">
        <v>8938359.1330800001</v>
      </c>
      <c r="L15" s="65">
        <f t="shared" si="3"/>
        <v>5.042758642128625</v>
      </c>
      <c r="M15" s="78">
        <f t="shared" si="4"/>
        <v>5.363069713575773</v>
      </c>
    </row>
    <row r="16" spans="1:13" ht="22.5" customHeight="1" x14ac:dyDescent="0.3">
      <c r="A16" s="53" t="s">
        <v>205</v>
      </c>
      <c r="B16" s="76">
        <v>598076.78004999994</v>
      </c>
      <c r="C16" s="76">
        <v>654901.82143999997</v>
      </c>
      <c r="D16" s="65">
        <f t="shared" si="5"/>
        <v>9.5012953663322932</v>
      </c>
      <c r="E16" s="78">
        <f t="shared" si="0"/>
        <v>4.8389643789697772</v>
      </c>
      <c r="F16" s="76">
        <v>598076.78004999994</v>
      </c>
      <c r="G16" s="76">
        <v>654901.82143999997</v>
      </c>
      <c r="H16" s="65">
        <f t="shared" si="1"/>
        <v>9.5012953663322932</v>
      </c>
      <c r="I16" s="67">
        <f t="shared" si="2"/>
        <v>4.8389643789697772</v>
      </c>
      <c r="J16" s="76">
        <v>7090322.7300800001</v>
      </c>
      <c r="K16" s="76">
        <v>7625812.2802900001</v>
      </c>
      <c r="L16" s="65">
        <f t="shared" si="3"/>
        <v>7.5524002305034434</v>
      </c>
      <c r="M16" s="78">
        <f t="shared" si="4"/>
        <v>4.5755336379894214</v>
      </c>
    </row>
    <row r="17" spans="1:13" ht="22.5" customHeight="1" x14ac:dyDescent="0.3">
      <c r="A17" s="53" t="s">
        <v>206</v>
      </c>
      <c r="B17" s="76">
        <v>196083.31912999999</v>
      </c>
      <c r="C17" s="76">
        <v>205794.49853000001</v>
      </c>
      <c r="D17" s="65">
        <f t="shared" si="5"/>
        <v>4.9525780382989497</v>
      </c>
      <c r="E17" s="78">
        <f t="shared" si="0"/>
        <v>1.5205824982819249</v>
      </c>
      <c r="F17" s="76">
        <v>196083.31912999999</v>
      </c>
      <c r="G17" s="76">
        <v>205794.49853000001</v>
      </c>
      <c r="H17" s="65">
        <f t="shared" si="1"/>
        <v>4.9525780382989497</v>
      </c>
      <c r="I17" s="67">
        <f t="shared" si="2"/>
        <v>1.5205824982819249</v>
      </c>
      <c r="J17" s="76">
        <v>2530764.2631199998</v>
      </c>
      <c r="K17" s="76">
        <v>2443589.4649100001</v>
      </c>
      <c r="L17" s="65">
        <f t="shared" si="3"/>
        <v>-3.4446036511724745</v>
      </c>
      <c r="M17" s="78">
        <f t="shared" si="4"/>
        <v>1.4661685054889768</v>
      </c>
    </row>
    <row r="18" spans="1:13" ht="22.5" customHeight="1" x14ac:dyDescent="0.3">
      <c r="A18" s="53" t="s">
        <v>207</v>
      </c>
      <c r="B18" s="76">
        <v>125295.89138</v>
      </c>
      <c r="C18" s="76">
        <v>141954.22467</v>
      </c>
      <c r="D18" s="65">
        <f t="shared" si="5"/>
        <v>13.295195162847161</v>
      </c>
      <c r="E18" s="78">
        <f t="shared" si="0"/>
        <v>1.0488769677140612</v>
      </c>
      <c r="F18" s="76">
        <v>125295.89138</v>
      </c>
      <c r="G18" s="76">
        <v>141954.22467</v>
      </c>
      <c r="H18" s="65">
        <f t="shared" si="1"/>
        <v>13.295195162847161</v>
      </c>
      <c r="I18" s="67">
        <f t="shared" si="2"/>
        <v>1.0488769677140612</v>
      </c>
      <c r="J18" s="76">
        <v>1768670.6789500001</v>
      </c>
      <c r="K18" s="76">
        <v>1858263.0014899999</v>
      </c>
      <c r="L18" s="65">
        <f t="shared" si="3"/>
        <v>5.0655174875849571</v>
      </c>
      <c r="M18" s="78">
        <f t="shared" si="4"/>
        <v>1.1149690759533541</v>
      </c>
    </row>
    <row r="19" spans="1:13" ht="22.5" customHeight="1" x14ac:dyDescent="0.3">
      <c r="A19" s="53" t="s">
        <v>208</v>
      </c>
      <c r="B19" s="76">
        <v>159931.49210999999</v>
      </c>
      <c r="C19" s="76">
        <v>165160.50834</v>
      </c>
      <c r="D19" s="65">
        <f t="shared" si="5"/>
        <v>3.269535074682802</v>
      </c>
      <c r="E19" s="78">
        <f t="shared" si="0"/>
        <v>1.2203444707368578</v>
      </c>
      <c r="F19" s="76">
        <v>159931.49210999999</v>
      </c>
      <c r="G19" s="76">
        <v>165160.50834</v>
      </c>
      <c r="H19" s="65">
        <f t="shared" si="1"/>
        <v>3.269535074682802</v>
      </c>
      <c r="I19" s="67">
        <f t="shared" si="2"/>
        <v>1.2203444707368578</v>
      </c>
      <c r="J19" s="76">
        <v>1753587.7519799999</v>
      </c>
      <c r="K19" s="76">
        <v>1797694.05696</v>
      </c>
      <c r="L19" s="65">
        <f t="shared" si="3"/>
        <v>2.5152037547136707</v>
      </c>
      <c r="M19" s="78">
        <f t="shared" si="4"/>
        <v>1.0786273417316992</v>
      </c>
    </row>
    <row r="20" spans="1:13" ht="22.5" customHeight="1" x14ac:dyDescent="0.3">
      <c r="A20" s="53" t="s">
        <v>209</v>
      </c>
      <c r="B20" s="76">
        <v>107424.69222</v>
      </c>
      <c r="C20" s="76">
        <v>143388.22284</v>
      </c>
      <c r="D20" s="65">
        <f t="shared" si="5"/>
        <v>33.477899612082318</v>
      </c>
      <c r="E20" s="78">
        <f t="shared" si="0"/>
        <v>1.059472549886791</v>
      </c>
      <c r="F20" s="76">
        <v>107424.69222</v>
      </c>
      <c r="G20" s="76">
        <v>143388.22284</v>
      </c>
      <c r="H20" s="65">
        <f t="shared" si="1"/>
        <v>33.477899612082318</v>
      </c>
      <c r="I20" s="67">
        <f t="shared" si="2"/>
        <v>1.059472549886791</v>
      </c>
      <c r="J20" s="76">
        <v>1093090.8524499999</v>
      </c>
      <c r="K20" s="76">
        <v>1447084.2299200001</v>
      </c>
      <c r="L20" s="65">
        <f t="shared" si="3"/>
        <v>32.384625365455847</v>
      </c>
      <c r="M20" s="78">
        <f t="shared" si="4"/>
        <v>0.86825931817340551</v>
      </c>
    </row>
    <row r="21" spans="1:13" ht="22.5" customHeight="1" x14ac:dyDescent="0.3">
      <c r="A21" s="53" t="s">
        <v>210</v>
      </c>
      <c r="B21" s="76">
        <v>59460.31596</v>
      </c>
      <c r="C21" s="76">
        <v>73551.286240000001</v>
      </c>
      <c r="D21" s="65">
        <f t="shared" si="5"/>
        <v>23.698108650279028</v>
      </c>
      <c r="E21" s="78">
        <f t="shared" si="0"/>
        <v>0.54345864141924283</v>
      </c>
      <c r="F21" s="76">
        <v>59460.31596</v>
      </c>
      <c r="G21" s="76">
        <v>73551.286240000001</v>
      </c>
      <c r="H21" s="65">
        <f t="shared" si="1"/>
        <v>23.698108650279028</v>
      </c>
      <c r="I21" s="67">
        <f t="shared" si="2"/>
        <v>0.54345864141924283</v>
      </c>
      <c r="J21" s="76">
        <v>876147.36176</v>
      </c>
      <c r="K21" s="76">
        <v>912388.15952999995</v>
      </c>
      <c r="L21" s="65">
        <f t="shared" si="3"/>
        <v>4.1363815439904572</v>
      </c>
      <c r="M21" s="78">
        <f t="shared" si="4"/>
        <v>0.54743843165701633</v>
      </c>
    </row>
    <row r="22" spans="1:13" ht="24" customHeight="1" x14ac:dyDescent="0.25">
      <c r="A22" s="69" t="s">
        <v>42</v>
      </c>
      <c r="B22" s="77">
        <f>SUM(B9:B21)</f>
        <v>12797558.183560003</v>
      </c>
      <c r="C22" s="77">
        <f>SUM(C9:C21)</f>
        <v>13533925.24</v>
      </c>
      <c r="D22" s="75">
        <f t="shared" si="5"/>
        <v>5.7539652946133852</v>
      </c>
      <c r="E22" s="79">
        <f t="shared" si="0"/>
        <v>100</v>
      </c>
      <c r="F22" s="68">
        <f>SUM(F9:F21)</f>
        <v>12797558.183560003</v>
      </c>
      <c r="G22" s="68">
        <f>SUM(G9:G21)</f>
        <v>13533925.24</v>
      </c>
      <c r="H22" s="75">
        <f>(G22-F22)/F22*100</f>
        <v>5.7539652946133852</v>
      </c>
      <c r="I22" s="71">
        <f t="shared" si="2"/>
        <v>100</v>
      </c>
      <c r="J22" s="77">
        <f>SUM(J9:J21)</f>
        <v>164017279.38386002</v>
      </c>
      <c r="K22" s="77">
        <f>SUM(K9:K21)</f>
        <v>166664981.25978002</v>
      </c>
      <c r="L22" s="75">
        <f t="shared" si="3"/>
        <v>1.6142822792002383</v>
      </c>
      <c r="M22" s="79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G21" sqref="G2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0"/>
    </row>
    <row r="8" spans="9:9" x14ac:dyDescent="0.25">
      <c r="I8" s="30"/>
    </row>
    <row r="9" spans="9:9" x14ac:dyDescent="0.25">
      <c r="I9" s="30"/>
    </row>
    <row r="10" spans="9:9" x14ac:dyDescent="0.25">
      <c r="I10" s="30"/>
    </row>
    <row r="17" spans="3:14" ht="12.75" customHeight="1" x14ac:dyDescent="0.25"/>
    <row r="21" spans="3:14" x14ac:dyDescent="0.25">
      <c r="C21" s="1" t="s">
        <v>116</v>
      </c>
    </row>
    <row r="22" spans="3:14" x14ac:dyDescent="0.25">
      <c r="C22" s="66" t="s">
        <v>222</v>
      </c>
    </row>
    <row r="24" spans="3:14" x14ac:dyDescent="0.25">
      <c r="H24" s="30"/>
      <c r="I24" s="30"/>
    </row>
    <row r="25" spans="3:14" x14ac:dyDescent="0.25">
      <c r="H25" s="30"/>
      <c r="I25" s="30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0"/>
      <c r="I37" s="30"/>
    </row>
    <row r="38" spans="8:9" x14ac:dyDescent="0.25">
      <c r="H38" s="30"/>
      <c r="I38" s="30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0"/>
      <c r="I49" s="30"/>
    </row>
    <row r="50" spans="3:9" x14ac:dyDescent="0.25">
      <c r="H50" s="30"/>
      <c r="I50" s="30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1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N28" sqref="N28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3" spans="1:16" ht="15.6" x14ac:dyDescent="0.3">
      <c r="A3" s="38"/>
      <c r="B3" s="74" t="s">
        <v>121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s="40" customFormat="1" x14ac:dyDescent="0.25">
      <c r="A4" s="50"/>
      <c r="B4" s="63" t="s">
        <v>103</v>
      </c>
      <c r="C4" s="63" t="s">
        <v>44</v>
      </c>
      <c r="D4" s="63" t="s">
        <v>45</v>
      </c>
      <c r="E4" s="63" t="s">
        <v>46</v>
      </c>
      <c r="F4" s="63" t="s">
        <v>47</v>
      </c>
      <c r="G4" s="63" t="s">
        <v>48</v>
      </c>
      <c r="H4" s="63" t="s">
        <v>49</v>
      </c>
      <c r="I4" s="63" t="s">
        <v>0</v>
      </c>
      <c r="J4" s="63" t="s">
        <v>102</v>
      </c>
      <c r="K4" s="63" t="s">
        <v>50</v>
      </c>
      <c r="L4" s="63" t="s">
        <v>51</v>
      </c>
      <c r="M4" s="63" t="s">
        <v>52</v>
      </c>
      <c r="N4" s="63" t="s">
        <v>53</v>
      </c>
      <c r="O4" s="64" t="s">
        <v>101</v>
      </c>
      <c r="P4" s="64" t="s">
        <v>100</v>
      </c>
    </row>
    <row r="5" spans="1:16" x14ac:dyDescent="0.25">
      <c r="A5" s="55" t="s">
        <v>99</v>
      </c>
      <c r="B5" s="56" t="s">
        <v>168</v>
      </c>
      <c r="C5" s="80">
        <v>1273537.8886200001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80">
        <v>1273537.8886200001</v>
      </c>
      <c r="P5" s="58">
        <f t="shared" ref="P5:P24" si="0">O5/O$26*100</f>
        <v>9.4099669241264419</v>
      </c>
    </row>
    <row r="6" spans="1:16" x14ac:dyDescent="0.25">
      <c r="A6" s="55" t="s">
        <v>98</v>
      </c>
      <c r="B6" s="56" t="s">
        <v>169</v>
      </c>
      <c r="C6" s="80">
        <v>845882.37132000003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80">
        <v>845882.37132000003</v>
      </c>
      <c r="P6" s="58">
        <f t="shared" si="0"/>
        <v>6.2500889898516991</v>
      </c>
    </row>
    <row r="7" spans="1:16" x14ac:dyDescent="0.25">
      <c r="A7" s="55" t="s">
        <v>97</v>
      </c>
      <c r="B7" s="56" t="s">
        <v>170</v>
      </c>
      <c r="C7" s="80">
        <v>836373.66142999998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80">
        <v>836373.66142999998</v>
      </c>
      <c r="P7" s="58">
        <f t="shared" si="0"/>
        <v>6.1798306596084025</v>
      </c>
    </row>
    <row r="8" spans="1:16" x14ac:dyDescent="0.25">
      <c r="A8" s="55" t="s">
        <v>96</v>
      </c>
      <c r="B8" s="56" t="s">
        <v>171</v>
      </c>
      <c r="C8" s="80">
        <v>640616.95343999995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80">
        <v>640616.95343999995</v>
      </c>
      <c r="P8" s="58">
        <f t="shared" si="0"/>
        <v>4.7334157835203179</v>
      </c>
    </row>
    <row r="9" spans="1:16" x14ac:dyDescent="0.25">
      <c r="A9" s="55" t="s">
        <v>95</v>
      </c>
      <c r="B9" s="56" t="s">
        <v>172</v>
      </c>
      <c r="C9" s="80">
        <v>623174.41365999996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80">
        <v>623174.41365999996</v>
      </c>
      <c r="P9" s="58">
        <f t="shared" si="0"/>
        <v>4.6045356584221837</v>
      </c>
    </row>
    <row r="10" spans="1:16" x14ac:dyDescent="0.25">
      <c r="A10" s="55" t="s">
        <v>94</v>
      </c>
      <c r="B10" s="56" t="s">
        <v>173</v>
      </c>
      <c r="C10" s="80">
        <v>619210.48236000002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80">
        <v>619210.48236000002</v>
      </c>
      <c r="P10" s="58">
        <f t="shared" si="0"/>
        <v>4.5752468066684848</v>
      </c>
    </row>
    <row r="11" spans="1:16" x14ac:dyDescent="0.25">
      <c r="A11" s="55" t="s">
        <v>93</v>
      </c>
      <c r="B11" s="56" t="s">
        <v>174</v>
      </c>
      <c r="C11" s="80">
        <v>592812.68880999996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80">
        <v>592812.68880999996</v>
      </c>
      <c r="P11" s="58">
        <f t="shared" si="0"/>
        <v>4.3801977497106375</v>
      </c>
    </row>
    <row r="12" spans="1:16" x14ac:dyDescent="0.25">
      <c r="A12" s="55" t="s">
        <v>92</v>
      </c>
      <c r="B12" s="56" t="s">
        <v>175</v>
      </c>
      <c r="C12" s="80">
        <v>473547.95426999999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80">
        <v>473547.95426999999</v>
      </c>
      <c r="P12" s="58">
        <f t="shared" si="0"/>
        <v>3.4989697805512634</v>
      </c>
    </row>
    <row r="13" spans="1:16" x14ac:dyDescent="0.25">
      <c r="A13" s="55" t="s">
        <v>91</v>
      </c>
      <c r="B13" s="56" t="s">
        <v>176</v>
      </c>
      <c r="C13" s="80">
        <v>365733.39926999999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80">
        <v>365733.39926999999</v>
      </c>
      <c r="P13" s="58">
        <f t="shared" si="0"/>
        <v>2.7023453490718414</v>
      </c>
    </row>
    <row r="14" spans="1:16" x14ac:dyDescent="0.25">
      <c r="A14" s="55" t="s">
        <v>90</v>
      </c>
      <c r="B14" s="56" t="s">
        <v>177</v>
      </c>
      <c r="C14" s="80">
        <v>336886.56873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80">
        <v>336886.56873</v>
      </c>
      <c r="P14" s="58">
        <f t="shared" si="0"/>
        <v>2.4892007511192671</v>
      </c>
    </row>
    <row r="15" spans="1:16" x14ac:dyDescent="0.25">
      <c r="A15" s="55" t="s">
        <v>89</v>
      </c>
      <c r="B15" s="56" t="s">
        <v>211</v>
      </c>
      <c r="C15" s="80">
        <v>333136.56722000003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80">
        <v>333136.56722000003</v>
      </c>
      <c r="P15" s="58">
        <f t="shared" si="0"/>
        <v>2.4614925922259645</v>
      </c>
    </row>
    <row r="16" spans="1:16" x14ac:dyDescent="0.25">
      <c r="A16" s="55" t="s">
        <v>88</v>
      </c>
      <c r="B16" s="56" t="s">
        <v>212</v>
      </c>
      <c r="C16" s="80">
        <v>310989.87753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80">
        <v>310989.87753</v>
      </c>
      <c r="P16" s="58">
        <f t="shared" si="0"/>
        <v>2.2978542589466828</v>
      </c>
    </row>
    <row r="17" spans="1:16" x14ac:dyDescent="0.25">
      <c r="A17" s="55" t="s">
        <v>87</v>
      </c>
      <c r="B17" s="56" t="s">
        <v>213</v>
      </c>
      <c r="C17" s="80">
        <v>274842.77931999997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80">
        <v>274842.77931999997</v>
      </c>
      <c r="P17" s="58">
        <f t="shared" si="0"/>
        <v>2.0307691556304177</v>
      </c>
    </row>
    <row r="18" spans="1:16" x14ac:dyDescent="0.25">
      <c r="A18" s="55" t="s">
        <v>86</v>
      </c>
      <c r="B18" s="56" t="s">
        <v>214</v>
      </c>
      <c r="C18" s="80">
        <v>270384.10488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80">
        <v>270384.10488</v>
      </c>
      <c r="P18" s="58">
        <f t="shared" si="0"/>
        <v>1.9978247262728344</v>
      </c>
    </row>
    <row r="19" spans="1:16" x14ac:dyDescent="0.25">
      <c r="A19" s="55" t="s">
        <v>85</v>
      </c>
      <c r="B19" s="56" t="s">
        <v>215</v>
      </c>
      <c r="C19" s="80">
        <v>223119.11627999999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80">
        <v>223119.11627999999</v>
      </c>
      <c r="P19" s="58">
        <f t="shared" si="0"/>
        <v>1.6485913164391031</v>
      </c>
    </row>
    <row r="20" spans="1:16" x14ac:dyDescent="0.25">
      <c r="A20" s="55" t="s">
        <v>84</v>
      </c>
      <c r="B20" s="56" t="s">
        <v>216</v>
      </c>
      <c r="C20" s="80">
        <v>221222.53904999999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80">
        <v>221222.53904999999</v>
      </c>
      <c r="P20" s="58">
        <f t="shared" si="0"/>
        <v>1.634577811883938</v>
      </c>
    </row>
    <row r="21" spans="1:16" x14ac:dyDescent="0.25">
      <c r="A21" s="55" t="s">
        <v>83</v>
      </c>
      <c r="B21" s="56" t="s">
        <v>217</v>
      </c>
      <c r="C21" s="80">
        <v>204857.31907999999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80">
        <v>204857.31907999999</v>
      </c>
      <c r="P21" s="58">
        <f t="shared" si="0"/>
        <v>1.5136578298403547</v>
      </c>
    </row>
    <row r="22" spans="1:16" x14ac:dyDescent="0.25">
      <c r="A22" s="55" t="s">
        <v>82</v>
      </c>
      <c r="B22" s="56" t="s">
        <v>218</v>
      </c>
      <c r="C22" s="80">
        <v>202921.97083999999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80">
        <v>202921.97083999999</v>
      </c>
      <c r="P22" s="58">
        <f t="shared" si="0"/>
        <v>1.4993578525190672</v>
      </c>
    </row>
    <row r="23" spans="1:16" x14ac:dyDescent="0.25">
      <c r="A23" s="55" t="s">
        <v>81</v>
      </c>
      <c r="B23" s="56" t="s">
        <v>219</v>
      </c>
      <c r="C23" s="80">
        <v>190473.35326999999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80">
        <v>190473.35326999999</v>
      </c>
      <c r="P23" s="58">
        <f t="shared" si="0"/>
        <v>1.4073770165882786</v>
      </c>
    </row>
    <row r="24" spans="1:16" x14ac:dyDescent="0.25">
      <c r="A24" s="55" t="s">
        <v>80</v>
      </c>
      <c r="B24" s="56" t="s">
        <v>220</v>
      </c>
      <c r="C24" s="80">
        <v>179927.71640999999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80">
        <v>179927.71640999999</v>
      </c>
      <c r="P24" s="58">
        <f t="shared" si="0"/>
        <v>1.3294569994979522</v>
      </c>
    </row>
    <row r="25" spans="1:16" x14ac:dyDescent="0.25">
      <c r="A25" s="59"/>
      <c r="B25" s="162" t="s">
        <v>79</v>
      </c>
      <c r="C25" s="162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81">
        <f>SUM(O5:O24)</f>
        <v>9019651.7257899977</v>
      </c>
      <c r="P25" s="61">
        <f>SUM(P5:P24)</f>
        <v>66.644758012495132</v>
      </c>
    </row>
    <row r="26" spans="1:16" ht="13.5" customHeight="1" x14ac:dyDescent="0.25">
      <c r="A26" s="59"/>
      <c r="B26" s="163" t="s">
        <v>78</v>
      </c>
      <c r="C26" s="16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81">
        <v>13533925.239999998</v>
      </c>
      <c r="P26" s="57">
        <f>O26/O$26*100</f>
        <v>100</v>
      </c>
    </row>
    <row r="27" spans="1:16" x14ac:dyDescent="0.25">
      <c r="B27" s="39"/>
    </row>
    <row r="28" spans="1:16" x14ac:dyDescent="0.25">
      <c r="B28" s="30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topLeftCell="A25" zoomScaleNormal="100" workbookViewId="0">
      <selection activeCell="N26" sqref="N26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2" t="s">
        <v>2</v>
      </c>
    </row>
    <row r="2" spans="2:2" ht="13.8" x14ac:dyDescent="0.25">
      <c r="B2" s="32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1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2020-02-01T13:03:22Z</dcterms:modified>
</cp:coreProperties>
</file>