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Yeni klasör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K45" i="1"/>
  <c r="J45" i="1"/>
  <c r="G45" i="1"/>
  <c r="F45" i="1"/>
  <c r="C45" i="1"/>
  <c r="B45" i="1"/>
  <c r="L48" i="1"/>
  <c r="H48" i="1"/>
  <c r="D48" i="1"/>
  <c r="K47" i="1"/>
  <c r="M47" i="1" s="1"/>
  <c r="J47" i="1"/>
  <c r="G47" i="1"/>
  <c r="I47" i="1" s="1"/>
  <c r="F47" i="1"/>
  <c r="C47" i="1"/>
  <c r="B47" i="1"/>
  <c r="L46" i="1"/>
  <c r="H46" i="1"/>
  <c r="D46" i="1"/>
  <c r="L47" i="1" l="1"/>
  <c r="H47" i="1"/>
  <c r="D47" i="1"/>
  <c r="J79" i="22" l="1"/>
  <c r="D15" i="14" l="1"/>
  <c r="D14" i="14"/>
  <c r="D13" i="14"/>
  <c r="D12" i="14"/>
  <c r="D11" i="14"/>
  <c r="D10" i="14"/>
  <c r="D9" i="14"/>
  <c r="D8" i="14"/>
  <c r="D7" i="14"/>
  <c r="D6" i="14"/>
  <c r="L15" i="1" l="1"/>
  <c r="L16" i="1"/>
  <c r="L17" i="1"/>
  <c r="L19" i="1"/>
  <c r="L21" i="1"/>
  <c r="L24" i="1"/>
  <c r="L25" i="1"/>
  <c r="L26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H15" i="1" l="1"/>
  <c r="H16" i="1"/>
  <c r="H17" i="1"/>
  <c r="H19" i="1"/>
  <c r="H21" i="1"/>
  <c r="H24" i="1"/>
  <c r="H25" i="1"/>
  <c r="H26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B42" i="1"/>
  <c r="B42" i="2" s="1"/>
  <c r="K29" i="1"/>
  <c r="J29" i="1"/>
  <c r="J29" i="2" s="1"/>
  <c r="G29" i="1"/>
  <c r="F29" i="1"/>
  <c r="F29" i="2" s="1"/>
  <c r="C29" i="1"/>
  <c r="B29" i="1"/>
  <c r="B29" i="2" s="1"/>
  <c r="K27" i="1"/>
  <c r="J27" i="1"/>
  <c r="J27" i="2" s="1"/>
  <c r="G27" i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B20" i="1"/>
  <c r="B20" i="2" s="1"/>
  <c r="K18" i="1"/>
  <c r="J18" i="1"/>
  <c r="J18" i="2" s="1"/>
  <c r="G18" i="1"/>
  <c r="F18" i="1"/>
  <c r="F18" i="2" s="1"/>
  <c r="C18" i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C18" i="2" l="1"/>
  <c r="L18" i="1"/>
  <c r="H20" i="1"/>
  <c r="L23" i="1"/>
  <c r="H27" i="1"/>
  <c r="C29" i="2"/>
  <c r="L29" i="1"/>
  <c r="H42" i="1"/>
  <c r="H18" i="1"/>
  <c r="C20" i="2"/>
  <c r="L20" i="1"/>
  <c r="H23" i="1"/>
  <c r="C27" i="2"/>
  <c r="L27" i="1"/>
  <c r="H29" i="1"/>
  <c r="C42" i="2"/>
  <c r="L42" i="1"/>
  <c r="K22" i="1"/>
  <c r="K8" i="1"/>
  <c r="K44" i="1" s="1"/>
  <c r="G22" i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22" i="2"/>
  <c r="K29" i="2"/>
  <c r="K18" i="2"/>
  <c r="C8" i="1"/>
  <c r="G23" i="2"/>
  <c r="K27" i="2"/>
  <c r="C22" i="1"/>
  <c r="G42" i="2"/>
  <c r="J46" i="2"/>
  <c r="C22" i="2" l="1"/>
  <c r="L22" i="1"/>
  <c r="L44" i="1"/>
  <c r="G22" i="2"/>
  <c r="H22" i="1"/>
  <c r="K8" i="2"/>
  <c r="J44" i="2"/>
  <c r="C8" i="2"/>
  <c r="C44" i="1"/>
  <c r="B8" i="2"/>
  <c r="B44" i="1"/>
  <c r="G8" i="2"/>
  <c r="G44" i="1"/>
  <c r="K44" i="2"/>
  <c r="M27" i="2" s="1"/>
  <c r="F8" i="2"/>
  <c r="F44" i="1"/>
  <c r="F46" i="2"/>
  <c r="C46" i="2"/>
  <c r="B46" i="2"/>
  <c r="H44" i="1" l="1"/>
  <c r="L45" i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5" i="1" l="1"/>
  <c r="C45" i="2"/>
  <c r="H45" i="1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D44" i="1"/>
  <c r="B44" i="3" s="1"/>
  <c r="D43" i="3"/>
  <c r="D43" i="1"/>
  <c r="B43" i="3" s="1"/>
  <c r="D42" i="3"/>
  <c r="D42" i="1"/>
  <c r="B42" i="3" s="1"/>
  <c r="D41" i="3"/>
  <c r="D41" i="1"/>
  <c r="B41" i="3" s="1"/>
  <c r="D40" i="3"/>
  <c r="D40" i="1"/>
  <c r="B40" i="3" s="1"/>
  <c r="D39" i="3"/>
  <c r="D39" i="1"/>
  <c r="B39" i="3" s="1"/>
  <c r="D38" i="3"/>
  <c r="D38" i="1"/>
  <c r="B38" i="3" s="1"/>
  <c r="D37" i="3"/>
  <c r="D37" i="1"/>
  <c r="B37" i="3" s="1"/>
  <c r="D36" i="3"/>
  <c r="D36" i="1"/>
  <c r="B36" i="3" s="1"/>
  <c r="D35" i="3"/>
  <c r="D35" i="1"/>
  <c r="B35" i="3" s="1"/>
  <c r="D34" i="3"/>
  <c r="D34" i="1"/>
  <c r="B34" i="3" s="1"/>
  <c r="D33" i="3"/>
  <c r="D33" i="1"/>
  <c r="B33" i="3" s="1"/>
  <c r="D32" i="3"/>
  <c r="D32" i="1"/>
  <c r="B32" i="3" s="1"/>
  <c r="D31" i="3"/>
  <c r="D31" i="1"/>
  <c r="B31" i="3" s="1"/>
  <c r="D30" i="3"/>
  <c r="D30" i="1"/>
  <c r="B30" i="3" s="1"/>
  <c r="D29" i="3"/>
  <c r="D29" i="1"/>
  <c r="B29" i="3" s="1"/>
  <c r="D28" i="3"/>
  <c r="D28" i="1"/>
  <c r="B28" i="3" s="1"/>
  <c r="D27" i="3"/>
  <c r="D27" i="1"/>
  <c r="B27" i="3" s="1"/>
  <c r="D26" i="3"/>
  <c r="D26" i="1"/>
  <c r="B26" i="3" s="1"/>
  <c r="D25" i="3"/>
  <c r="D25" i="1"/>
  <c r="B25" i="3" s="1"/>
  <c r="D24" i="3"/>
  <c r="D24" i="1"/>
  <c r="B24" i="3" s="1"/>
  <c r="D23" i="3"/>
  <c r="D22" i="3"/>
  <c r="D22" i="1"/>
  <c r="B22" i="3" s="1"/>
  <c r="D21" i="3"/>
  <c r="D21" i="1"/>
  <c r="B21" i="3" s="1"/>
  <c r="D20" i="3"/>
  <c r="D20" i="1"/>
  <c r="B20" i="3" s="1"/>
  <c r="D19" i="3"/>
  <c r="D19" i="1"/>
  <c r="B19" i="3" s="1"/>
  <c r="D18" i="3"/>
  <c r="D18" i="1"/>
  <c r="B18" i="3" s="1"/>
  <c r="D17" i="3"/>
  <c r="D17" i="1"/>
  <c r="B17" i="3" s="1"/>
  <c r="D16" i="3"/>
  <c r="D16" i="1"/>
  <c r="B16" i="3" s="1"/>
  <c r="D15" i="3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<sst xmlns="http://schemas.openxmlformats.org/spreadsheetml/2006/main" count="418" uniqueCount="228">
  <si>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</si>
  <si>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</si>
  <si>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</si>
  <si>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</si>
  <si>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</si>
  <si>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</si>
  <si>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</si>
  <si>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</si>
  <si>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</si>
  <si>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</si>
  <si>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</si>
  <si>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</si>
  <si>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</si>
  <si>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</si>
  <si>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</si>
  <si>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</si>
  <si>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</si>
  <si>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</si>
  <si>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</si>
  <si>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</si>
  <si>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</si>
  <si>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</si>
  <si>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</si>
  <si>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</si>
  <si>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</si>
  <si>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</si>
  <si>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</si>
  <si>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</si>
  <si>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</si>
  <si>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</si>
  <si>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</si>
  <si>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</si>
  <si>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</si>
  <si>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</si>
  <si>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</si>
  <si>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</si>
  <si>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</si>
  <si>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</si>
  <si>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</si>
  <si>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</si>
  <si>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</si>
  <si>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</si>
  <si>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</si>
  <si>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</si>
  <si>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</si>
  <si>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</si>
  <si>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</si>
  <si>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</si>
  <si>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</si>
  <si>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</si>
  <si>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</si>
  <si>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</si>
  <si>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</si>
  <si>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</si>
  <si>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</si>
  <si>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</si>
  <si>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</si>
  <si>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</si>
  <si>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</si>
  <si>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</si>
  <si>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</si>
  <si>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</si>
  <si>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</si>
  <si>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</si>
  <si>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</si>
  <si>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</si>
  <si>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</si>
  <si>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</si>
  <si>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</si>
  <si>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</si>
  <si>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</si>
  <si>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</si>
  <si>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</si>
  <si>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</si>
  <si>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</si>
  <si>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</si>
  <si>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</si>
  <si>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</si>
  <si>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</si>
  <si>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</si>
  <si>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</si>
  <si>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</si>
  <si>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</si>
  <si>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</si>
  <si>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</si>
  <si>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</si>
  <si>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</si>
  <si>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</si>
  <si>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</si>
  <si>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</si>
  <si>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</si>
  <si>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</si>
  <si>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</si>
  <si>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</si>
  <si>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</si>
  <si>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</si>
  <si>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</si>
  <si>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</si>
  <si>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</si>
  <si>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</si>
  <si>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</si>
  <si>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</si>
  <si>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</si>
  <si>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</si>
  <si>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</si>
  <si>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</si>
  <si>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</si>
  <si>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</si>
  <si>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</si>
  <si>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</si>
  <si>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</si>
  <si>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</si>
  <si>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</si>
  <si>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</si>
  <si>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</si>
  <si>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</si>
  <si>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</si>
  <si>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</si>
  <si>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</si>
  <si>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</si>
  <si>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</si>
  <si>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</si>
  <si>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AĞUSTOS  (2019/2018)</t>
  </si>
  <si>
    <t>OCAK - AĞUSTOS (2019/2018)</t>
  </si>
  <si>
    <t>1 - 31 AĞUSTOS İHRACAT RAKAMLARI</t>
  </si>
  <si>
    <t xml:space="preserve">SEKTÖREL BAZDA İHRACAT RAKAMLARI -1.000 $ </t>
  </si>
  <si>
    <t>1 - 31 AĞUSTOS</t>
  </si>
  <si>
    <t>1 OCAK  -  31 AĞUSTOS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</si>
  <si>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</si>
  <si>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</si>
  <si>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</si>
  <si>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</si>
  <si>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</si>
  <si>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</si>
  <si>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</si>
  <si>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</si>
  <si>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</si>
  <si>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</si>
  <si>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</si>
  <si>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</si>
  <si>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</si>
  <si>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</si>
  <si>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</si>
  <si>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</si>
  <si>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</si>
  <si>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</si>
  <si>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</si>
  <si>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</si>
  <si>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</si>
  <si>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</si>
  <si>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</si>
  <si>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</si>
  <si>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</si>
  <si>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</si>
  <si>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</si>
  <si>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</si>
  <si>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</si>
  <si>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AĞUSTOS</t>
  </si>
  <si>
    <t>2019  1 - 31 AĞUSTOS</t>
  </si>
  <si>
    <t>MAKAO</t>
  </si>
  <si>
    <t>COOK ADALARI</t>
  </si>
  <si>
    <t>MARŞAL ADALARI</t>
  </si>
  <si>
    <t>CAYMAN ADALARI</t>
  </si>
  <si>
    <t>ARUBA</t>
  </si>
  <si>
    <t>FRANSIZ POLİNEZYASI</t>
  </si>
  <si>
    <t>TÜBİTAK MAM TEKNOLOJİ SERBEST BÖLGESİ</t>
  </si>
  <si>
    <t>NİKARAGUA</t>
  </si>
  <si>
    <t>ORTA AFRİKA CUMHURİYETİ</t>
  </si>
  <si>
    <t>SAMOA</t>
  </si>
  <si>
    <t>ALMANYA</t>
  </si>
  <si>
    <t>BİRLEŞİK KRALLIK</t>
  </si>
  <si>
    <t>ABD</t>
  </si>
  <si>
    <t>İTALYA</t>
  </si>
  <si>
    <t>İSPANYA</t>
  </si>
  <si>
    <t>IRAK</t>
  </si>
  <si>
    <t>FRANSA</t>
  </si>
  <si>
    <t>HOLLANDA</t>
  </si>
  <si>
    <t>İSRAİL</t>
  </si>
  <si>
    <t>RUSYA FEDERASYONU</t>
  </si>
  <si>
    <t>İSTANBUL</t>
  </si>
  <si>
    <t>KOCAELI</t>
  </si>
  <si>
    <t>BURSA</t>
  </si>
  <si>
    <t>İZMIR</t>
  </si>
  <si>
    <t>ANKARA</t>
  </si>
  <si>
    <t>GAZIANTEP</t>
  </si>
  <si>
    <t>MANISA</t>
  </si>
  <si>
    <t>DENIZLI</t>
  </si>
  <si>
    <t>SAKARYA</t>
  </si>
  <si>
    <t>HATAY</t>
  </si>
  <si>
    <t>GÜMÜŞHANE</t>
  </si>
  <si>
    <t>YALOVA</t>
  </si>
  <si>
    <t>ARDAHAN</t>
  </si>
  <si>
    <t>SIIRT</t>
  </si>
  <si>
    <t>HAKKARI</t>
  </si>
  <si>
    <t>MUŞ</t>
  </si>
  <si>
    <t>ERZURUM</t>
  </si>
  <si>
    <t>KILIS</t>
  </si>
  <si>
    <t>ÇANAKKALE</t>
  </si>
  <si>
    <t>MUĞLA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</si>
  <si>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</si>
  <si>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</si>
  <si>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</si>
  <si>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</si>
  <si>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</si>
  <si>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</si>
  <si>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</si>
  <si>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</si>
  <si>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</si>
  <si>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</si>
  <si>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</si>
  <si>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</si>
  <si>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</si>
  <si>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</si>
  <si>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</si>
  <si>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SUUDİ ARABİSTAN</t>
  </si>
  <si>
    <t>MISIR</t>
  </si>
  <si>
    <t>BELÇİKA</t>
  </si>
  <si>
    <t>BULGARİSTAN</t>
  </si>
  <si>
    <t>ÇİN</t>
  </si>
  <si>
    <t>İRAN</t>
  </si>
  <si>
    <t>BAE</t>
  </si>
  <si>
    <t>FAS</t>
  </si>
  <si>
    <t>1 Ağustos - 31 Ağustos</t>
  </si>
  <si>
    <t>1 Ocak - 31 Ağustos</t>
  </si>
  <si>
    <t>1 Eylül - 31 Ağustos</t>
  </si>
  <si>
    <t>ÖZEL İHRACAT TOPLAMI</t>
  </si>
  <si>
    <t>Antrepo ve Serbest Bölgeler Farkı</t>
  </si>
  <si>
    <t>GENEL İHRACAT TOPLAMI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</si>
</sst>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166" fontId="69" fillId="43" borderId="9" xfId="170" applyNumberFormat="1" applyFont="1" applyFill="1" applyBorder="1" applyAlignment="1">
      <alignment horizontal="center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9885837.2489900012</c:v>
                </c:pt>
                <c:pt idx="1">
                  <c:v>10687691.3828</c:v>
                </c:pt>
                <c:pt idx="2">
                  <c:v>12705741.145829998</c:v>
                </c:pt>
                <c:pt idx="3">
                  <c:v>11354940.38673</c:v>
                </c:pt>
                <c:pt idx="4">
                  <c:v>11589567.368589999</c:v>
                </c:pt>
                <c:pt idx="5">
                  <c:v>10581857.73827</c:v>
                </c:pt>
                <c:pt idx="6">
                  <c:v>11551775.376440002</c:v>
                </c:pt>
                <c:pt idx="7">
                  <c:v>10100325.75103</c:v>
                </c:pt>
                <c:pt idx="8">
                  <c:v>11714970.03304</c:v>
                </c:pt>
                <c:pt idx="9">
                  <c:v>12703212.405069999</c:v>
                </c:pt>
                <c:pt idx="10">
                  <c:v>12273200.614319999</c:v>
                </c:pt>
                <c:pt idx="11">
                  <c:v>11068310.5845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2-42A9-BF91-AE4D15B4051D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10617615.573420003</c:v>
                </c:pt>
                <c:pt idx="1">
                  <c:v>11046617.778750001</c:v>
                </c:pt>
                <c:pt idx="2">
                  <c:v>12636828.96195</c:v>
                </c:pt>
                <c:pt idx="3">
                  <c:v>11771485.537489999</c:v>
                </c:pt>
                <c:pt idx="4">
                  <c:v>13004638.022960002</c:v>
                </c:pt>
                <c:pt idx="5">
                  <c:v>8895263.2170700002</c:v>
                </c:pt>
                <c:pt idx="6">
                  <c:v>12534261.396809999</c:v>
                </c:pt>
                <c:pt idx="7">
                  <c:v>10213599.477960002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2-42A9-BF91-AE4D15B4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394896"/>
        <c:axId val="-1187402512"/>
      </c:lineChart>
      <c:catAx>
        <c:axId val="-11873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40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7402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394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112141.59022</c:v>
                </c:pt>
                <c:pt idx="1">
                  <c:v>114842.19143000001</c:v>
                </c:pt>
                <c:pt idx="2">
                  <c:v>118300.13249</c:v>
                </c:pt>
                <c:pt idx="3">
                  <c:v>117759.88364</c:v>
                </c:pt>
                <c:pt idx="4">
                  <c:v>117894.47007</c:v>
                </c:pt>
                <c:pt idx="5">
                  <c:v>63517.454749999997</c:v>
                </c:pt>
                <c:pt idx="6">
                  <c:v>83084.204899999997</c:v>
                </c:pt>
                <c:pt idx="7">
                  <c:v>72221.698189999996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B-4C3B-818F-3D1339A2718B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157635.96547</c:v>
                </c:pt>
                <c:pt idx="11">
                  <c:v>126553.29335000001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B-4C3B-818F-3D1339A2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2960"/>
        <c:axId val="-1112697520"/>
      </c:lineChart>
      <c:catAx>
        <c:axId val="-111270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75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144359.66367000001</c:v>
                </c:pt>
                <c:pt idx="2">
                  <c:v>136200.95042000001</c:v>
                </c:pt>
                <c:pt idx="3">
                  <c:v>136093.88815000001</c:v>
                </c:pt>
                <c:pt idx="4">
                  <c:v>133496.59586999999</c:v>
                </c:pt>
                <c:pt idx="5">
                  <c:v>76322.856289999996</c:v>
                </c:pt>
                <c:pt idx="6">
                  <c:v>113226.80705</c:v>
                </c:pt>
                <c:pt idx="7">
                  <c:v>67304.714449999999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3D-4416-8CA5-8CEC0B92C409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130280.1053</c:v>
                </c:pt>
                <c:pt idx="9">
                  <c:v>178003.61371000001</c:v>
                </c:pt>
                <c:pt idx="10">
                  <c:v>179367.82448000001</c:v>
                </c:pt>
                <c:pt idx="11">
                  <c:v>164637.43549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3D-4416-8CA5-8CEC0B92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693712"/>
        <c:axId val="-1112698608"/>
      </c:lineChart>
      <c:catAx>
        <c:axId val="-11126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8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3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27950.958019999998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7-4B8E-A130-08D18D1577FA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33075.866130000002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C7-4B8E-A130-08D18D15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1872"/>
        <c:axId val="-1112705680"/>
      </c:lineChart>
      <c:catAx>
        <c:axId val="-111270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705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1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63122.22754</c:v>
                </c:pt>
                <c:pt idx="7">
                  <c:v>53096.049010000002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A4-4074-8040-1FB099539CB9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A4-4074-8040-1FB09953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1328"/>
        <c:axId val="-1112698064"/>
      </c:lineChart>
      <c:catAx>
        <c:axId val="-111270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806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1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6054.4618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4B-4503-B68E-ADFCE52391A9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7413.7436299999999</c:v>
                </c:pt>
                <c:pt idx="11">
                  <c:v>7334.2233299999998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4B-4503-B68E-ADFCE523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695888"/>
        <c:axId val="-1112690992"/>
      </c:lineChart>
      <c:catAx>
        <c:axId val="-11126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099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588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211080.66346000001</c:v>
                </c:pt>
                <c:pt idx="2">
                  <c:v>237556.44433999999</c:v>
                </c:pt>
                <c:pt idx="3">
                  <c:v>217807.31377000001</c:v>
                </c:pt>
                <c:pt idx="4">
                  <c:v>230928.64744</c:v>
                </c:pt>
                <c:pt idx="5">
                  <c:v>168271.85302000001</c:v>
                </c:pt>
                <c:pt idx="6">
                  <c:v>212497.71872</c:v>
                </c:pt>
                <c:pt idx="7">
                  <c:v>183524.71377999999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2-4DE6-A785-CC92CF74831B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202231.44690000001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213749.00661000001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2-4DE6-A785-CC92CF74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691536"/>
        <c:axId val="-1112696976"/>
      </c:lineChart>
      <c:catAx>
        <c:axId val="-111269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697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15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392893.49328</c:v>
                </c:pt>
                <c:pt idx="1">
                  <c:v>411557.63325000001</c:v>
                </c:pt>
                <c:pt idx="2">
                  <c:v>471995.32084</c:v>
                </c:pt>
                <c:pt idx="3">
                  <c:v>476719.94601000001</c:v>
                </c:pt>
                <c:pt idx="4">
                  <c:v>526776.84577999997</c:v>
                </c:pt>
                <c:pt idx="5">
                  <c:v>347519.29134</c:v>
                </c:pt>
                <c:pt idx="6">
                  <c:v>496776.46026000002</c:v>
                </c:pt>
                <c:pt idx="7">
                  <c:v>414051.62274000002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F-46CA-B6CF-D2D681E0B251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405451.54681000003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439473.22240000003</c:v>
                </c:pt>
                <c:pt idx="10">
                  <c:v>484324.64371999999</c:v>
                </c:pt>
                <c:pt idx="11">
                  <c:v>458481.93779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F-46CA-B6CF-D2D681E0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0240"/>
        <c:axId val="-1112694800"/>
      </c:lineChart>
      <c:catAx>
        <c:axId val="-111270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48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02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675626.69776999997</c:v>
                </c:pt>
                <c:pt idx="1">
                  <c:v>639733.84556000005</c:v>
                </c:pt>
                <c:pt idx="2">
                  <c:v>727300.74774999998</c:v>
                </c:pt>
                <c:pt idx="3">
                  <c:v>690781.64636000001</c:v>
                </c:pt>
                <c:pt idx="4">
                  <c:v>787019.73531000002</c:v>
                </c:pt>
                <c:pt idx="5">
                  <c:v>510069.98998999997</c:v>
                </c:pt>
                <c:pt idx="6">
                  <c:v>663233.51</c:v>
                </c:pt>
                <c:pt idx="7">
                  <c:v>573611.84972000006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4-400C-8237-B0C3F525F294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747205.41078000003</c:v>
                </c:pt>
                <c:pt idx="5">
                  <c:v>659429.48675000004</c:v>
                </c:pt>
                <c:pt idx="6">
                  <c:v>699556.26543999999</c:v>
                </c:pt>
                <c:pt idx="7">
                  <c:v>615895.63708999997</c:v>
                </c:pt>
                <c:pt idx="8">
                  <c:v>716707.84731999994</c:v>
                </c:pt>
                <c:pt idx="9">
                  <c:v>759081.84704000002</c:v>
                </c:pt>
                <c:pt idx="10">
                  <c:v>746728.99120000005</c:v>
                </c:pt>
                <c:pt idx="11">
                  <c:v>621554.59453999996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A4-400C-8237-B0C3F525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5136"/>
        <c:axId val="-1112695344"/>
      </c:lineChart>
      <c:catAx>
        <c:axId val="-111270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5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51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116828.76678999999</c:v>
                </c:pt>
                <c:pt idx="1">
                  <c:v>146312.15843000001</c:v>
                </c:pt>
                <c:pt idx="2">
                  <c:v>176087.54535</c:v>
                </c:pt>
                <c:pt idx="3">
                  <c:v>141726.68888</c:v>
                </c:pt>
                <c:pt idx="4">
                  <c:v>162721.84800999999</c:v>
                </c:pt>
                <c:pt idx="5">
                  <c:v>87684.320779999995</c:v>
                </c:pt>
                <c:pt idx="6">
                  <c:v>166049.46203</c:v>
                </c:pt>
                <c:pt idx="7">
                  <c:v>135183.48457999999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5-4C8C-B42F-249FB2A300ED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168927.35490999999</c:v>
                </c:pt>
                <c:pt idx="3">
                  <c:v>149662.07883000001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142619.92501000001</c:v>
                </c:pt>
                <c:pt idx="8">
                  <c:v>138313.47309000001</c:v>
                </c:pt>
                <c:pt idx="9">
                  <c:v>142955.52056999999</c:v>
                </c:pt>
                <c:pt idx="10">
                  <c:v>124206.18283999999</c:v>
                </c:pt>
                <c:pt idx="11">
                  <c:v>133910.55101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F5-4C8C-B42F-249FB2A3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690448"/>
        <c:axId val="-1112693168"/>
      </c:lineChart>
      <c:catAx>
        <c:axId val="-111269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3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0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229667.28701999999</c:v>
                </c:pt>
                <c:pt idx="4">
                  <c:v>235776.61497</c:v>
                </c:pt>
                <c:pt idx="5">
                  <c:v>133024.01274999999</c:v>
                </c:pt>
                <c:pt idx="6">
                  <c:v>222851.18431000001</c:v>
                </c:pt>
                <c:pt idx="7">
                  <c:v>174819.62946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F-4AED-BE38-24D3800F6ADD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213044.10553</c:v>
                </c:pt>
                <c:pt idx="10">
                  <c:v>227692.57577</c:v>
                </c:pt>
                <c:pt idx="11">
                  <c:v>190174.85818000001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EF-4AED-BE38-24D3800F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2080"/>
        <c:axId val="-1112491328"/>
      </c:lineChart>
      <c:catAx>
        <c:axId val="-11124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1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0-4E72-88F1-3D18C2266226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385325.96221999999</c:v>
                </c:pt>
                <c:pt idx="4">
                  <c:v>459540.64302000002</c:v>
                </c:pt>
                <c:pt idx="5">
                  <c:v>317578.57864000002</c:v>
                </c:pt>
                <c:pt idx="6">
                  <c:v>379456.67861</c:v>
                </c:pt>
                <c:pt idx="7">
                  <c:v>340203.80047000002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80-4E72-88F1-3D18C226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400880"/>
        <c:axId val="-1187394352"/>
      </c:lineChart>
      <c:catAx>
        <c:axId val="-118740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39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7394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400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1535552.0393600001</c:v>
                </c:pt>
                <c:pt idx="1">
                  <c:v>1641211.49819</c:v>
                </c:pt>
                <c:pt idx="2">
                  <c:v>1832225.6803600001</c:v>
                </c:pt>
                <c:pt idx="3">
                  <c:v>1766093.0461800001</c:v>
                </c:pt>
                <c:pt idx="4">
                  <c:v>1933372.73019</c:v>
                </c:pt>
                <c:pt idx="5">
                  <c:v>1294899.8118700001</c:v>
                </c:pt>
                <c:pt idx="6">
                  <c:v>1732065.9388300001</c:v>
                </c:pt>
                <c:pt idx="7">
                  <c:v>1634660.4742699999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1-4FB3-9C22-B9B374313DFF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1349419.1649499999</c:v>
                </c:pt>
                <c:pt idx="1">
                  <c:v>1260182.5490900001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1461147.1682800001</c:v>
                </c:pt>
                <c:pt idx="5">
                  <c:v>1417613.28281</c:v>
                </c:pt>
                <c:pt idx="6">
                  <c:v>1473229.56596</c:v>
                </c:pt>
                <c:pt idx="7">
                  <c:v>1374045.4340900001</c:v>
                </c:pt>
                <c:pt idx="8">
                  <c:v>1529340.0713500001</c:v>
                </c:pt>
                <c:pt idx="9">
                  <c:v>1582995.4677899999</c:v>
                </c:pt>
                <c:pt idx="10">
                  <c:v>1489242.6969300001</c:v>
                </c:pt>
                <c:pt idx="11">
                  <c:v>1503844.8977300001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1-4FB3-9C22-B9B37431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92960"/>
        <c:axId val="-1112494048"/>
      </c:lineChart>
      <c:catAx>
        <c:axId val="-11124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40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585633.22141999996</c:v>
                </c:pt>
                <c:pt idx="1">
                  <c:v>601146.06064000004</c:v>
                </c:pt>
                <c:pt idx="2">
                  <c:v>699104.11292999994</c:v>
                </c:pt>
                <c:pt idx="3">
                  <c:v>660323.54830000002</c:v>
                </c:pt>
                <c:pt idx="4">
                  <c:v>780639.85507000005</c:v>
                </c:pt>
                <c:pt idx="5">
                  <c:v>472387.78219</c:v>
                </c:pt>
                <c:pt idx="6">
                  <c:v>683018.99730000005</c:v>
                </c:pt>
                <c:pt idx="7">
                  <c:v>575203.01344000001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C-4299-ADC5-3B4CA53861C9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635697.34967000003</c:v>
                </c:pt>
                <c:pt idx="3">
                  <c:v>602371.03783000004</c:v>
                </c:pt>
                <c:pt idx="4">
                  <c:v>622542.98627999995</c:v>
                </c:pt>
                <c:pt idx="5">
                  <c:v>551031.92663</c:v>
                </c:pt>
                <c:pt idx="6">
                  <c:v>611385.17429999996</c:v>
                </c:pt>
                <c:pt idx="7">
                  <c:v>550693.31339000002</c:v>
                </c:pt>
                <c:pt idx="8">
                  <c:v>612323.60514999996</c:v>
                </c:pt>
                <c:pt idx="9">
                  <c:v>702357.67391999997</c:v>
                </c:pt>
                <c:pt idx="10">
                  <c:v>702658.16853000002</c:v>
                </c:pt>
                <c:pt idx="11">
                  <c:v>662277.51751000003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DC-4299-ADC5-3B4CA538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4256"/>
        <c:axId val="-1112490240"/>
      </c:lineChart>
      <c:catAx>
        <c:axId val="-11124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02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42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2327778.2903999998</c:v>
                </c:pt>
                <c:pt idx="1">
                  <c:v>2544761.5178999999</c:v>
                </c:pt>
                <c:pt idx="2">
                  <c:v>2883257.9411900002</c:v>
                </c:pt>
                <c:pt idx="3">
                  <c:v>2615210.3193899998</c:v>
                </c:pt>
                <c:pt idx="4">
                  <c:v>2753748.3821100001</c:v>
                </c:pt>
                <c:pt idx="5">
                  <c:v>2189980.94178</c:v>
                </c:pt>
                <c:pt idx="6">
                  <c:v>2900473.0697499998</c:v>
                </c:pt>
                <c:pt idx="7">
                  <c:v>1742355.84152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E0-4B6B-8FFD-B37ACB59460C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2901983.6377599998</c:v>
                </c:pt>
                <c:pt idx="4">
                  <c:v>2764086.87109</c:v>
                </c:pt>
                <c:pt idx="5">
                  <c:v>2539894.5764500001</c:v>
                </c:pt>
                <c:pt idx="6">
                  <c:v>2762765.1183199999</c:v>
                </c:pt>
                <c:pt idx="7">
                  <c:v>1607579.5556600001</c:v>
                </c:pt>
                <c:pt idx="8">
                  <c:v>2605339.7833199999</c:v>
                </c:pt>
                <c:pt idx="9">
                  <c:v>2918844.09448</c:v>
                </c:pt>
                <c:pt idx="10">
                  <c:v>2766870.56311</c:v>
                </c:pt>
                <c:pt idx="11">
                  <c:v>2472050.9073200002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E0-4B6B-8FFD-B37ACB59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5888"/>
        <c:axId val="-1112495680"/>
      </c:lineChart>
      <c:catAx>
        <c:axId val="-11124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56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588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797270.64641000004</c:v>
                </c:pt>
                <c:pt idx="1">
                  <c:v>889006.11655000004</c:v>
                </c:pt>
                <c:pt idx="2">
                  <c:v>992637.96368000004</c:v>
                </c:pt>
                <c:pt idx="3">
                  <c:v>937234.08511999995</c:v>
                </c:pt>
                <c:pt idx="4">
                  <c:v>1042418.26808</c:v>
                </c:pt>
                <c:pt idx="5">
                  <c:v>716329.33154000004</c:v>
                </c:pt>
                <c:pt idx="6">
                  <c:v>948504.95236</c:v>
                </c:pt>
                <c:pt idx="7">
                  <c:v>850216.66932999995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89-4F31-A931-C691C66A2563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948771.24450000003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871250.50378999999</c:v>
                </c:pt>
                <c:pt idx="7">
                  <c:v>800780.33372999995</c:v>
                </c:pt>
                <c:pt idx="8">
                  <c:v>999346.64451000001</c:v>
                </c:pt>
                <c:pt idx="9">
                  <c:v>1112823.5381700001</c:v>
                </c:pt>
                <c:pt idx="10">
                  <c:v>1091022.7493700001</c:v>
                </c:pt>
                <c:pt idx="11">
                  <c:v>957264.71921999997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89-4F31-A931-C691C66A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92416"/>
        <c:axId val="-1112491872"/>
      </c:lineChart>
      <c:catAx>
        <c:axId val="-11124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187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24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1415167.54406</c:v>
                </c:pt>
                <c:pt idx="1">
                  <c:v>1413692.13925</c:v>
                </c:pt>
                <c:pt idx="2">
                  <c:v>1674591.67273</c:v>
                </c:pt>
                <c:pt idx="3">
                  <c:v>1503149.7779000001</c:v>
                </c:pt>
                <c:pt idx="4">
                  <c:v>1622345.0969</c:v>
                </c:pt>
                <c:pt idx="5">
                  <c:v>1087663.5215400001</c:v>
                </c:pt>
                <c:pt idx="6">
                  <c:v>1677563.83751</c:v>
                </c:pt>
                <c:pt idx="7">
                  <c:v>1401404.84375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6-42C3-8971-115F3A12EED5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1405227.67512</c:v>
                </c:pt>
                <c:pt idx="2">
                  <c:v>1678441.7929199999</c:v>
                </c:pt>
                <c:pt idx="3">
                  <c:v>1464978.0263199999</c:v>
                </c:pt>
                <c:pt idx="4">
                  <c:v>1481008.6370600001</c:v>
                </c:pt>
                <c:pt idx="5">
                  <c:v>1354519.1820700001</c:v>
                </c:pt>
                <c:pt idx="6">
                  <c:v>1580512.7409000001</c:v>
                </c:pt>
                <c:pt idx="7">
                  <c:v>1385410.35732</c:v>
                </c:pt>
                <c:pt idx="8">
                  <c:v>1459363.2105399999</c:v>
                </c:pt>
                <c:pt idx="9">
                  <c:v>1560990.92025</c:v>
                </c:pt>
                <c:pt idx="10">
                  <c:v>1525316.12387</c:v>
                </c:pt>
                <c:pt idx="11">
                  <c:v>1306066.18466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D6-42C3-8971-115F3A12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90784"/>
        <c:axId val="-1112481536"/>
      </c:lineChart>
      <c:catAx>
        <c:axId val="-11124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15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650720.72435999999</c:v>
                </c:pt>
                <c:pt idx="1">
                  <c:v>655137.05460999999</c:v>
                </c:pt>
                <c:pt idx="2">
                  <c:v>712368.93412999995</c:v>
                </c:pt>
                <c:pt idx="3">
                  <c:v>706704.47958000004</c:v>
                </c:pt>
                <c:pt idx="4">
                  <c:v>827696.67338000005</c:v>
                </c:pt>
                <c:pt idx="5">
                  <c:v>516767.86090999999</c:v>
                </c:pt>
                <c:pt idx="6">
                  <c:v>710084.38251999998</c:v>
                </c:pt>
                <c:pt idx="7">
                  <c:v>612707.71027000004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C0-4260-8062-E7E4345035A9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752659.75242999999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686917.14109000005</c:v>
                </c:pt>
                <c:pt idx="7">
                  <c:v>600373.56460000004</c:v>
                </c:pt>
                <c:pt idx="8">
                  <c:v>663410.00473000004</c:v>
                </c:pt>
                <c:pt idx="9">
                  <c:v>715231.06463000004</c:v>
                </c:pt>
                <c:pt idx="10">
                  <c:v>729399.41712999996</c:v>
                </c:pt>
                <c:pt idx="11">
                  <c:v>631280.74283999996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C0-4260-8062-E7E43450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94592"/>
        <c:axId val="-1112493504"/>
      </c:lineChart>
      <c:catAx>
        <c:axId val="-11124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3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45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251910.98457</c:v>
                </c:pt>
                <c:pt idx="1">
                  <c:v>266390.37828</c:v>
                </c:pt>
                <c:pt idx="2">
                  <c:v>316762.16742000001</c:v>
                </c:pt>
                <c:pt idx="3">
                  <c:v>311347.17155999999</c:v>
                </c:pt>
                <c:pt idx="4">
                  <c:v>354103.68196999998</c:v>
                </c:pt>
                <c:pt idx="5">
                  <c:v>235309.27879000001</c:v>
                </c:pt>
                <c:pt idx="6">
                  <c:v>316062.54044000001</c:v>
                </c:pt>
                <c:pt idx="7">
                  <c:v>285653.42667999998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1-4BDA-987B-6A26C2EF9AB1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220587.65960000001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261189.58387</c:v>
                </c:pt>
                <c:pt idx="11">
                  <c:v>242754.13456999999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1-4BDA-987B-6A26C2EF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6976"/>
        <c:axId val="-1112489696"/>
      </c:lineChart>
      <c:catAx>
        <c:axId val="-11124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9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697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272605.94021999999</c:v>
                </c:pt>
                <c:pt idx="1">
                  <c:v>249567.08027000001</c:v>
                </c:pt>
                <c:pt idx="2">
                  <c:v>297957.09169999999</c:v>
                </c:pt>
                <c:pt idx="3">
                  <c:v>258376.59945000001</c:v>
                </c:pt>
                <c:pt idx="4">
                  <c:v>362019.43745000003</c:v>
                </c:pt>
                <c:pt idx="5">
                  <c:v>216756.12458</c:v>
                </c:pt>
                <c:pt idx="6">
                  <c:v>509268.27426999999</c:v>
                </c:pt>
                <c:pt idx="7">
                  <c:v>566131.63852000004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6-4E00-A6B7-6ACFDB364CD8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354283.47259000002</c:v>
                </c:pt>
                <c:pt idx="4">
                  <c:v>250675.26118999999</c:v>
                </c:pt>
                <c:pt idx="5">
                  <c:v>197918.91388000001</c:v>
                </c:pt>
                <c:pt idx="6">
                  <c:v>259578.60659000001</c:v>
                </c:pt>
                <c:pt idx="7">
                  <c:v>896160.51095999999</c:v>
                </c:pt>
                <c:pt idx="8">
                  <c:v>590090.13118000003</c:v>
                </c:pt>
                <c:pt idx="9">
                  <c:v>471252.56047000003</c:v>
                </c:pt>
                <c:pt idx="10">
                  <c:v>271965.27688999998</c:v>
                </c:pt>
                <c:pt idx="11">
                  <c:v>252010.98865000001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66-4E00-A6B7-6ACFDB36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9152"/>
        <c:axId val="-1112486432"/>
      </c:lineChart>
      <c:catAx>
        <c:axId val="-1112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6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9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1197475.51746</c:v>
                </c:pt>
                <c:pt idx="1">
                  <c:v>1195839.9701100001</c:v>
                </c:pt>
                <c:pt idx="2">
                  <c:v>1307590.9639099999</c:v>
                </c:pt>
                <c:pt idx="3">
                  <c:v>1235598.7270599999</c:v>
                </c:pt>
                <c:pt idx="4">
                  <c:v>1355755.00315</c:v>
                </c:pt>
                <c:pt idx="5">
                  <c:v>878039.34878</c:v>
                </c:pt>
                <c:pt idx="6">
                  <c:v>1243079.4244899999</c:v>
                </c:pt>
                <c:pt idx="7">
                  <c:v>1022830.2577599999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6-45A3-8450-07A6E107C3F3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1147425.7328000001</c:v>
                </c:pt>
                <c:pt idx="2">
                  <c:v>1287238.8788399999</c:v>
                </c:pt>
                <c:pt idx="3">
                  <c:v>1122407.01217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1260244.78776</c:v>
                </c:pt>
                <c:pt idx="7">
                  <c:v>1181895.1413499999</c:v>
                </c:pt>
                <c:pt idx="8">
                  <c:v>1404159.719</c:v>
                </c:pt>
                <c:pt idx="9">
                  <c:v>1489947.0423300001</c:v>
                </c:pt>
                <c:pt idx="10">
                  <c:v>1659611.8856500001</c:v>
                </c:pt>
                <c:pt idx="11">
                  <c:v>1436930.80837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96-45A3-8450-07A6E107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8608"/>
        <c:axId val="-1112495136"/>
      </c:lineChart>
      <c:catAx>
        <c:axId val="-11124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513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860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385325.96221999999</c:v>
                </c:pt>
                <c:pt idx="4">
                  <c:v>459540.64302000002</c:v>
                </c:pt>
                <c:pt idx="5">
                  <c:v>317578.57864000002</c:v>
                </c:pt>
                <c:pt idx="6">
                  <c:v>379456.67861</c:v>
                </c:pt>
                <c:pt idx="7">
                  <c:v>340203.80047000002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A-49DE-A916-068382D33C97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1A-49DE-A916-068382D3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8064"/>
        <c:axId val="-1112487520"/>
      </c:lineChart>
      <c:catAx>
        <c:axId val="-11124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75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80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C9-4664-8EBB-A47C36512C25}"/>
            </c:ext>
          </c:extLst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13180518.286</c:v>
                </c:pt>
                <c:pt idx="1">
                  <c:v>13570559.015000001</c:v>
                </c:pt>
                <c:pt idx="2">
                  <c:v>15461561.817</c:v>
                </c:pt>
                <c:pt idx="3">
                  <c:v>14462713.923</c:v>
                </c:pt>
                <c:pt idx="4">
                  <c:v>15943702.386</c:v>
                </c:pt>
                <c:pt idx="5">
                  <c:v>11072989.253</c:v>
                </c:pt>
                <c:pt idx="6">
                  <c:v>15159538.466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C9-4664-8EBB-A47C3651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393808"/>
        <c:axId val="-1187393264"/>
      </c:lineChart>
      <c:catAx>
        <c:axId val="-118739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39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873932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393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114409.40011</c:v>
                </c:pt>
                <c:pt idx="4">
                  <c:v>53989.944869999999</c:v>
                </c:pt>
                <c:pt idx="5">
                  <c:v>55639.569450000003</c:v>
                </c:pt>
                <c:pt idx="6">
                  <c:v>88646.392699999997</c:v>
                </c:pt>
                <c:pt idx="7">
                  <c:v>109694.29128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1-4728-8933-F86B677BA891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1-4728-8933-F86B677B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5344"/>
        <c:axId val="-1112484800"/>
      </c:lineChart>
      <c:catAx>
        <c:axId val="-11124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48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53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174773.56437000001</c:v>
                </c:pt>
                <c:pt idx="1">
                  <c:v>170918.56770000001</c:v>
                </c:pt>
                <c:pt idx="2">
                  <c:v>282567.32348999998</c:v>
                </c:pt>
                <c:pt idx="3">
                  <c:v>197048.40953999999</c:v>
                </c:pt>
                <c:pt idx="4">
                  <c:v>248994.09604999999</c:v>
                </c:pt>
                <c:pt idx="5">
                  <c:v>207637.62205999999</c:v>
                </c:pt>
                <c:pt idx="6">
                  <c:v>234180.09273999999</c:v>
                </c:pt>
                <c:pt idx="7">
                  <c:v>175400.03847999999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7-49E6-A1C0-12E00C0E2967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B7-49E6-A1C0-12E00C0E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2624"/>
        <c:axId val="-1112483712"/>
      </c:lineChart>
      <c:catAx>
        <c:axId val="-11124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83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2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334364.82783999998</c:v>
                </c:pt>
                <c:pt idx="1">
                  <c:v>362353.76397000003</c:v>
                </c:pt>
                <c:pt idx="2">
                  <c:v>414508.80784999998</c:v>
                </c:pt>
                <c:pt idx="3">
                  <c:v>392912.33815999998</c:v>
                </c:pt>
                <c:pt idx="4">
                  <c:v>473491.42115000001</c:v>
                </c:pt>
                <c:pt idx="5">
                  <c:v>286072.22936</c:v>
                </c:pt>
                <c:pt idx="6">
                  <c:v>426509.58997999999</c:v>
                </c:pt>
                <c:pt idx="7">
                  <c:v>346124.0993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0-4C06-A3EF-F6A3AF836D69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365935.32127000001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401513.4535</c:v>
                </c:pt>
                <c:pt idx="7">
                  <c:v>342610.31091</c:v>
                </c:pt>
                <c:pt idx="8">
                  <c:v>374296.73966000002</c:v>
                </c:pt>
                <c:pt idx="9">
                  <c:v>422414.48459000001</c:v>
                </c:pt>
                <c:pt idx="10">
                  <c:v>409412.95370999997</c:v>
                </c:pt>
                <c:pt idx="11">
                  <c:v>352709.65000999998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E0-4C06-A3EF-F6A3AF83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3168"/>
        <c:axId val="-1112496768"/>
      </c:lineChart>
      <c:catAx>
        <c:axId val="-11124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9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4967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4831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1893782.1339599998</c:v>
                </c:pt>
                <c:pt idx="1">
                  <c:v>1835790.1215799998</c:v>
                </c:pt>
                <c:pt idx="2">
                  <c:v>1994921.6316400003</c:v>
                </c:pt>
                <c:pt idx="3">
                  <c:v>1783106.34775</c:v>
                </c:pt>
                <c:pt idx="4">
                  <c:v>1896880.0225399998</c:v>
                </c:pt>
                <c:pt idx="5">
                  <c:v>1589496.7403500001</c:v>
                </c:pt>
                <c:pt idx="6">
                  <c:v>1678347.93249</c:v>
                </c:pt>
                <c:pt idx="7">
                  <c:v>1512275.3015899998</c:v>
                </c:pt>
                <c:pt idx="8">
                  <c:v>1894749.8480700001</c:v>
                </c:pt>
                <c:pt idx="9">
                  <c:v>2161695.0977400001</c:v>
                </c:pt>
                <c:pt idx="10">
                  <c:v>2303933.8944699997</c:v>
                </c:pt>
                <c:pt idx="11">
                  <c:v>2079326.4993000003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4-4E1C-A026-2AC9C2A46DFC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1882400.8522799998</c:v>
                </c:pt>
                <c:pt idx="1">
                  <c:v>1857416.9549299995</c:v>
                </c:pt>
                <c:pt idx="2">
                  <c:v>1950583.9067599999</c:v>
                </c:pt>
                <c:pt idx="3">
                  <c:v>1878728.40393</c:v>
                </c:pt>
                <c:pt idx="4">
                  <c:v>2012674.1690000002</c:v>
                </c:pt>
                <c:pt idx="5">
                  <c:v>1364302.3992300001</c:v>
                </c:pt>
                <c:pt idx="6">
                  <c:v>1799794.63439</c:v>
                </c:pt>
                <c:pt idx="7">
                  <c:v>1533232.5832799999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4-4E1C-A026-2AC9C2A4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391632"/>
        <c:axId val="-1112704592"/>
      </c:lineChart>
      <c:catAx>
        <c:axId val="-118739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704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7391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0B-4E5E-8FCE-7D20A7F8A91A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0B-4E5E-8FCE-7D20A7F8A91A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0B-4E5E-8FCE-7D20A7F8A91A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0B-4E5E-8FCE-7D20A7F8A91A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0B-4E5E-8FCE-7D20A7F8A91A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10B-4E5E-8FCE-7D20A7F8A91A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10B-4E5E-8FCE-7D20A7F8A91A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10B-4E5E-8FCE-7D20A7F8A91A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10B-4E5E-8FCE-7D20A7F8A91A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10B-4E5E-8FCE-7D20A7F8A91A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13180518.286</c:v>
                </c:pt>
                <c:pt idx="1">
                  <c:v>13570559.015000001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10B-4E5E-8FCE-7D20A7F8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699696"/>
        <c:axId val="-1112692624"/>
      </c:lineChart>
      <c:catAx>
        <c:axId val="-111269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9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3-43C1-B5CF-08EE32E8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2703504"/>
        <c:axId val="-1112704048"/>
      </c:barChart>
      <c:catAx>
        <c:axId val="-11127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70404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350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560032.39307999995</c:v>
                </c:pt>
                <c:pt idx="1">
                  <c:v>565262.68799999997</c:v>
                </c:pt>
                <c:pt idx="2">
                  <c:v>586795.91000999999</c:v>
                </c:pt>
                <c:pt idx="3">
                  <c:v>597744.71329999994</c:v>
                </c:pt>
                <c:pt idx="4">
                  <c:v>590765.01104000001</c:v>
                </c:pt>
                <c:pt idx="5">
                  <c:v>344990.39637999999</c:v>
                </c:pt>
                <c:pt idx="6">
                  <c:v>546970.83268999995</c:v>
                </c:pt>
                <c:pt idx="7">
                  <c:v>482216.99631999998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64-4BB5-9103-44D463C53A78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489967.42408999999</c:v>
                </c:pt>
                <c:pt idx="8">
                  <c:v>544911.54104000004</c:v>
                </c:pt>
                <c:pt idx="9">
                  <c:v>645860.07984999998</c:v>
                </c:pt>
                <c:pt idx="10">
                  <c:v>647966.02815000003</c:v>
                </c:pt>
                <c:pt idx="11">
                  <c:v>593568.21001000004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64-4BB5-9103-44D463C5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692080"/>
        <c:axId val="-1112699152"/>
      </c:lineChart>
      <c:catAx>
        <c:axId val="-11126920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91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20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199231.03555999999</c:v>
                </c:pt>
                <c:pt idx="1">
                  <c:v>165990.86090999999</c:v>
                </c:pt>
                <c:pt idx="2">
                  <c:v>143608.89838999999</c:v>
                </c:pt>
                <c:pt idx="3">
                  <c:v>113213.56436</c:v>
                </c:pt>
                <c:pt idx="4">
                  <c:v>140808.25948000001</c:v>
                </c:pt>
                <c:pt idx="5">
                  <c:v>202451.31967</c:v>
                </c:pt>
                <c:pt idx="6">
                  <c:v>131829.24645000001</c:v>
                </c:pt>
                <c:pt idx="7">
                  <c:v>110123.10025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9A-4C3A-8319-5C0633B87AF6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104468.44220999999</c:v>
                </c:pt>
                <c:pt idx="7">
                  <c:v>111080.49325</c:v>
                </c:pt>
                <c:pt idx="8">
                  <c:v>152215.67697</c:v>
                </c:pt>
                <c:pt idx="9">
                  <c:v>201895.71311000001</c:v>
                </c:pt>
                <c:pt idx="10">
                  <c:v>299904.95601000002</c:v>
                </c:pt>
                <c:pt idx="11">
                  <c:v>281797.73953999998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9A-4C3A-8319-5C0633B8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0784"/>
        <c:axId val="-1112696432"/>
      </c:lineChart>
      <c:catAx>
        <c:axId val="-111270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6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125434.49806</c:v>
                </c:pt>
                <c:pt idx="1">
                  <c:v>122184.99085</c:v>
                </c:pt>
                <c:pt idx="2">
                  <c:v>128023.94576</c:v>
                </c:pt>
                <c:pt idx="3">
                  <c:v>125243.85616</c:v>
                </c:pt>
                <c:pt idx="4">
                  <c:v>138562.1012</c:v>
                </c:pt>
                <c:pt idx="5">
                  <c:v>83564.09302</c:v>
                </c:pt>
                <c:pt idx="6">
                  <c:v>130194.65261999999</c:v>
                </c:pt>
                <c:pt idx="7">
                  <c:v>128097.73127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8-47A3-B4FF-41DDC6819ED3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150319.4952</c:v>
                </c:pt>
                <c:pt idx="11">
                  <c:v>128118.89834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98-47A3-B4FF-41DDC6819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702416"/>
        <c:axId val="-1112694256"/>
      </c:lineChart>
      <c:catAx>
        <c:axId val="-111270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69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2694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12702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=""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=""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29" activePane="bottomRight" state="frozen"/>
      <selection activeCell="B16" sqref="B16"/>
      <selection pane="topRight" activeCell="B16" sqref="B16"/>
      <selection pane="bottomLeft" activeCell="B16" sqref="B16"/>
      <selection pane="bottomRight" activeCell="A46" sqref="A4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2" width="9.42578125" style="1" bestFit="1" customWidth="1"/>
    <col min="13" max="13" width="10.5703125" style="1" bestFit="1" customWidth="1"/>
    <col min="14" max="16384" width="9.140625" style="1"/>
  </cols>
  <sheetData>
    <row r="1" spans="1:13" ht="26.25" x14ac:dyDescent="0.4">
      <c r="B1" s="155" t="s">
        <v>124</v>
      </c>
      <c r="C1" s="155"/>
      <c r="D1" s="155"/>
      <c r="E1" s="155"/>
      <c r="F1" s="155"/>
      <c r="G1" s="155"/>
      <c r="H1" s="155"/>
      <c r="I1" s="155"/>
      <c r="J1" s="155"/>
      <c r="K1" s="71"/>
      <c r="L1" s="71"/>
      <c r="M1" s="7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125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126</v>
      </c>
      <c r="C6" s="151"/>
      <c r="D6" s="151"/>
      <c r="E6" s="151"/>
      <c r="F6" s="151" t="s">
        <v>127</v>
      </c>
      <c r="G6" s="151"/>
      <c r="H6" s="151"/>
      <c r="I6" s="151"/>
      <c r="J6" s="151" t="s">
        <v>105</v>
      </c>
      <c r="K6" s="151"/>
      <c r="L6" s="151"/>
      <c r="M6" s="151"/>
    </row>
    <row r="7" spans="1:13" ht="30" x14ac:dyDescent="0.25">
      <c r="A7" s="4" t="s">
        <v>1</v>
      </c>
      <c r="B7" s="5">
        <v>2018</v>
      </c>
      <c r="C7" s="6">
        <v>2019</v>
      </c>
      <c r="D7" s="7" t="s">
        <v>117</v>
      </c>
      <c r="E7" s="7" t="s">
        <v>118</v>
      </c>
      <c r="F7" s="5">
        <v>2018</v>
      </c>
      <c r="G7" s="6">
        <v>2019</v>
      </c>
      <c r="H7" s="7" t="s">
        <v>117</v>
      </c>
      <c r="I7" s="7" t="s">
        <v>118</v>
      </c>
      <c r="J7" s="5" t="s">
        <v>128</v>
      </c>
      <c r="K7" s="5" t="s">
        <v>129</v>
      </c>
      <c r="L7" s="7" t="s">
        <v>117</v>
      </c>
      <c r="M7" s="7" t="s">
        <v>116</v>
      </c>
    </row>
    <row r="8" spans="1:13" ht="16.5" x14ac:dyDescent="0.25">
      <c r="A8" s="88" t="s">
        <v>2</v>
      </c>
      <c r="B8" s="8">
        <f>B9+B18+B20</f>
        <v>1512275.3015899998</v>
      </c>
      <c r="C8" s="8">
        <f>C9+C18+C20</f>
        <v>1533232.5832799999</v>
      </c>
      <c r="D8" s="10">
        <f t="shared" ref="D8:D48" si="0">(C8-B8)/B8*100</f>
        <v>1.3858112784071586</v>
      </c>
      <c r="E8" s="10">
        <f>C8/C$48*100</f>
        <v>11.659448440708347</v>
      </c>
      <c r="F8" s="8">
        <f>F9+F18+F20</f>
        <v>14184600.231900001</v>
      </c>
      <c r="G8" s="8">
        <f>G9+G18+G20</f>
        <v>14279133.9038</v>
      </c>
      <c r="H8" s="10">
        <f t="shared" ref="H8:H48" si="1">(G8-F8)/F8*100</f>
        <v>0.66645284572349173</v>
      </c>
      <c r="I8" s="10">
        <f>G8/G$48*100</f>
        <v>12.178129978962113</v>
      </c>
      <c r="J8" s="8">
        <f>J9+J18+J20</f>
        <v>22205240.985780001</v>
      </c>
      <c r="K8" s="8">
        <f>K9+K18+K20</f>
        <v>22718839.243379999</v>
      </c>
      <c r="L8" s="10">
        <f t="shared" ref="L8:L48" si="2">(K8-J8)/J8*100</f>
        <v>2.3129596203387353</v>
      </c>
      <c r="M8" s="10">
        <f>K8/K$48*100</f>
        <v>12.613020093611762</v>
      </c>
    </row>
    <row r="9" spans="1:13" ht="15.75" x14ac:dyDescent="0.25">
      <c r="A9" s="9" t="s">
        <v>3</v>
      </c>
      <c r="B9" s="8">
        <f>B10+B11+B12+B13+B14+B15+B16+B17</f>
        <v>955168.78980999987</v>
      </c>
      <c r="C9" s="8">
        <f>C10+C11+C12+C13+C14+C15+C16+C17</f>
        <v>935656.24675999989</v>
      </c>
      <c r="D9" s="10">
        <f t="shared" si="0"/>
        <v>-2.0428371674373249</v>
      </c>
      <c r="E9" s="10">
        <f t="shared" ref="E9:E48" si="3">C9/C$48*100</f>
        <v>7.1151864930936268</v>
      </c>
      <c r="F9" s="8">
        <f>F10+F11+F12+F13+F14+F15+F16+F17</f>
        <v>9336920.7227200009</v>
      </c>
      <c r="G9" s="8">
        <f>G10+G11+G12+G13+G14+G15+G16+G17</f>
        <v>9058548.5202200003</v>
      </c>
      <c r="H9" s="10">
        <f t="shared" si="1"/>
        <v>-2.9814133670710459</v>
      </c>
      <c r="I9" s="10">
        <f t="shared" ref="I9:I48" si="4">G9/G$48*100</f>
        <v>7.7256913509730767</v>
      </c>
      <c r="J9" s="8">
        <f>J10+J11+J12+J13+J14+J15+J16+J17</f>
        <v>14969679.72071</v>
      </c>
      <c r="K9" s="8">
        <f>K10+K11+K12+K13+K14+K15+K16+K17</f>
        <v>14820726.60653</v>
      </c>
      <c r="L9" s="10">
        <f t="shared" si="2"/>
        <v>-0.99503207122013015</v>
      </c>
      <c r="M9" s="10">
        <f t="shared" ref="M9:M48" si="5">K9/K$48*100</f>
        <v>8.2281546379866111</v>
      </c>
    </row>
    <row r="10" spans="1:13" ht="14.25" x14ac:dyDescent="0.2">
      <c r="A10" s="11" t="s">
        <v>130</v>
      </c>
      <c r="B10" s="12">
        <v>489967.42408999999</v>
      </c>
      <c r="C10" s="12">
        <v>482216.99631999998</v>
      </c>
      <c r="D10" s="13">
        <f t="shared" si="0"/>
        <v>-1.5818251150869096</v>
      </c>
      <c r="E10" s="13">
        <f t="shared" si="3"/>
        <v>3.6670132549612813</v>
      </c>
      <c r="F10" s="12">
        <v>4246170.3613099996</v>
      </c>
      <c r="G10" s="12">
        <v>4274778.9408200001</v>
      </c>
      <c r="H10" s="13">
        <f t="shared" si="1"/>
        <v>0.67375015780512426</v>
      </c>
      <c r="I10" s="13">
        <f t="shared" si="4"/>
        <v>3.6457963013276267</v>
      </c>
      <c r="J10" s="12">
        <v>6424168.8308899999</v>
      </c>
      <c r="K10" s="12">
        <v>6707084.7998700002</v>
      </c>
      <c r="L10" s="13">
        <f t="shared" si="2"/>
        <v>4.4039310987536018</v>
      </c>
      <c r="M10" s="13">
        <f t="shared" si="5"/>
        <v>3.7236319357719294</v>
      </c>
    </row>
    <row r="11" spans="1:13" ht="14.25" x14ac:dyDescent="0.2">
      <c r="A11" s="11" t="s">
        <v>131</v>
      </c>
      <c r="B11" s="12">
        <v>111080.49325</v>
      </c>
      <c r="C11" s="12">
        <v>110123.10025</v>
      </c>
      <c r="D11" s="13">
        <f t="shared" si="0"/>
        <v>-0.86189120338642022</v>
      </c>
      <c r="E11" s="13">
        <f t="shared" si="3"/>
        <v>0.83742976994988072</v>
      </c>
      <c r="F11" s="12">
        <v>1389984.7615</v>
      </c>
      <c r="G11" s="12">
        <v>1207256.28507</v>
      </c>
      <c r="H11" s="13">
        <f t="shared" si="1"/>
        <v>-13.146077675902641</v>
      </c>
      <c r="I11" s="13">
        <f t="shared" si="4"/>
        <v>1.0296229488812925</v>
      </c>
      <c r="J11" s="12">
        <v>2444979.8264700002</v>
      </c>
      <c r="K11" s="12">
        <v>2143070.3706999999</v>
      </c>
      <c r="L11" s="13">
        <f t="shared" si="2"/>
        <v>-12.348136884462132</v>
      </c>
      <c r="M11" s="13">
        <f t="shared" si="5"/>
        <v>1.189787442839515</v>
      </c>
    </row>
    <row r="12" spans="1:13" ht="14.25" x14ac:dyDescent="0.2">
      <c r="A12" s="11" t="s">
        <v>132</v>
      </c>
      <c r="B12" s="12">
        <v>111575.90204</v>
      </c>
      <c r="C12" s="12">
        <v>128097.73127</v>
      </c>
      <c r="D12" s="13">
        <f t="shared" si="0"/>
        <v>14.807703928825887</v>
      </c>
      <c r="E12" s="13">
        <f t="shared" si="3"/>
        <v>0.9741176318593312</v>
      </c>
      <c r="F12" s="12">
        <v>1000995.0388100001</v>
      </c>
      <c r="G12" s="12">
        <v>981305.86893999996</v>
      </c>
      <c r="H12" s="13">
        <f t="shared" si="1"/>
        <v>-1.9669597856755534</v>
      </c>
      <c r="I12" s="13">
        <f t="shared" si="4"/>
        <v>0.83691843648089814</v>
      </c>
      <c r="J12" s="12">
        <v>1517585.5343800001</v>
      </c>
      <c r="K12" s="12">
        <v>1544804.8866099999</v>
      </c>
      <c r="L12" s="13">
        <f t="shared" si="2"/>
        <v>1.793595920187796</v>
      </c>
      <c r="M12" s="13">
        <f t="shared" si="5"/>
        <v>0.85764307176033083</v>
      </c>
    </row>
    <row r="13" spans="1:13" ht="14.25" x14ac:dyDescent="0.2">
      <c r="A13" s="11" t="s">
        <v>133</v>
      </c>
      <c r="B13" s="12">
        <v>90846.776310000001</v>
      </c>
      <c r="C13" s="12">
        <v>72221.698189999996</v>
      </c>
      <c r="D13" s="13">
        <f t="shared" si="0"/>
        <v>-20.501638997563244</v>
      </c>
      <c r="E13" s="13">
        <f t="shared" si="3"/>
        <v>0.54920902120753179</v>
      </c>
      <c r="F13" s="12">
        <v>771859.20135999995</v>
      </c>
      <c r="G13" s="12">
        <v>799761.62569000002</v>
      </c>
      <c r="H13" s="13">
        <f t="shared" si="1"/>
        <v>3.6149629726297974</v>
      </c>
      <c r="I13" s="13">
        <f t="shared" si="4"/>
        <v>0.68208625925462729</v>
      </c>
      <c r="J13" s="12">
        <v>1335244.5366799999</v>
      </c>
      <c r="K13" s="12">
        <v>1414854.07225</v>
      </c>
      <c r="L13" s="13">
        <f t="shared" si="2"/>
        <v>5.96216897976936</v>
      </c>
      <c r="M13" s="13">
        <f t="shared" si="5"/>
        <v>0.78549712208636147</v>
      </c>
    </row>
    <row r="14" spans="1:13" ht="14.25" x14ac:dyDescent="0.2">
      <c r="A14" s="11" t="s">
        <v>134</v>
      </c>
      <c r="B14" s="12">
        <v>63697.746619999998</v>
      </c>
      <c r="C14" s="12">
        <v>67304.714449999999</v>
      </c>
      <c r="D14" s="13">
        <f t="shared" si="0"/>
        <v>5.6626301892875368</v>
      </c>
      <c r="E14" s="13">
        <f t="shared" si="3"/>
        <v>0.51181787845103732</v>
      </c>
      <c r="F14" s="12">
        <v>980764.58223000006</v>
      </c>
      <c r="G14" s="12">
        <v>959201.89668000001</v>
      </c>
      <c r="H14" s="13">
        <f t="shared" si="1"/>
        <v>-2.1985587510687012</v>
      </c>
      <c r="I14" s="13">
        <f t="shared" si="4"/>
        <v>0.81806679960661854</v>
      </c>
      <c r="J14" s="12">
        <v>1777968.00312</v>
      </c>
      <c r="K14" s="12">
        <v>1611490.8756599999</v>
      </c>
      <c r="L14" s="13">
        <f t="shared" si="2"/>
        <v>-9.3633365261840495</v>
      </c>
      <c r="M14" s="13">
        <f t="shared" si="5"/>
        <v>0.89466572555172608</v>
      </c>
    </row>
    <row r="15" spans="1:13" ht="14.25" x14ac:dyDescent="0.2">
      <c r="A15" s="11" t="s">
        <v>135</v>
      </c>
      <c r="B15" s="12">
        <v>16805.825659999999</v>
      </c>
      <c r="C15" s="12">
        <v>16541.495470000002</v>
      </c>
      <c r="D15" s="13">
        <f t="shared" si="0"/>
        <v>-1.5728485785089179</v>
      </c>
      <c r="E15" s="13">
        <f t="shared" si="3"/>
        <v>0.12578960013495527</v>
      </c>
      <c r="F15" s="12">
        <v>276963.16018000001</v>
      </c>
      <c r="G15" s="12">
        <v>192066.79733999999</v>
      </c>
      <c r="H15" s="13">
        <f t="shared" si="1"/>
        <v>-30.652583103408183</v>
      </c>
      <c r="I15" s="13">
        <f t="shared" si="4"/>
        <v>0.16380646322162648</v>
      </c>
      <c r="J15" s="12">
        <v>393050.43725000002</v>
      </c>
      <c r="K15" s="12">
        <v>314580.47070000001</v>
      </c>
      <c r="L15" s="13">
        <f t="shared" si="2"/>
        <v>-19.964350402207831</v>
      </c>
      <c r="M15" s="13">
        <f t="shared" si="5"/>
        <v>0.17464843848275038</v>
      </c>
    </row>
    <row r="16" spans="1:13" ht="14.25" x14ac:dyDescent="0.2">
      <c r="A16" s="11" t="s">
        <v>136</v>
      </c>
      <c r="B16" s="12">
        <v>66542.850229999996</v>
      </c>
      <c r="C16" s="12">
        <v>53096.049010000002</v>
      </c>
      <c r="D16" s="13">
        <f t="shared" si="0"/>
        <v>-20.207732571601923</v>
      </c>
      <c r="E16" s="13">
        <f t="shared" si="3"/>
        <v>0.40376825576786185</v>
      </c>
      <c r="F16" s="12">
        <v>596133.09146000003</v>
      </c>
      <c r="G16" s="12">
        <v>569256.49010000005</v>
      </c>
      <c r="H16" s="13">
        <f t="shared" si="1"/>
        <v>-4.5084900913948625</v>
      </c>
      <c r="I16" s="13">
        <f t="shared" si="4"/>
        <v>0.48549719993596191</v>
      </c>
      <c r="J16" s="12">
        <v>977046.94695000001</v>
      </c>
      <c r="K16" s="12">
        <v>984685.39573999995</v>
      </c>
      <c r="L16" s="13">
        <f t="shared" si="2"/>
        <v>0.78178933098808723</v>
      </c>
      <c r="M16" s="13">
        <f t="shared" si="5"/>
        <v>0.54667655109068436</v>
      </c>
    </row>
    <row r="17" spans="1:13" ht="14.25" x14ac:dyDescent="0.2">
      <c r="A17" s="11" t="s">
        <v>137</v>
      </c>
      <c r="B17" s="12">
        <v>4651.7716099999998</v>
      </c>
      <c r="C17" s="12">
        <v>6054.4618</v>
      </c>
      <c r="D17" s="13">
        <f t="shared" si="0"/>
        <v>30.153892056622279</v>
      </c>
      <c r="E17" s="13">
        <f t="shared" si="3"/>
        <v>4.604108076174817E-2</v>
      </c>
      <c r="F17" s="12">
        <v>74050.525869999998</v>
      </c>
      <c r="G17" s="12">
        <v>74920.615579999998</v>
      </c>
      <c r="H17" s="13">
        <f t="shared" si="1"/>
        <v>1.1749946401832354</v>
      </c>
      <c r="I17" s="13">
        <f t="shared" si="4"/>
        <v>6.3896942264424425E-2</v>
      </c>
      <c r="J17" s="12">
        <v>99635.60497</v>
      </c>
      <c r="K17" s="12">
        <v>100155.735</v>
      </c>
      <c r="L17" s="13">
        <f t="shared" si="2"/>
        <v>0.5220322897187305</v>
      </c>
      <c r="M17" s="13">
        <f t="shared" si="5"/>
        <v>5.5604350403313671E-2</v>
      </c>
    </row>
    <row r="18" spans="1:13" ht="15.75" x14ac:dyDescent="0.25">
      <c r="A18" s="9" t="s">
        <v>12</v>
      </c>
      <c r="B18" s="8">
        <f>B19</f>
        <v>192331.07040999999</v>
      </c>
      <c r="C18" s="8">
        <f>C19</f>
        <v>183524.71377999999</v>
      </c>
      <c r="D18" s="10">
        <f t="shared" si="0"/>
        <v>-4.5787488268157217</v>
      </c>
      <c r="E18" s="10">
        <f t="shared" si="3"/>
        <v>1.3956114429397668</v>
      </c>
      <c r="F18" s="8">
        <f>F19</f>
        <v>1625031.9074800001</v>
      </c>
      <c r="G18" s="8">
        <f>G19</f>
        <v>1682294.7700799999</v>
      </c>
      <c r="H18" s="10">
        <f t="shared" si="1"/>
        <v>3.5237992765815669</v>
      </c>
      <c r="I18" s="10">
        <f t="shared" si="4"/>
        <v>1.4347651973142654</v>
      </c>
      <c r="J18" s="8">
        <f>J19</f>
        <v>2443293.1939099999</v>
      </c>
      <c r="K18" s="8">
        <f>K19</f>
        <v>2567842.4646399999</v>
      </c>
      <c r="L18" s="10">
        <f t="shared" si="2"/>
        <v>5.0975982350560187</v>
      </c>
      <c r="M18" s="10">
        <f t="shared" si="5"/>
        <v>1.4256119450808398</v>
      </c>
    </row>
    <row r="19" spans="1:13" ht="14.25" x14ac:dyDescent="0.2">
      <c r="A19" s="11" t="s">
        <v>138</v>
      </c>
      <c r="B19" s="12">
        <v>192331.07040999999</v>
      </c>
      <c r="C19" s="12">
        <v>183524.71377999999</v>
      </c>
      <c r="D19" s="13">
        <f t="shared" si="0"/>
        <v>-4.5787488268157217</v>
      </c>
      <c r="E19" s="13">
        <f t="shared" si="3"/>
        <v>1.3956114429397668</v>
      </c>
      <c r="F19" s="12">
        <v>1625031.9074800001</v>
      </c>
      <c r="G19" s="12">
        <v>1682294.7700799999</v>
      </c>
      <c r="H19" s="13">
        <f t="shared" si="1"/>
        <v>3.5237992765815669</v>
      </c>
      <c r="I19" s="13">
        <f t="shared" si="4"/>
        <v>1.4347651973142654</v>
      </c>
      <c r="J19" s="12">
        <v>2443293.1939099999</v>
      </c>
      <c r="K19" s="12">
        <v>2567842.4646399999</v>
      </c>
      <c r="L19" s="13">
        <f t="shared" si="2"/>
        <v>5.0975982350560187</v>
      </c>
      <c r="M19" s="13">
        <f t="shared" si="5"/>
        <v>1.4256119450808398</v>
      </c>
    </row>
    <row r="20" spans="1:13" ht="15.75" x14ac:dyDescent="0.25">
      <c r="A20" s="9" t="s">
        <v>110</v>
      </c>
      <c r="B20" s="8">
        <f>B21</f>
        <v>364775.44137000002</v>
      </c>
      <c r="C20" s="8">
        <f>C21</f>
        <v>414051.62274000002</v>
      </c>
      <c r="D20" s="10">
        <f t="shared" si="0"/>
        <v>13.508634568416038</v>
      </c>
      <c r="E20" s="10">
        <f t="shared" si="3"/>
        <v>3.1486505046749533</v>
      </c>
      <c r="F20" s="8">
        <f>F21</f>
        <v>3222647.6017</v>
      </c>
      <c r="G20" s="8">
        <f>G21</f>
        <v>3538290.6135</v>
      </c>
      <c r="H20" s="10">
        <f t="shared" si="1"/>
        <v>9.7945245900759694</v>
      </c>
      <c r="I20" s="10">
        <f t="shared" si="4"/>
        <v>3.0176734306747721</v>
      </c>
      <c r="J20" s="8">
        <f>J21</f>
        <v>4792268.0711599998</v>
      </c>
      <c r="K20" s="8">
        <f>K21</f>
        <v>5330270.1722100005</v>
      </c>
      <c r="L20" s="10">
        <f t="shared" si="2"/>
        <v>11.226460896203031</v>
      </c>
      <c r="M20" s="10">
        <f t="shared" si="5"/>
        <v>2.9592535105443134</v>
      </c>
    </row>
    <row r="21" spans="1:13" ht="14.25" x14ac:dyDescent="0.2">
      <c r="A21" s="11" t="s">
        <v>139</v>
      </c>
      <c r="B21" s="12">
        <v>364775.44137000002</v>
      </c>
      <c r="C21" s="12">
        <v>414051.62274000002</v>
      </c>
      <c r="D21" s="13">
        <f t="shared" si="0"/>
        <v>13.508634568416038</v>
      </c>
      <c r="E21" s="13">
        <f t="shared" si="3"/>
        <v>3.1486505046749533</v>
      </c>
      <c r="F21" s="12">
        <v>3222647.6017</v>
      </c>
      <c r="G21" s="12">
        <v>3538290.6135</v>
      </c>
      <c r="H21" s="13">
        <f t="shared" si="1"/>
        <v>9.7945245900759694</v>
      </c>
      <c r="I21" s="13">
        <f t="shared" si="4"/>
        <v>3.0176734306747721</v>
      </c>
      <c r="J21" s="12">
        <v>4792268.0711599998</v>
      </c>
      <c r="K21" s="12">
        <v>5330270.1722100005</v>
      </c>
      <c r="L21" s="13">
        <f t="shared" si="2"/>
        <v>11.226460896203031</v>
      </c>
      <c r="M21" s="13">
        <f t="shared" si="5"/>
        <v>2.9592535105443134</v>
      </c>
    </row>
    <row r="22" spans="1:13" ht="16.5" x14ac:dyDescent="0.25">
      <c r="A22" s="88" t="s">
        <v>14</v>
      </c>
      <c r="B22" s="8">
        <f>B23+B27+B29</f>
        <v>10100325.751029998</v>
      </c>
      <c r="C22" s="8">
        <f>C23+C27+C29</f>
        <v>10213599.477959998</v>
      </c>
      <c r="D22" s="10">
        <f t="shared" si="0"/>
        <v>1.1214858780019903</v>
      </c>
      <c r="E22" s="10">
        <f t="shared" si="3"/>
        <v>77.669192401693778</v>
      </c>
      <c r="F22" s="8">
        <f>F23+F27+F29</f>
        <v>88457736.398680001</v>
      </c>
      <c r="G22" s="8">
        <f>G23+G27+G29</f>
        <v>90720309.966409996</v>
      </c>
      <c r="H22" s="10">
        <f t="shared" si="1"/>
        <v>2.5578017930874362</v>
      </c>
      <c r="I22" s="10">
        <f t="shared" si="4"/>
        <v>77.371900420981405</v>
      </c>
      <c r="J22" s="8">
        <f>J23+J27+J29</f>
        <v>130738816.50795001</v>
      </c>
      <c r="K22" s="8">
        <f>K23+K27+K29</f>
        <v>138480003.60334</v>
      </c>
      <c r="L22" s="10">
        <f t="shared" si="2"/>
        <v>5.9211084375383365</v>
      </c>
      <c r="M22" s="10">
        <f t="shared" si="5"/>
        <v>76.881175543390071</v>
      </c>
    </row>
    <row r="23" spans="1:13" ht="15.75" x14ac:dyDescent="0.25">
      <c r="A23" s="9" t="s">
        <v>15</v>
      </c>
      <c r="B23" s="8">
        <f>B24+B25+B26</f>
        <v>916891.98854000005</v>
      </c>
      <c r="C23" s="8">
        <f>C24+C25+C26</f>
        <v>883614.96375999996</v>
      </c>
      <c r="D23" s="10">
        <f>(C23-B23)/B23*100</f>
        <v>-3.629328775463323</v>
      </c>
      <c r="E23" s="10">
        <f t="shared" si="3"/>
        <v>6.719439192557684</v>
      </c>
      <c r="F23" s="8">
        <f>F24+F25+F26</f>
        <v>8197867.7770100012</v>
      </c>
      <c r="G23" s="8">
        <f>G24+G25+G26</f>
        <v>7973454.9706099993</v>
      </c>
      <c r="H23" s="10">
        <f t="shared" si="1"/>
        <v>-2.7374533537774597</v>
      </c>
      <c r="I23" s="10">
        <f t="shared" si="4"/>
        <v>6.8002563508175475</v>
      </c>
      <c r="J23" s="8">
        <f>J24+J25+J26</f>
        <v>12297298.4188</v>
      </c>
      <c r="K23" s="8">
        <f>K24+K25+K26</f>
        <v>12181442.613479998</v>
      </c>
      <c r="L23" s="10">
        <f t="shared" si="2"/>
        <v>-0.94212404525275906</v>
      </c>
      <c r="M23" s="10">
        <f t="shared" si="5"/>
        <v>6.7628798640217536</v>
      </c>
    </row>
    <row r="24" spans="1:13" ht="14.25" x14ac:dyDescent="0.2">
      <c r="A24" s="11" t="s">
        <v>140</v>
      </c>
      <c r="B24" s="12">
        <v>615895.63708999997</v>
      </c>
      <c r="C24" s="12">
        <v>573611.84972000006</v>
      </c>
      <c r="D24" s="13">
        <f t="shared" si="0"/>
        <v>-6.86541433704312</v>
      </c>
      <c r="E24" s="13">
        <f t="shared" si="3"/>
        <v>4.3620243006330108</v>
      </c>
      <c r="F24" s="12">
        <v>5613094.7465500003</v>
      </c>
      <c r="G24" s="12">
        <v>5267378.0224599997</v>
      </c>
      <c r="H24" s="13">
        <f t="shared" si="1"/>
        <v>-6.1591107882597198</v>
      </c>
      <c r="I24" s="13">
        <f t="shared" si="4"/>
        <v>4.4923462892084354</v>
      </c>
      <c r="J24" s="12">
        <v>8431752.3861800004</v>
      </c>
      <c r="K24" s="12">
        <v>8111451.3025599997</v>
      </c>
      <c r="L24" s="13">
        <f t="shared" si="2"/>
        <v>-3.7987486936284758</v>
      </c>
      <c r="M24" s="13">
        <f t="shared" si="5"/>
        <v>4.5033065805663677</v>
      </c>
    </row>
    <row r="25" spans="1:13" ht="14.25" x14ac:dyDescent="0.2">
      <c r="A25" s="11" t="s">
        <v>141</v>
      </c>
      <c r="B25" s="12">
        <v>142619.92501000001</v>
      </c>
      <c r="C25" s="12">
        <v>135183.48457999999</v>
      </c>
      <c r="D25" s="13">
        <f t="shared" si="0"/>
        <v>-5.2141665545530191</v>
      </c>
      <c r="E25" s="13">
        <f t="shared" si="3"/>
        <v>1.0280011563046476</v>
      </c>
      <c r="F25" s="12">
        <v>1144157.06177</v>
      </c>
      <c r="G25" s="12">
        <v>1132594.2748499999</v>
      </c>
      <c r="H25" s="13">
        <f t="shared" si="1"/>
        <v>-1.010594376100129</v>
      </c>
      <c r="I25" s="13">
        <f t="shared" si="4"/>
        <v>0.96594656128835954</v>
      </c>
      <c r="J25" s="12">
        <v>1632378.4805099999</v>
      </c>
      <c r="K25" s="12">
        <v>1671980.00236</v>
      </c>
      <c r="L25" s="13">
        <f t="shared" si="2"/>
        <v>2.4260012198658445</v>
      </c>
      <c r="M25" s="13">
        <f t="shared" si="5"/>
        <v>0.9282480121438742</v>
      </c>
    </row>
    <row r="26" spans="1:13" ht="14.25" x14ac:dyDescent="0.2">
      <c r="A26" s="11" t="s">
        <v>142</v>
      </c>
      <c r="B26" s="12">
        <v>158376.42644000001</v>
      </c>
      <c r="C26" s="12">
        <v>174819.62946</v>
      </c>
      <c r="D26" s="13">
        <f t="shared" si="0"/>
        <v>10.382355120400067</v>
      </c>
      <c r="E26" s="13">
        <f t="shared" si="3"/>
        <v>1.3294137356200264</v>
      </c>
      <c r="F26" s="12">
        <v>1440615.96869</v>
      </c>
      <c r="G26" s="12">
        <v>1573482.6732999999</v>
      </c>
      <c r="H26" s="13">
        <f t="shared" si="1"/>
        <v>9.2229093316812261</v>
      </c>
      <c r="I26" s="13">
        <f t="shared" si="4"/>
        <v>1.3419635003207524</v>
      </c>
      <c r="J26" s="12">
        <v>2233167.55211</v>
      </c>
      <c r="K26" s="12">
        <v>2398011.3085599998</v>
      </c>
      <c r="L26" s="13">
        <f t="shared" si="2"/>
        <v>7.3816116616170486</v>
      </c>
      <c r="M26" s="13">
        <f t="shared" si="5"/>
        <v>1.3313252713115125</v>
      </c>
    </row>
    <row r="27" spans="1:13" ht="15.75" x14ac:dyDescent="0.25">
      <c r="A27" s="9" t="s">
        <v>19</v>
      </c>
      <c r="B27" s="8">
        <f>B28</f>
        <v>1374045.4340900001</v>
      </c>
      <c r="C27" s="8">
        <f>C28</f>
        <v>1634660.4742699999</v>
      </c>
      <c r="D27" s="10">
        <f t="shared" si="0"/>
        <v>18.966988551772261</v>
      </c>
      <c r="E27" s="10">
        <f t="shared" si="3"/>
        <v>12.430755598111567</v>
      </c>
      <c r="F27" s="8">
        <f>F28</f>
        <v>11243657.391659999</v>
      </c>
      <c r="G27" s="8">
        <f>G28</f>
        <v>13370081.219249999</v>
      </c>
      <c r="H27" s="10">
        <f t="shared" si="1"/>
        <v>18.912207598634925</v>
      </c>
      <c r="I27" s="10">
        <f t="shared" si="4"/>
        <v>11.402833534180667</v>
      </c>
      <c r="J27" s="8">
        <f>J28</f>
        <v>16741569.23951</v>
      </c>
      <c r="K27" s="8">
        <f>K28</f>
        <v>19475504.353050001</v>
      </c>
      <c r="L27" s="10">
        <f t="shared" si="2"/>
        <v>16.330220150975642</v>
      </c>
      <c r="M27" s="10">
        <f t="shared" si="5"/>
        <v>10.812389009258959</v>
      </c>
    </row>
    <row r="28" spans="1:13" ht="14.25" x14ac:dyDescent="0.2">
      <c r="A28" s="11" t="s">
        <v>143</v>
      </c>
      <c r="B28" s="12">
        <v>1374045.4340900001</v>
      </c>
      <c r="C28" s="12">
        <v>1634660.4742699999</v>
      </c>
      <c r="D28" s="13">
        <f t="shared" si="0"/>
        <v>18.966988551772261</v>
      </c>
      <c r="E28" s="13">
        <f t="shared" si="3"/>
        <v>12.430755598111567</v>
      </c>
      <c r="F28" s="12">
        <v>11243657.391659999</v>
      </c>
      <c r="G28" s="12">
        <v>13370081.219249999</v>
      </c>
      <c r="H28" s="13">
        <f t="shared" si="1"/>
        <v>18.912207598634925</v>
      </c>
      <c r="I28" s="13">
        <f t="shared" si="4"/>
        <v>11.402833534180667</v>
      </c>
      <c r="J28" s="12">
        <v>16741569.23951</v>
      </c>
      <c r="K28" s="12">
        <v>19475504.353050001</v>
      </c>
      <c r="L28" s="13">
        <f t="shared" si="2"/>
        <v>16.330220150975642</v>
      </c>
      <c r="M28" s="13">
        <f t="shared" si="5"/>
        <v>10.812389009258959</v>
      </c>
    </row>
    <row r="29" spans="1:13" ht="15.75" x14ac:dyDescent="0.25">
      <c r="A29" s="9" t="s">
        <v>21</v>
      </c>
      <c r="B29" s="8">
        <f>B30+B31+B32+B33+B34+B35+B36+B37+B38+B39+B40+B41</f>
        <v>7809388.3283999991</v>
      </c>
      <c r="C29" s="8">
        <f>C30+C31+C32+C33+C34+C35+C36+C37+C38+C39+C40+C41</f>
        <v>7695324.039929999</v>
      </c>
      <c r="D29" s="10">
        <f t="shared" si="0"/>
        <v>-1.4606046424300392</v>
      </c>
      <c r="E29" s="10">
        <f t="shared" si="3"/>
        <v>58.518997611024538</v>
      </c>
      <c r="F29" s="8">
        <f>F30+F31+F32+F33+F34+F35+F36+F37+F38+F39+F40+F41</f>
        <v>69016211.230010003</v>
      </c>
      <c r="G29" s="8">
        <f>G30+G31+G32+G33+G34+G35+G36+G37+G38+G39+G40+G41</f>
        <v>69376773.776549995</v>
      </c>
      <c r="H29" s="10">
        <f t="shared" si="1"/>
        <v>0.52243167237672172</v>
      </c>
      <c r="I29" s="10">
        <f t="shared" si="4"/>
        <v>59.168810535983184</v>
      </c>
      <c r="J29" s="8">
        <f>J30+J31+J32+J33+J34+J35+J36+J37+J38+J39+J40+J41</f>
        <v>101699948.84964001</v>
      </c>
      <c r="K29" s="8">
        <f>K30+K31+K32+K33+K34+K35+K36+K37+K38+K39+K40+K41</f>
        <v>106823056.63680999</v>
      </c>
      <c r="L29" s="10">
        <f t="shared" si="2"/>
        <v>5.0374733174589128</v>
      </c>
      <c r="M29" s="10">
        <f t="shared" si="5"/>
        <v>59.305906670109344</v>
      </c>
    </row>
    <row r="30" spans="1:13" ht="14.25" x14ac:dyDescent="0.2">
      <c r="A30" s="11" t="s">
        <v>144</v>
      </c>
      <c r="B30" s="12">
        <v>1385410.35732</v>
      </c>
      <c r="C30" s="12">
        <v>1401404.84375</v>
      </c>
      <c r="D30" s="13">
        <f t="shared" si="0"/>
        <v>1.1544945037757983</v>
      </c>
      <c r="E30" s="13">
        <f t="shared" si="3"/>
        <v>10.656966006623218</v>
      </c>
      <c r="F30" s="12">
        <v>11777616.84279</v>
      </c>
      <c r="G30" s="12">
        <v>11795578.433639999</v>
      </c>
      <c r="H30" s="13">
        <f t="shared" si="1"/>
        <v>0.15250615714328516</v>
      </c>
      <c r="I30" s="13">
        <f t="shared" si="4"/>
        <v>10.060000018886457</v>
      </c>
      <c r="J30" s="12">
        <v>17468822.497129999</v>
      </c>
      <c r="K30" s="12">
        <v>17647314.872960001</v>
      </c>
      <c r="L30" s="13">
        <f t="shared" si="2"/>
        <v>1.0217768018384017</v>
      </c>
      <c r="M30" s="13">
        <f t="shared" si="5"/>
        <v>9.797416791696218</v>
      </c>
    </row>
    <row r="31" spans="1:13" ht="14.25" x14ac:dyDescent="0.2">
      <c r="A31" s="11" t="s">
        <v>145</v>
      </c>
      <c r="B31" s="12">
        <v>1607579.5556600001</v>
      </c>
      <c r="C31" s="12">
        <v>1742355.84152</v>
      </c>
      <c r="D31" s="13">
        <f t="shared" si="0"/>
        <v>8.3838019328795745</v>
      </c>
      <c r="E31" s="13">
        <f t="shared" si="3"/>
        <v>13.249723702134187</v>
      </c>
      <c r="F31" s="12">
        <v>20801865.392900001</v>
      </c>
      <c r="G31" s="12">
        <v>19957566.30404</v>
      </c>
      <c r="H31" s="13">
        <f t="shared" si="1"/>
        <v>-4.0587662352058764</v>
      </c>
      <c r="I31" s="13">
        <f t="shared" si="4"/>
        <v>17.021048906171661</v>
      </c>
      <c r="J31" s="12">
        <v>30713002.148839999</v>
      </c>
      <c r="K31" s="12">
        <v>30720671.65227</v>
      </c>
      <c r="L31" s="13">
        <f t="shared" si="2"/>
        <v>2.4971519856098169E-2</v>
      </c>
      <c r="M31" s="13">
        <f t="shared" si="5"/>
        <v>17.055468577790041</v>
      </c>
    </row>
    <row r="32" spans="1:13" ht="14.25" x14ac:dyDescent="0.2">
      <c r="A32" s="11" t="s">
        <v>146</v>
      </c>
      <c r="B32" s="12">
        <v>95641.843789999999</v>
      </c>
      <c r="C32" s="12">
        <v>109694.29128</v>
      </c>
      <c r="D32" s="13">
        <f t="shared" si="0"/>
        <v>14.692781875739291</v>
      </c>
      <c r="E32" s="13">
        <f t="shared" si="3"/>
        <v>0.83416889737832811</v>
      </c>
      <c r="F32" s="12">
        <v>738276.11618000001</v>
      </c>
      <c r="G32" s="12">
        <v>689646.39486</v>
      </c>
      <c r="H32" s="13">
        <f t="shared" si="1"/>
        <v>-6.5869286916148244</v>
      </c>
      <c r="I32" s="13">
        <f t="shared" si="4"/>
        <v>0.58817316881471726</v>
      </c>
      <c r="J32" s="12">
        <v>1176395.8223000001</v>
      </c>
      <c r="K32" s="12">
        <v>941891.01899999997</v>
      </c>
      <c r="L32" s="13">
        <f t="shared" si="2"/>
        <v>-19.934175118159985</v>
      </c>
      <c r="M32" s="13">
        <f t="shared" si="5"/>
        <v>0.52291801624949563</v>
      </c>
    </row>
    <row r="33" spans="1:13" ht="14.25" x14ac:dyDescent="0.2">
      <c r="A33" s="11" t="s">
        <v>147</v>
      </c>
      <c r="B33" s="12">
        <v>800780.33372999995</v>
      </c>
      <c r="C33" s="12">
        <v>850216.66932999995</v>
      </c>
      <c r="D33" s="13">
        <f t="shared" si="0"/>
        <v>6.1735201924512424</v>
      </c>
      <c r="E33" s="13">
        <f t="shared" si="3"/>
        <v>6.4654622707516403</v>
      </c>
      <c r="F33" s="12">
        <v>7143430.5805500001</v>
      </c>
      <c r="G33" s="12">
        <v>7173618.0330699999</v>
      </c>
      <c r="H33" s="13">
        <f t="shared" si="1"/>
        <v>0.42259040918230029</v>
      </c>
      <c r="I33" s="13">
        <f t="shared" si="4"/>
        <v>6.1181058609517063</v>
      </c>
      <c r="J33" s="12">
        <v>11118040.05913</v>
      </c>
      <c r="K33" s="12">
        <v>11334075.68434</v>
      </c>
      <c r="L33" s="13">
        <f t="shared" si="2"/>
        <v>1.9431088938431584</v>
      </c>
      <c r="M33" s="13">
        <f t="shared" si="5"/>
        <v>6.2924396276430743</v>
      </c>
    </row>
    <row r="34" spans="1:13" ht="14.25" x14ac:dyDescent="0.2">
      <c r="A34" s="11" t="s">
        <v>148</v>
      </c>
      <c r="B34" s="12">
        <v>550693.31339000002</v>
      </c>
      <c r="C34" s="12">
        <v>575203.01344000001</v>
      </c>
      <c r="D34" s="13">
        <f t="shared" si="0"/>
        <v>4.4506986836504874</v>
      </c>
      <c r="E34" s="13">
        <f t="shared" si="3"/>
        <v>4.3741242856948839</v>
      </c>
      <c r="F34" s="12">
        <v>4632165.6943300003</v>
      </c>
      <c r="G34" s="12">
        <v>5057456.5912899999</v>
      </c>
      <c r="H34" s="13">
        <f t="shared" si="1"/>
        <v>9.1812539754477402</v>
      </c>
      <c r="I34" s="13">
        <f t="shared" si="4"/>
        <v>4.3133122881702022</v>
      </c>
      <c r="J34" s="12">
        <v>6837783.7901799995</v>
      </c>
      <c r="K34" s="12">
        <v>7737073.5564000001</v>
      </c>
      <c r="L34" s="13">
        <f t="shared" si="2"/>
        <v>13.151772472120349</v>
      </c>
      <c r="M34" s="13">
        <f t="shared" si="5"/>
        <v>4.2954599566992133</v>
      </c>
    </row>
    <row r="35" spans="1:13" ht="14.25" x14ac:dyDescent="0.2">
      <c r="A35" s="11" t="s">
        <v>149</v>
      </c>
      <c r="B35" s="12">
        <v>600373.56460000004</v>
      </c>
      <c r="C35" s="12">
        <v>612707.71027000004</v>
      </c>
      <c r="D35" s="13">
        <f t="shared" si="0"/>
        <v>2.0544118524301855</v>
      </c>
      <c r="E35" s="13">
        <f t="shared" si="3"/>
        <v>4.659328294364145</v>
      </c>
      <c r="F35" s="12">
        <v>5343638.4658599999</v>
      </c>
      <c r="G35" s="12">
        <v>5392187.8197600003</v>
      </c>
      <c r="H35" s="13">
        <f t="shared" si="1"/>
        <v>0.90854488398078725</v>
      </c>
      <c r="I35" s="13">
        <f t="shared" si="4"/>
        <v>4.5987918162556207</v>
      </c>
      <c r="J35" s="12">
        <v>7759337.6882100003</v>
      </c>
      <c r="K35" s="12">
        <v>8131509.0490899999</v>
      </c>
      <c r="L35" s="13">
        <f t="shared" si="2"/>
        <v>4.7964320646271004</v>
      </c>
      <c r="M35" s="13">
        <f t="shared" si="5"/>
        <v>4.514442218144735</v>
      </c>
    </row>
    <row r="36" spans="1:13" ht="14.25" x14ac:dyDescent="0.2">
      <c r="A36" s="11" t="s">
        <v>150</v>
      </c>
      <c r="B36" s="12">
        <v>1181895.1413499999</v>
      </c>
      <c r="C36" s="12">
        <v>1022830.2577599999</v>
      </c>
      <c r="D36" s="13">
        <f t="shared" si="0"/>
        <v>-13.45845989419254</v>
      </c>
      <c r="E36" s="13">
        <f t="shared" si="3"/>
        <v>7.7781001943207988</v>
      </c>
      <c r="F36" s="12">
        <v>9508435.1073800009</v>
      </c>
      <c r="G36" s="12">
        <v>9436209.2127199993</v>
      </c>
      <c r="H36" s="13">
        <f t="shared" si="1"/>
        <v>-0.75959812360651513</v>
      </c>
      <c r="I36" s="13">
        <f t="shared" si="4"/>
        <v>8.0477837854439009</v>
      </c>
      <c r="J36" s="12">
        <v>13497212.785289999</v>
      </c>
      <c r="K36" s="12">
        <v>15426858.66807</v>
      </c>
      <c r="L36" s="13">
        <f t="shared" si="2"/>
        <v>14.296624891940906</v>
      </c>
      <c r="M36" s="13">
        <f t="shared" si="5"/>
        <v>8.5646663668511955</v>
      </c>
    </row>
    <row r="37" spans="1:13" ht="14.25" x14ac:dyDescent="0.2">
      <c r="A37" s="14" t="s">
        <v>151</v>
      </c>
      <c r="B37" s="12">
        <v>220587.65960000001</v>
      </c>
      <c r="C37" s="12">
        <v>285653.42667999998</v>
      </c>
      <c r="D37" s="13">
        <f t="shared" si="0"/>
        <v>29.49655805677715</v>
      </c>
      <c r="E37" s="13">
        <f t="shared" si="3"/>
        <v>2.1722479919922839</v>
      </c>
      <c r="F37" s="12">
        <v>1977734.40328</v>
      </c>
      <c r="G37" s="12">
        <v>2337539.62971</v>
      </c>
      <c r="H37" s="13">
        <f t="shared" si="1"/>
        <v>18.19279807406274</v>
      </c>
      <c r="I37" s="13">
        <f t="shared" si="4"/>
        <v>1.9935986057254969</v>
      </c>
      <c r="J37" s="12">
        <v>2887251.5296200002</v>
      </c>
      <c r="K37" s="12">
        <v>3346443.1035000002</v>
      </c>
      <c r="L37" s="13">
        <f t="shared" si="2"/>
        <v>15.904107043297181</v>
      </c>
      <c r="M37" s="13">
        <f t="shared" si="5"/>
        <v>1.8578745883275329</v>
      </c>
    </row>
    <row r="38" spans="1:13" ht="14.25" x14ac:dyDescent="0.2">
      <c r="A38" s="11" t="s">
        <v>152</v>
      </c>
      <c r="B38" s="12">
        <v>896160.51095999999</v>
      </c>
      <c r="C38" s="12">
        <v>566131.63852000004</v>
      </c>
      <c r="D38" s="13">
        <f t="shared" si="0"/>
        <v>-36.8269822653155</v>
      </c>
      <c r="E38" s="13">
        <f t="shared" si="3"/>
        <v>4.3051411259841696</v>
      </c>
      <c r="F38" s="12">
        <v>2817910.0962499999</v>
      </c>
      <c r="G38" s="12">
        <v>2732682.18646</v>
      </c>
      <c r="H38" s="13">
        <f t="shared" si="1"/>
        <v>-3.0245077691945883</v>
      </c>
      <c r="I38" s="13">
        <f t="shared" si="4"/>
        <v>2.3306006570222011</v>
      </c>
      <c r="J38" s="12">
        <v>3817416.3742999998</v>
      </c>
      <c r="K38" s="12">
        <v>4318001.14365</v>
      </c>
      <c r="L38" s="13">
        <f t="shared" si="2"/>
        <v>13.113182327190925</v>
      </c>
      <c r="M38" s="13">
        <f t="shared" si="5"/>
        <v>2.3972631086320093</v>
      </c>
    </row>
    <row r="39" spans="1:13" ht="14.25" x14ac:dyDescent="0.2">
      <c r="A39" s="11" t="s">
        <v>153</v>
      </c>
      <c r="B39" s="12">
        <v>119749.85591</v>
      </c>
      <c r="C39" s="12">
        <v>175400.03847999999</v>
      </c>
      <c r="D39" s="13">
        <f>(C39-B39)/B39*100</f>
        <v>46.472024660994009</v>
      </c>
      <c r="E39" s="13">
        <f t="shared" si="3"/>
        <v>1.3338274489189801</v>
      </c>
      <c r="F39" s="12">
        <v>1224083.69031</v>
      </c>
      <c r="G39" s="12">
        <v>1691519.7144299999</v>
      </c>
      <c r="H39" s="13">
        <f t="shared" si="1"/>
        <v>38.1866066691585</v>
      </c>
      <c r="I39" s="13">
        <f t="shared" si="4"/>
        <v>1.4426328013370202</v>
      </c>
      <c r="J39" s="12">
        <v>1898639.6121499999</v>
      </c>
      <c r="K39" s="12">
        <v>2503392.34619</v>
      </c>
      <c r="L39" s="13">
        <f t="shared" si="2"/>
        <v>31.85189701984487</v>
      </c>
      <c r="M39" s="13">
        <f t="shared" si="5"/>
        <v>1.3898305994611519</v>
      </c>
    </row>
    <row r="40" spans="1:13" ht="14.25" x14ac:dyDescent="0.2">
      <c r="A40" s="11" t="s">
        <v>154</v>
      </c>
      <c r="B40" s="12">
        <v>342610.31091</v>
      </c>
      <c r="C40" s="12">
        <v>346124.0993</v>
      </c>
      <c r="D40" s="13">
        <f>(C40-B40)/B40*100</f>
        <v>1.0255932988902472</v>
      </c>
      <c r="E40" s="13">
        <f t="shared" si="3"/>
        <v>2.6320964828713005</v>
      </c>
      <c r="F40" s="12">
        <v>2973634.5748399999</v>
      </c>
      <c r="G40" s="12">
        <v>3036337.07761</v>
      </c>
      <c r="H40" s="13">
        <f t="shared" si="1"/>
        <v>2.1086149354237289</v>
      </c>
      <c r="I40" s="13">
        <f t="shared" si="4"/>
        <v>2.589576359476268</v>
      </c>
      <c r="J40" s="12">
        <v>4407772.9445500001</v>
      </c>
      <c r="K40" s="12">
        <v>4595170.90558</v>
      </c>
      <c r="L40" s="13">
        <f t="shared" si="2"/>
        <v>4.2515339013028894</v>
      </c>
      <c r="M40" s="13">
        <f t="shared" si="5"/>
        <v>2.5511419111145508</v>
      </c>
    </row>
    <row r="41" spans="1:13" ht="14.25" x14ac:dyDescent="0.2">
      <c r="A41" s="11" t="s">
        <v>155</v>
      </c>
      <c r="B41" s="12">
        <v>7905.8811800000003</v>
      </c>
      <c r="C41" s="12">
        <v>7602.2096000000001</v>
      </c>
      <c r="D41" s="13">
        <f t="shared" si="0"/>
        <v>-3.84108454308948</v>
      </c>
      <c r="E41" s="13">
        <f t="shared" si="3"/>
        <v>5.7810909990601851E-2</v>
      </c>
      <c r="F41" s="12">
        <v>77420.265339999998</v>
      </c>
      <c r="G41" s="12">
        <v>76432.378960000002</v>
      </c>
      <c r="H41" s="13">
        <f t="shared" si="1"/>
        <v>-1.2760049008635912</v>
      </c>
      <c r="I41" s="13">
        <f t="shared" si="4"/>
        <v>6.5186267727937008E-2</v>
      </c>
      <c r="J41" s="12">
        <v>118273.59794000001</v>
      </c>
      <c r="K41" s="12">
        <v>120654.63576</v>
      </c>
      <c r="L41" s="13">
        <f t="shared" si="2"/>
        <v>2.0131608926008102</v>
      </c>
      <c r="M41" s="13">
        <f t="shared" si="5"/>
        <v>6.6984907500136859E-2</v>
      </c>
    </row>
    <row r="42" spans="1:13" ht="15.75" x14ac:dyDescent="0.25">
      <c r="A42" s="9" t="s">
        <v>31</v>
      </c>
      <c r="B42" s="8">
        <f>B43</f>
        <v>325034.33490000002</v>
      </c>
      <c r="C42" s="8">
        <f>C43</f>
        <v>340203.80047000002</v>
      </c>
      <c r="D42" s="10">
        <f t="shared" si="0"/>
        <v>4.6670348148502638</v>
      </c>
      <c r="E42" s="10">
        <f t="shared" si="3"/>
        <v>2.587075642775206</v>
      </c>
      <c r="F42" s="8">
        <f>F43</f>
        <v>3009485.9585500001</v>
      </c>
      <c r="G42" s="8">
        <f>G43</f>
        <v>2848570.6517099999</v>
      </c>
      <c r="H42" s="10">
        <f t="shared" si="1"/>
        <v>-5.3469366216126417</v>
      </c>
      <c r="I42" s="10">
        <f t="shared" si="4"/>
        <v>2.4294375194247131</v>
      </c>
      <c r="J42" s="8">
        <f>J43</f>
        <v>4587149.7173100002</v>
      </c>
      <c r="K42" s="8">
        <f>K43</f>
        <v>4400368.6505399998</v>
      </c>
      <c r="L42" s="10">
        <f t="shared" si="2"/>
        <v>-4.0718327999011263</v>
      </c>
      <c r="M42" s="10">
        <f t="shared" si="5"/>
        <v>2.44299181018823</v>
      </c>
    </row>
    <row r="43" spans="1:13" ht="14.25" x14ac:dyDescent="0.2">
      <c r="A43" s="11" t="s">
        <v>156</v>
      </c>
      <c r="B43" s="12">
        <v>325034.33490000002</v>
      </c>
      <c r="C43" s="12">
        <v>340203.80047000002</v>
      </c>
      <c r="D43" s="13">
        <f t="shared" si="0"/>
        <v>4.6670348148502638</v>
      </c>
      <c r="E43" s="13">
        <f t="shared" si="3"/>
        <v>2.587075642775206</v>
      </c>
      <c r="F43" s="12">
        <v>3009485.9585500001</v>
      </c>
      <c r="G43" s="12">
        <v>2848570.6517099999</v>
      </c>
      <c r="H43" s="13">
        <f t="shared" si="1"/>
        <v>-5.3469366216126417</v>
      </c>
      <c r="I43" s="13">
        <f t="shared" si="4"/>
        <v>2.4294375194247131</v>
      </c>
      <c r="J43" s="12">
        <v>4587149.7173100002</v>
      </c>
      <c r="K43" s="12">
        <v>4400368.6505399998</v>
      </c>
      <c r="L43" s="13">
        <f t="shared" si="2"/>
        <v>-4.0718327999011263</v>
      </c>
      <c r="M43" s="13">
        <f t="shared" si="5"/>
        <v>2.44299181018823</v>
      </c>
    </row>
    <row r="44" spans="1:13" ht="15.75" x14ac:dyDescent="0.25">
      <c r="A44" s="9" t="s">
        <v>33</v>
      </c>
      <c r="B44" s="8">
        <f>B8+B22+B42</f>
        <v>11937635.387519997</v>
      </c>
      <c r="C44" s="8">
        <f>C8+C22+C42</f>
        <v>12087035.861709999</v>
      </c>
      <c r="D44" s="10">
        <f t="shared" si="0"/>
        <v>1.2515081030719917</v>
      </c>
      <c r="E44" s="10">
        <f t="shared" si="3"/>
        <v>91.915716485177342</v>
      </c>
      <c r="F44" s="15">
        <f>F8+F22+F42</f>
        <v>105651822.58913001</v>
      </c>
      <c r="G44" s="15">
        <f>G8+G22+G42</f>
        <v>107848014.52192</v>
      </c>
      <c r="H44" s="16">
        <f t="shared" si="1"/>
        <v>2.0787070955990647</v>
      </c>
      <c r="I44" s="16">
        <f t="shared" si="4"/>
        <v>91.979467919368233</v>
      </c>
      <c r="J44" s="15">
        <f>J8+J22+J42</f>
        <v>157531207.21104002</v>
      </c>
      <c r="K44" s="15">
        <f>K8+K22+K42</f>
        <v>165599211.49726</v>
      </c>
      <c r="L44" s="16">
        <f t="shared" si="2"/>
        <v>5.1215276192300809</v>
      </c>
      <c r="M44" s="16">
        <f t="shared" si="5"/>
        <v>91.937187447190055</v>
      </c>
    </row>
    <row r="45" spans="1:13" ht="15.75" x14ac:dyDescent="0.25">
      <c r="A45" s="89" t="s">
        <v>34</v>
      </c>
      <c r="B45" s="90">
        <f>+B46-B44</f>
        <v>394348.62248000316</v>
      </c>
      <c r="C45" s="90">
        <f>+C46-C44</f>
        <v>425871.55729000084</v>
      </c>
      <c r="D45" s="91">
        <f t="shared" si="0"/>
        <v>7.9936718459302236</v>
      </c>
      <c r="E45" s="91">
        <f t="shared" si="3"/>
        <v>3.2385350524996941</v>
      </c>
      <c r="F45" s="90">
        <f t="shared" ref="F45:G45" si="6">+F46-F44</f>
        <v>2892304.1228699833</v>
      </c>
      <c r="G45" s="90">
        <f t="shared" si="6"/>
        <v>3516476.0430800021</v>
      </c>
      <c r="H45" s="92">
        <f t="shared" si="1"/>
        <v>21.580438767644662</v>
      </c>
      <c r="I45" s="92">
        <f t="shared" si="4"/>
        <v>2.9990686136179576</v>
      </c>
      <c r="J45" s="90">
        <f t="shared" ref="J45:K45" si="7">+J46-J44</f>
        <v>4769688.7329566181</v>
      </c>
      <c r="K45" s="90">
        <f t="shared" si="7"/>
        <v>5141765.810739994</v>
      </c>
      <c r="L45" s="92">
        <f t="shared" si="2"/>
        <v>7.8008670715234301</v>
      </c>
      <c r="M45" s="92">
        <f t="shared" si="5"/>
        <v>2.8545998672184356</v>
      </c>
    </row>
    <row r="46" spans="1:13" s="18" customFormat="1" ht="22.5" customHeight="1" x14ac:dyDescent="0.3">
      <c r="A46" s="17" t="s">
        <v>225</v>
      </c>
      <c r="B46" s="169">
        <v>12331984.01</v>
      </c>
      <c r="C46" s="169">
        <v>12512907.419</v>
      </c>
      <c r="D46" s="170">
        <f t="shared" si="0"/>
        <v>1.4671070677134295</v>
      </c>
      <c r="E46" s="93">
        <f t="shared" si="3"/>
        <v>95.154251537677027</v>
      </c>
      <c r="F46" s="171">
        <v>108544126.712</v>
      </c>
      <c r="G46" s="171">
        <v>111364490.565</v>
      </c>
      <c r="H46" s="170">
        <f t="shared" si="1"/>
        <v>2.5983569433316904</v>
      </c>
      <c r="I46" s="94">
        <f t="shared" si="4"/>
        <v>94.978536532986183</v>
      </c>
      <c r="J46" s="171">
        <v>162300895.94399664</v>
      </c>
      <c r="K46" s="171">
        <v>170740977.308</v>
      </c>
      <c r="L46" s="170">
        <f t="shared" si="2"/>
        <v>5.2002678820181529</v>
      </c>
      <c r="M46" s="94">
        <f t="shared" si="5"/>
        <v>94.791787314408509</v>
      </c>
    </row>
    <row r="47" spans="1:13" ht="15" x14ac:dyDescent="0.2">
      <c r="A47" s="172" t="s">
        <v>226</v>
      </c>
      <c r="B47" s="90">
        <f>+B48-B46</f>
        <v>599928.67799999937</v>
      </c>
      <c r="C47" s="90">
        <f>+C48-C46</f>
        <v>637222.20399999991</v>
      </c>
      <c r="D47" s="91">
        <f t="shared" si="0"/>
        <v>6.2163266014098726</v>
      </c>
      <c r="E47" s="91">
        <f t="shared" si="3"/>
        <v>4.8457484623229705</v>
      </c>
      <c r="F47" s="90">
        <f t="shared" ref="F47:G47" si="8">+F48-F46</f>
        <v>5446849.6050000042</v>
      </c>
      <c r="G47" s="90">
        <f t="shared" si="8"/>
        <v>5887779.9270000011</v>
      </c>
      <c r="H47" s="173">
        <f t="shared" si="1"/>
        <v>8.0951440552946305</v>
      </c>
      <c r="I47" s="173">
        <f t="shared" si="4"/>
        <v>5.0214634670138159</v>
      </c>
      <c r="J47" s="90">
        <f t="shared" ref="J47:K47" si="9">+J48-J46</f>
        <v>8326193.2660033703</v>
      </c>
      <c r="K47" s="90">
        <f t="shared" si="9"/>
        <v>9381143.1259999871</v>
      </c>
      <c r="L47" s="173">
        <f t="shared" si="2"/>
        <v>12.670254296210926</v>
      </c>
      <c r="M47" s="173">
        <f t="shared" si="5"/>
        <v>5.2082126855915005</v>
      </c>
    </row>
    <row r="48" spans="1:13" s="18" customFormat="1" ht="22.5" customHeight="1" x14ac:dyDescent="0.3">
      <c r="A48" s="17" t="s">
        <v>227</v>
      </c>
      <c r="B48" s="169">
        <v>12931912.687999999</v>
      </c>
      <c r="C48" s="169">
        <v>13150129.623</v>
      </c>
      <c r="D48" s="170">
        <f t="shared" si="0"/>
        <v>1.687429696323979</v>
      </c>
      <c r="E48" s="93">
        <f t="shared" si="3"/>
        <v>100</v>
      </c>
      <c r="F48" s="171">
        <v>113990976.317</v>
      </c>
      <c r="G48" s="171">
        <v>117252270.492</v>
      </c>
      <c r="H48" s="170">
        <f t="shared" si="1"/>
        <v>2.8610108276734052</v>
      </c>
      <c r="I48" s="94">
        <f t="shared" si="4"/>
        <v>100</v>
      </c>
      <c r="J48" s="171">
        <v>170627089.21000001</v>
      </c>
      <c r="K48" s="171">
        <v>180122120.43399999</v>
      </c>
      <c r="L48" s="170">
        <f t="shared" si="2"/>
        <v>5.5647853268562342</v>
      </c>
      <c r="M48" s="94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5" bestFit="1" customWidth="1"/>
    <col min="5" max="5" width="12.28515625" style="36" bestFit="1" customWidth="1"/>
    <col min="6" max="6" width="11" style="36" bestFit="1" customWidth="1"/>
    <col min="7" max="7" width="12.28515625" style="36" bestFit="1" customWidth="1"/>
    <col min="8" max="8" width="11.42578125" style="36" bestFit="1" customWidth="1"/>
    <col min="9" max="9" width="12.28515625" style="36" bestFit="1" customWidth="1"/>
    <col min="10" max="10" width="12.7109375" style="36" bestFit="1" customWidth="1"/>
    <col min="11" max="11" width="12.28515625" style="36" bestFit="1" customWidth="1"/>
    <col min="12" max="12" width="11" style="36" customWidth="1"/>
    <col min="13" max="13" width="12.28515625" style="36" bestFit="1" customWidth="1"/>
    <col min="14" max="14" width="11" style="36" bestFit="1" customWidth="1"/>
    <col min="15" max="15" width="13.5703125" style="35" bestFit="1" customWidth="1"/>
  </cols>
  <sheetData>
    <row r="1" spans="1:15" ht="16.5" thickBot="1" x14ac:dyDescent="0.3">
      <c r="A1" s="95"/>
      <c r="B1" s="120" t="s">
        <v>60</v>
      </c>
      <c r="C1" s="121" t="s">
        <v>44</v>
      </c>
      <c r="D1" s="121" t="s">
        <v>45</v>
      </c>
      <c r="E1" s="121" t="s">
        <v>46</v>
      </c>
      <c r="F1" s="121" t="s">
        <v>47</v>
      </c>
      <c r="G1" s="121" t="s">
        <v>48</v>
      </c>
      <c r="H1" s="121" t="s">
        <v>49</v>
      </c>
      <c r="I1" s="121" t="s">
        <v>0</v>
      </c>
      <c r="J1" s="121" t="s">
        <v>61</v>
      </c>
      <c r="K1" s="121" t="s">
        <v>50</v>
      </c>
      <c r="L1" s="121" t="s">
        <v>51</v>
      </c>
      <c r="M1" s="121" t="s">
        <v>52</v>
      </c>
      <c r="N1" s="121" t="s">
        <v>53</v>
      </c>
      <c r="O1" s="122" t="s">
        <v>42</v>
      </c>
    </row>
    <row r="2" spans="1:15" s="39" customFormat="1" ht="16.5" thickTop="1" thickBot="1" x14ac:dyDescent="0.3">
      <c r="A2" s="96">
        <v>2019</v>
      </c>
      <c r="B2" s="123" t="s">
        <v>2</v>
      </c>
      <c r="C2" s="124">
        <f>C4+C6+C8+C10+C12+C14+C16+C18+C20+C22</f>
        <v>1882400.8522799998</v>
      </c>
      <c r="D2" s="124">
        <f t="shared" ref="D2:O2" si="0">D4+D6+D8+D10+D12+D14+D16+D18+D20+D22</f>
        <v>1857416.9549299995</v>
      </c>
      <c r="E2" s="124">
        <f t="shared" si="0"/>
        <v>1950583.9067599999</v>
      </c>
      <c r="F2" s="124">
        <f t="shared" si="0"/>
        <v>1878728.40393</v>
      </c>
      <c r="G2" s="124">
        <f t="shared" si="0"/>
        <v>2012674.1690000002</v>
      </c>
      <c r="H2" s="124">
        <f t="shared" si="0"/>
        <v>1364302.3992300001</v>
      </c>
      <c r="I2" s="124">
        <f t="shared" si="0"/>
        <v>1799794.63439</v>
      </c>
      <c r="J2" s="124">
        <f t="shared" si="0"/>
        <v>1533232.5832799999</v>
      </c>
      <c r="K2" s="124"/>
      <c r="L2" s="124"/>
      <c r="M2" s="124"/>
      <c r="N2" s="124"/>
      <c r="O2" s="124">
        <f t="shared" si="0"/>
        <v>14279133.9038</v>
      </c>
    </row>
    <row r="3" spans="1:15" ht="15.75" thickTop="1" x14ac:dyDescent="0.25">
      <c r="A3" s="95">
        <v>2018</v>
      </c>
      <c r="B3" s="123" t="s">
        <v>2</v>
      </c>
      <c r="C3" s="124">
        <f>C5+C7+C9+C11+C13+C15+C17+C19+C21+C23</f>
        <v>1893782.1339599998</v>
      </c>
      <c r="D3" s="124">
        <f t="shared" ref="D3:O3" si="1">D5+D7+D9+D11+D13+D15+D17+D19+D21+D23</f>
        <v>1835790.1215799998</v>
      </c>
      <c r="E3" s="124">
        <f t="shared" si="1"/>
        <v>1994921.6316400003</v>
      </c>
      <c r="F3" s="124">
        <f t="shared" si="1"/>
        <v>1783106.34775</v>
      </c>
      <c r="G3" s="124">
        <f t="shared" si="1"/>
        <v>1896880.0225399998</v>
      </c>
      <c r="H3" s="124">
        <f t="shared" si="1"/>
        <v>1589496.7403500001</v>
      </c>
      <c r="I3" s="124">
        <f t="shared" si="1"/>
        <v>1678347.93249</v>
      </c>
      <c r="J3" s="124">
        <f t="shared" si="1"/>
        <v>1512275.3015899998</v>
      </c>
      <c r="K3" s="124">
        <f t="shared" si="1"/>
        <v>1894749.8480700001</v>
      </c>
      <c r="L3" s="124">
        <f t="shared" si="1"/>
        <v>2161695.0977400001</v>
      </c>
      <c r="M3" s="124">
        <f t="shared" si="1"/>
        <v>2303933.8944699997</v>
      </c>
      <c r="N3" s="124">
        <f t="shared" si="1"/>
        <v>2079326.4993000003</v>
      </c>
      <c r="O3" s="124">
        <f t="shared" si="1"/>
        <v>22624305.571479999</v>
      </c>
    </row>
    <row r="4" spans="1:15" s="39" customFormat="1" ht="15" x14ac:dyDescent="0.25">
      <c r="A4" s="96">
        <v>2019</v>
      </c>
      <c r="B4" s="125" t="s">
        <v>130</v>
      </c>
      <c r="C4" s="126">
        <v>560032.39307999995</v>
      </c>
      <c r="D4" s="126">
        <v>565262.68799999997</v>
      </c>
      <c r="E4" s="126">
        <v>586795.91000999999</v>
      </c>
      <c r="F4" s="126">
        <v>597744.71329999994</v>
      </c>
      <c r="G4" s="126">
        <v>590765.01104000001</v>
      </c>
      <c r="H4" s="126">
        <v>344990.39637999999</v>
      </c>
      <c r="I4" s="126">
        <v>546970.83268999995</v>
      </c>
      <c r="J4" s="126">
        <v>482216.99631999998</v>
      </c>
      <c r="K4" s="126"/>
      <c r="L4" s="126"/>
      <c r="M4" s="126"/>
      <c r="N4" s="126"/>
      <c r="O4" s="127">
        <v>4274778.9408200001</v>
      </c>
    </row>
    <row r="5" spans="1:15" ht="15" x14ac:dyDescent="0.25">
      <c r="A5" s="95">
        <v>2018</v>
      </c>
      <c r="B5" s="125" t="s">
        <v>130</v>
      </c>
      <c r="C5" s="126">
        <v>547223.66903999995</v>
      </c>
      <c r="D5" s="126">
        <v>534695.97504000005</v>
      </c>
      <c r="E5" s="126">
        <v>599951.91367000004</v>
      </c>
      <c r="F5" s="126">
        <v>534035.62387000001</v>
      </c>
      <c r="G5" s="126">
        <v>559444.18229999999</v>
      </c>
      <c r="H5" s="126">
        <v>447489.81228999997</v>
      </c>
      <c r="I5" s="126">
        <v>533361.76101000002</v>
      </c>
      <c r="J5" s="126">
        <v>489967.42408999999</v>
      </c>
      <c r="K5" s="126">
        <v>544911.54104000004</v>
      </c>
      <c r="L5" s="126">
        <v>645860.07984999998</v>
      </c>
      <c r="M5" s="126">
        <v>647966.02815000003</v>
      </c>
      <c r="N5" s="126">
        <v>593568.21001000004</v>
      </c>
      <c r="O5" s="127">
        <v>6678476.2203599997</v>
      </c>
    </row>
    <row r="6" spans="1:15" s="39" customFormat="1" ht="15" x14ac:dyDescent="0.25">
      <c r="A6" s="96">
        <v>2019</v>
      </c>
      <c r="B6" s="125" t="s">
        <v>131</v>
      </c>
      <c r="C6" s="126">
        <v>199231.03555999999</v>
      </c>
      <c r="D6" s="126">
        <v>165990.86090999999</v>
      </c>
      <c r="E6" s="126">
        <v>143608.89838999999</v>
      </c>
      <c r="F6" s="126">
        <v>113213.56436</v>
      </c>
      <c r="G6" s="126">
        <v>140808.25948000001</v>
      </c>
      <c r="H6" s="126">
        <v>202451.31967</v>
      </c>
      <c r="I6" s="126">
        <v>131829.24645000001</v>
      </c>
      <c r="J6" s="126">
        <v>110123.10025</v>
      </c>
      <c r="K6" s="126"/>
      <c r="L6" s="126"/>
      <c r="M6" s="126"/>
      <c r="N6" s="126"/>
      <c r="O6" s="127">
        <v>1207256.28507</v>
      </c>
    </row>
    <row r="7" spans="1:15" ht="15" x14ac:dyDescent="0.25">
      <c r="A7" s="95">
        <v>2018</v>
      </c>
      <c r="B7" s="125" t="s">
        <v>131</v>
      </c>
      <c r="C7" s="126">
        <v>225394.03391999999</v>
      </c>
      <c r="D7" s="126">
        <v>211794.99771</v>
      </c>
      <c r="E7" s="126">
        <v>207194.92988000001</v>
      </c>
      <c r="F7" s="126">
        <v>149357.76658</v>
      </c>
      <c r="G7" s="126">
        <v>213052.51121999999</v>
      </c>
      <c r="H7" s="126">
        <v>167641.58673000001</v>
      </c>
      <c r="I7" s="126">
        <v>104468.44220999999</v>
      </c>
      <c r="J7" s="126">
        <v>111080.49325</v>
      </c>
      <c r="K7" s="126">
        <v>152215.67697</v>
      </c>
      <c r="L7" s="126">
        <v>201895.71311000001</v>
      </c>
      <c r="M7" s="126">
        <v>299904.95601000002</v>
      </c>
      <c r="N7" s="126">
        <v>281797.73953999998</v>
      </c>
      <c r="O7" s="127">
        <v>2325798.8471300001</v>
      </c>
    </row>
    <row r="8" spans="1:15" s="39" customFormat="1" ht="15" x14ac:dyDescent="0.25">
      <c r="A8" s="96">
        <v>2019</v>
      </c>
      <c r="B8" s="125" t="s">
        <v>132</v>
      </c>
      <c r="C8" s="126">
        <v>125434.49806</v>
      </c>
      <c r="D8" s="126">
        <v>122184.99085</v>
      </c>
      <c r="E8" s="126">
        <v>128023.94576</v>
      </c>
      <c r="F8" s="126">
        <v>125243.85616</v>
      </c>
      <c r="G8" s="126">
        <v>138562.1012</v>
      </c>
      <c r="H8" s="126">
        <v>83564.09302</v>
      </c>
      <c r="I8" s="126">
        <v>130194.65261999999</v>
      </c>
      <c r="J8" s="126">
        <v>128097.73127</v>
      </c>
      <c r="K8" s="126"/>
      <c r="L8" s="126"/>
      <c r="M8" s="126"/>
      <c r="N8" s="126"/>
      <c r="O8" s="127">
        <v>981305.86893999996</v>
      </c>
    </row>
    <row r="9" spans="1:15" ht="15" x14ac:dyDescent="0.25">
      <c r="A9" s="95">
        <v>2018</v>
      </c>
      <c r="B9" s="125" t="s">
        <v>132</v>
      </c>
      <c r="C9" s="126">
        <v>119835.36044999999</v>
      </c>
      <c r="D9" s="126">
        <v>117643.61351</v>
      </c>
      <c r="E9" s="126">
        <v>141218.40416000001</v>
      </c>
      <c r="F9" s="126">
        <v>128537.29485999999</v>
      </c>
      <c r="G9" s="126">
        <v>137415.20196999999</v>
      </c>
      <c r="H9" s="126">
        <v>118810.93104</v>
      </c>
      <c r="I9" s="126">
        <v>125958.33078</v>
      </c>
      <c r="J9" s="126">
        <v>111575.90204</v>
      </c>
      <c r="K9" s="126">
        <v>143626.68825000001</v>
      </c>
      <c r="L9" s="126">
        <v>141433.93588</v>
      </c>
      <c r="M9" s="126">
        <v>150319.4952</v>
      </c>
      <c r="N9" s="126">
        <v>128118.89834</v>
      </c>
      <c r="O9" s="127">
        <v>1564494.05648</v>
      </c>
    </row>
    <row r="10" spans="1:15" s="39" customFormat="1" ht="15" x14ac:dyDescent="0.25">
      <c r="A10" s="96">
        <v>2019</v>
      </c>
      <c r="B10" s="125" t="s">
        <v>133</v>
      </c>
      <c r="C10" s="126">
        <v>112141.59022</v>
      </c>
      <c r="D10" s="126">
        <v>114842.19143000001</v>
      </c>
      <c r="E10" s="126">
        <v>118300.13249</v>
      </c>
      <c r="F10" s="126">
        <v>117759.88364</v>
      </c>
      <c r="G10" s="126">
        <v>117894.47007</v>
      </c>
      <c r="H10" s="126">
        <v>63517.454749999997</v>
      </c>
      <c r="I10" s="126">
        <v>83084.204899999997</v>
      </c>
      <c r="J10" s="126">
        <v>72221.698189999996</v>
      </c>
      <c r="K10" s="126"/>
      <c r="L10" s="126"/>
      <c r="M10" s="126"/>
      <c r="N10" s="126"/>
      <c r="O10" s="127">
        <v>799761.62569000002</v>
      </c>
    </row>
    <row r="11" spans="1:15" ht="15" x14ac:dyDescent="0.25">
      <c r="A11" s="95">
        <v>2018</v>
      </c>
      <c r="B11" s="125" t="s">
        <v>133</v>
      </c>
      <c r="C11" s="126">
        <v>108333.43629</v>
      </c>
      <c r="D11" s="126">
        <v>107572.17714</v>
      </c>
      <c r="E11" s="126">
        <v>114735.2337</v>
      </c>
      <c r="F11" s="126">
        <v>103051.37514</v>
      </c>
      <c r="G11" s="126">
        <v>98740.460529999997</v>
      </c>
      <c r="H11" s="126">
        <v>72043.221720000001</v>
      </c>
      <c r="I11" s="126">
        <v>76536.520529999994</v>
      </c>
      <c r="J11" s="126">
        <v>90846.776310000001</v>
      </c>
      <c r="K11" s="126">
        <v>154030.35561999999</v>
      </c>
      <c r="L11" s="126">
        <v>176872.83212000001</v>
      </c>
      <c r="M11" s="126">
        <v>157635.96547</v>
      </c>
      <c r="N11" s="126">
        <v>126553.29335000001</v>
      </c>
      <c r="O11" s="127">
        <v>1386951.6479199999</v>
      </c>
    </row>
    <row r="12" spans="1:15" s="39" customFormat="1" ht="15" x14ac:dyDescent="0.25">
      <c r="A12" s="96">
        <v>2019</v>
      </c>
      <c r="B12" s="125" t="s">
        <v>134</v>
      </c>
      <c r="C12" s="126">
        <v>152196.42077999999</v>
      </c>
      <c r="D12" s="126">
        <v>144359.66367000001</v>
      </c>
      <c r="E12" s="126">
        <v>136200.95042000001</v>
      </c>
      <c r="F12" s="126">
        <v>136093.88815000001</v>
      </c>
      <c r="G12" s="126">
        <v>133496.59586999999</v>
      </c>
      <c r="H12" s="126">
        <v>76322.856289999996</v>
      </c>
      <c r="I12" s="126">
        <v>113226.80705</v>
      </c>
      <c r="J12" s="126">
        <v>67304.714449999999</v>
      </c>
      <c r="K12" s="126"/>
      <c r="L12" s="126"/>
      <c r="M12" s="126"/>
      <c r="N12" s="126"/>
      <c r="O12" s="127">
        <v>959201.89668000001</v>
      </c>
    </row>
    <row r="13" spans="1:15" ht="15" x14ac:dyDescent="0.25">
      <c r="A13" s="95">
        <v>2018</v>
      </c>
      <c r="B13" s="125" t="s">
        <v>134</v>
      </c>
      <c r="C13" s="126">
        <v>153621.37202000001</v>
      </c>
      <c r="D13" s="126">
        <v>132753.50149</v>
      </c>
      <c r="E13" s="126">
        <v>124563.13004</v>
      </c>
      <c r="F13" s="126">
        <v>147757.61514000001</v>
      </c>
      <c r="G13" s="126">
        <v>140152.84507000001</v>
      </c>
      <c r="H13" s="126">
        <v>100310.21571</v>
      </c>
      <c r="I13" s="126">
        <v>117908.15614000001</v>
      </c>
      <c r="J13" s="126">
        <v>63697.746619999998</v>
      </c>
      <c r="K13" s="126">
        <v>130280.1053</v>
      </c>
      <c r="L13" s="126">
        <v>178003.61371000001</v>
      </c>
      <c r="M13" s="126">
        <v>179367.82448000001</v>
      </c>
      <c r="N13" s="126">
        <v>164637.43549</v>
      </c>
      <c r="O13" s="127">
        <v>1633053.56121</v>
      </c>
    </row>
    <row r="14" spans="1:15" s="39" customFormat="1" ht="15" x14ac:dyDescent="0.25">
      <c r="A14" s="96">
        <v>2019</v>
      </c>
      <c r="B14" s="125" t="s">
        <v>135</v>
      </c>
      <c r="C14" s="126">
        <v>28852.43131</v>
      </c>
      <c r="D14" s="126">
        <v>26829.830040000001</v>
      </c>
      <c r="E14" s="126">
        <v>34862.358189999999</v>
      </c>
      <c r="F14" s="126">
        <v>24122.14443</v>
      </c>
      <c r="G14" s="126">
        <v>27950.958019999998</v>
      </c>
      <c r="H14" s="126">
        <v>15775.459930000001</v>
      </c>
      <c r="I14" s="126">
        <v>17132.11995</v>
      </c>
      <c r="J14" s="126">
        <v>16541.495470000002</v>
      </c>
      <c r="K14" s="126"/>
      <c r="L14" s="126"/>
      <c r="M14" s="126"/>
      <c r="N14" s="126"/>
      <c r="O14" s="127">
        <v>192066.79733999999</v>
      </c>
    </row>
    <row r="15" spans="1:15" ht="15" x14ac:dyDescent="0.25">
      <c r="A15" s="95">
        <v>2018</v>
      </c>
      <c r="B15" s="125" t="s">
        <v>135</v>
      </c>
      <c r="C15" s="126">
        <v>63470.139309999999</v>
      </c>
      <c r="D15" s="126">
        <v>57999.799489999998</v>
      </c>
      <c r="E15" s="126">
        <v>47250.82015</v>
      </c>
      <c r="F15" s="126">
        <v>28798.931809999998</v>
      </c>
      <c r="G15" s="126">
        <v>27552.43924</v>
      </c>
      <c r="H15" s="126">
        <v>17097.2582</v>
      </c>
      <c r="I15" s="126">
        <v>17987.946319999999</v>
      </c>
      <c r="J15" s="126">
        <v>16805.825659999999</v>
      </c>
      <c r="K15" s="126">
        <v>26288.061740000001</v>
      </c>
      <c r="L15" s="126">
        <v>28306.503280000001</v>
      </c>
      <c r="M15" s="126">
        <v>34843.242209999997</v>
      </c>
      <c r="N15" s="126">
        <v>33075.866130000002</v>
      </c>
      <c r="O15" s="127">
        <v>399476.83354000002</v>
      </c>
    </row>
    <row r="16" spans="1:15" ht="15" x14ac:dyDescent="0.25">
      <c r="A16" s="96">
        <v>2019</v>
      </c>
      <c r="B16" s="125" t="s">
        <v>136</v>
      </c>
      <c r="C16" s="126">
        <v>82543.428780000002</v>
      </c>
      <c r="D16" s="126">
        <v>82148.817379999993</v>
      </c>
      <c r="E16" s="126">
        <v>73557.318710000007</v>
      </c>
      <c r="F16" s="126">
        <v>60277.450449999997</v>
      </c>
      <c r="G16" s="126">
        <v>96526.272779999999</v>
      </c>
      <c r="H16" s="126">
        <v>57984.925450000002</v>
      </c>
      <c r="I16" s="126">
        <v>63122.22754</v>
      </c>
      <c r="J16" s="126">
        <v>53096.049010000002</v>
      </c>
      <c r="K16" s="126"/>
      <c r="L16" s="126"/>
      <c r="M16" s="126"/>
      <c r="N16" s="126"/>
      <c r="O16" s="127">
        <v>569256.49010000005</v>
      </c>
    </row>
    <row r="17" spans="1:15" ht="15" x14ac:dyDescent="0.25">
      <c r="A17" s="95">
        <v>2018</v>
      </c>
      <c r="B17" s="125" t="s">
        <v>136</v>
      </c>
      <c r="C17" s="126">
        <v>77553.726509999993</v>
      </c>
      <c r="D17" s="126">
        <v>83548.081090000007</v>
      </c>
      <c r="E17" s="126">
        <v>65103.239679999999</v>
      </c>
      <c r="F17" s="126">
        <v>53878.586889999999</v>
      </c>
      <c r="G17" s="126">
        <v>72477.135729999995</v>
      </c>
      <c r="H17" s="126">
        <v>86879.483730000007</v>
      </c>
      <c r="I17" s="126">
        <v>90149.987599999993</v>
      </c>
      <c r="J17" s="126">
        <v>66542.850229999996</v>
      </c>
      <c r="K17" s="126">
        <v>119426.97013</v>
      </c>
      <c r="L17" s="126">
        <v>122858.87014</v>
      </c>
      <c r="M17" s="126">
        <v>101133.17666</v>
      </c>
      <c r="N17" s="126">
        <v>72009.888709999999</v>
      </c>
      <c r="O17" s="127">
        <v>1011561.9971</v>
      </c>
    </row>
    <row r="18" spans="1:15" ht="15" x14ac:dyDescent="0.25">
      <c r="A18" s="96">
        <v>2019</v>
      </c>
      <c r="B18" s="125" t="s">
        <v>137</v>
      </c>
      <c r="C18" s="126">
        <v>8448.1456600000001</v>
      </c>
      <c r="D18" s="126">
        <v>13159.61594</v>
      </c>
      <c r="E18" s="126">
        <v>19682.62761</v>
      </c>
      <c r="F18" s="126">
        <v>9745.6436599999997</v>
      </c>
      <c r="G18" s="126">
        <v>8965.0073200000006</v>
      </c>
      <c r="H18" s="126">
        <v>3904.7493800000002</v>
      </c>
      <c r="I18" s="126">
        <v>4960.3642099999997</v>
      </c>
      <c r="J18" s="126">
        <v>6054.4618</v>
      </c>
      <c r="K18" s="126"/>
      <c r="L18" s="126"/>
      <c r="M18" s="126"/>
      <c r="N18" s="126"/>
      <c r="O18" s="127">
        <v>74920.615579999998</v>
      </c>
    </row>
    <row r="19" spans="1:15" ht="15" x14ac:dyDescent="0.25">
      <c r="A19" s="95">
        <v>2018</v>
      </c>
      <c r="B19" s="125" t="s">
        <v>137</v>
      </c>
      <c r="C19" s="126">
        <v>8699.7593300000008</v>
      </c>
      <c r="D19" s="126">
        <v>14888.55919</v>
      </c>
      <c r="E19" s="126">
        <v>18298.714830000001</v>
      </c>
      <c r="F19" s="126">
        <v>11630.61274</v>
      </c>
      <c r="G19" s="126">
        <v>6780.4105499999996</v>
      </c>
      <c r="H19" s="126">
        <v>4806.9034300000003</v>
      </c>
      <c r="I19" s="126">
        <v>4293.7941899999996</v>
      </c>
      <c r="J19" s="126">
        <v>4651.7716099999998</v>
      </c>
      <c r="K19" s="126">
        <v>5349.45957</v>
      </c>
      <c r="L19" s="126">
        <v>5137.6928900000003</v>
      </c>
      <c r="M19" s="126">
        <v>7413.7436299999999</v>
      </c>
      <c r="N19" s="126">
        <v>7334.2233299999998</v>
      </c>
      <c r="O19" s="127">
        <v>99285.64529</v>
      </c>
    </row>
    <row r="20" spans="1:15" ht="15" x14ac:dyDescent="0.25">
      <c r="A20" s="96">
        <v>2019</v>
      </c>
      <c r="B20" s="125" t="s">
        <v>138</v>
      </c>
      <c r="C20" s="128">
        <v>220627.41555000001</v>
      </c>
      <c r="D20" s="128">
        <v>211080.66346000001</v>
      </c>
      <c r="E20" s="128">
        <v>237556.44433999999</v>
      </c>
      <c r="F20" s="128">
        <v>217807.31377000001</v>
      </c>
      <c r="G20" s="128">
        <v>230928.64744</v>
      </c>
      <c r="H20" s="126">
        <v>168271.85302000001</v>
      </c>
      <c r="I20" s="126">
        <v>212497.71872</v>
      </c>
      <c r="J20" s="126">
        <v>183524.71377999999</v>
      </c>
      <c r="K20" s="126"/>
      <c r="L20" s="126"/>
      <c r="M20" s="126"/>
      <c r="N20" s="126"/>
      <c r="O20" s="127">
        <v>1682294.7700799999</v>
      </c>
    </row>
    <row r="21" spans="1:15" ht="15" x14ac:dyDescent="0.25">
      <c r="A21" s="95">
        <v>2018</v>
      </c>
      <c r="B21" s="125" t="s">
        <v>138</v>
      </c>
      <c r="C21" s="126">
        <v>218255.13686</v>
      </c>
      <c r="D21" s="126">
        <v>177209.36773</v>
      </c>
      <c r="E21" s="126">
        <v>219741.03091</v>
      </c>
      <c r="F21" s="126">
        <v>213714.70480000001</v>
      </c>
      <c r="G21" s="126">
        <v>211948.28867000001</v>
      </c>
      <c r="H21" s="126">
        <v>189600.86120000001</v>
      </c>
      <c r="I21" s="126">
        <v>202231.44690000001</v>
      </c>
      <c r="J21" s="126">
        <v>192331.07040999999</v>
      </c>
      <c r="K21" s="126">
        <v>208921.23465</v>
      </c>
      <c r="L21" s="126">
        <v>221852.63436</v>
      </c>
      <c r="M21" s="126">
        <v>241024.81894</v>
      </c>
      <c r="N21" s="126">
        <v>213749.00661000001</v>
      </c>
      <c r="O21" s="127">
        <v>2510579.6020399998</v>
      </c>
    </row>
    <row r="22" spans="1:15" ht="15" x14ac:dyDescent="0.25">
      <c r="A22" s="96">
        <v>2019</v>
      </c>
      <c r="B22" s="125" t="s">
        <v>139</v>
      </c>
      <c r="C22" s="128">
        <v>392893.49328</v>
      </c>
      <c r="D22" s="128">
        <v>411557.63325000001</v>
      </c>
      <c r="E22" s="128">
        <v>471995.32084</v>
      </c>
      <c r="F22" s="128">
        <v>476719.94601000001</v>
      </c>
      <c r="G22" s="128">
        <v>526776.84577999997</v>
      </c>
      <c r="H22" s="126">
        <v>347519.29134</v>
      </c>
      <c r="I22" s="126">
        <v>496776.46026000002</v>
      </c>
      <c r="J22" s="126">
        <v>414051.62274000002</v>
      </c>
      <c r="K22" s="126"/>
      <c r="L22" s="126"/>
      <c r="M22" s="126"/>
      <c r="N22" s="126"/>
      <c r="O22" s="127">
        <v>3538290.6135</v>
      </c>
    </row>
    <row r="23" spans="1:15" ht="15" x14ac:dyDescent="0.25">
      <c r="A23" s="95">
        <v>2018</v>
      </c>
      <c r="B23" s="125" t="s">
        <v>139</v>
      </c>
      <c r="C23" s="126">
        <v>371395.50023000001</v>
      </c>
      <c r="D23" s="128">
        <v>397684.04918999999</v>
      </c>
      <c r="E23" s="126">
        <v>456864.21461999998</v>
      </c>
      <c r="F23" s="126">
        <v>412343.83591999998</v>
      </c>
      <c r="G23" s="126">
        <v>429316.54726000002</v>
      </c>
      <c r="H23" s="126">
        <v>384816.46629999997</v>
      </c>
      <c r="I23" s="126">
        <v>405451.54681000003</v>
      </c>
      <c r="J23" s="126">
        <v>364775.44137000002</v>
      </c>
      <c r="K23" s="126">
        <v>409699.7548</v>
      </c>
      <c r="L23" s="126">
        <v>439473.22240000003</v>
      </c>
      <c r="M23" s="126">
        <v>484324.64371999999</v>
      </c>
      <c r="N23" s="126">
        <v>458481.93779</v>
      </c>
      <c r="O23" s="127">
        <v>5014627.16041</v>
      </c>
    </row>
    <row r="24" spans="1:15" ht="15" x14ac:dyDescent="0.25">
      <c r="A24" s="96">
        <v>2019</v>
      </c>
      <c r="B24" s="123" t="s">
        <v>14</v>
      </c>
      <c r="C24" s="129">
        <f>C26+C28+C30+C32+C34+C36+C38+C40+C42+C44+C46+C48+C50+C52+C54+C56</f>
        <v>10617615.573420003</v>
      </c>
      <c r="D24" s="129">
        <f t="shared" ref="D24:O24" si="2">D26+D28+D30+D32+D34+D36+D38+D40+D42+D44+D46+D48+D50+D52+D54+D56</f>
        <v>11046617.778750001</v>
      </c>
      <c r="E24" s="129">
        <f t="shared" si="2"/>
        <v>12636828.96195</v>
      </c>
      <c r="F24" s="129">
        <f t="shared" si="2"/>
        <v>11771485.537489999</v>
      </c>
      <c r="G24" s="129">
        <f t="shared" si="2"/>
        <v>13004638.022960002</v>
      </c>
      <c r="H24" s="129">
        <f t="shared" si="2"/>
        <v>8895263.2170700002</v>
      </c>
      <c r="I24" s="129">
        <f t="shared" si="2"/>
        <v>12534261.396809999</v>
      </c>
      <c r="J24" s="129">
        <f t="shared" si="2"/>
        <v>10213599.477960002</v>
      </c>
      <c r="K24" s="129"/>
      <c r="L24" s="129"/>
      <c r="M24" s="129"/>
      <c r="N24" s="129"/>
      <c r="O24" s="129">
        <f t="shared" si="2"/>
        <v>90720309.966410011</v>
      </c>
    </row>
    <row r="25" spans="1:15" ht="15" x14ac:dyDescent="0.25">
      <c r="A25" s="95">
        <v>2018</v>
      </c>
      <c r="B25" s="123" t="s">
        <v>14</v>
      </c>
      <c r="C25" s="129">
        <f>C27+C29+C31+C33+C35+C37+C39+C41+C43+C45+C47+C49+C51+C53+C55+C57</f>
        <v>9885837.2489900012</v>
      </c>
      <c r="D25" s="129">
        <f t="shared" ref="D25:O25" si="3">D27+D29+D31+D33+D35+D37+D39+D41+D43+D45+D47+D49+D51+D53+D55+D57</f>
        <v>10687691.3828</v>
      </c>
      <c r="E25" s="129">
        <f t="shared" si="3"/>
        <v>12705741.145829998</v>
      </c>
      <c r="F25" s="129">
        <f t="shared" si="3"/>
        <v>11354940.38673</v>
      </c>
      <c r="G25" s="129">
        <f t="shared" si="3"/>
        <v>11589567.368589999</v>
      </c>
      <c r="H25" s="129">
        <f t="shared" si="3"/>
        <v>10581857.73827</v>
      </c>
      <c r="I25" s="129">
        <f t="shared" si="3"/>
        <v>11551775.376440002</v>
      </c>
      <c r="J25" s="129">
        <f t="shared" si="3"/>
        <v>10100325.75103</v>
      </c>
      <c r="K25" s="129">
        <f t="shared" si="3"/>
        <v>11714970.03304</v>
      </c>
      <c r="L25" s="129">
        <f t="shared" si="3"/>
        <v>12703212.405069999</v>
      </c>
      <c r="M25" s="129">
        <f t="shared" si="3"/>
        <v>12273200.614319999</v>
      </c>
      <c r="N25" s="129">
        <f t="shared" si="3"/>
        <v>11068310.5845</v>
      </c>
      <c r="O25" s="129">
        <f t="shared" si="3"/>
        <v>136217430.03560999</v>
      </c>
    </row>
    <row r="26" spans="1:15" ht="15" x14ac:dyDescent="0.25">
      <c r="A26" s="96">
        <v>2019</v>
      </c>
      <c r="B26" s="125" t="s">
        <v>140</v>
      </c>
      <c r="C26" s="126">
        <v>675626.69776999997</v>
      </c>
      <c r="D26" s="126">
        <v>639733.84556000005</v>
      </c>
      <c r="E26" s="126">
        <v>727300.74774999998</v>
      </c>
      <c r="F26" s="126">
        <v>690781.64636000001</v>
      </c>
      <c r="G26" s="126">
        <v>787019.73531000002</v>
      </c>
      <c r="H26" s="126">
        <v>510069.98998999997</v>
      </c>
      <c r="I26" s="126">
        <v>663233.51</v>
      </c>
      <c r="J26" s="126">
        <v>573611.84972000006</v>
      </c>
      <c r="K26" s="126"/>
      <c r="L26" s="126"/>
      <c r="M26" s="126"/>
      <c r="N26" s="126"/>
      <c r="O26" s="127">
        <v>5267378.0224599997</v>
      </c>
    </row>
    <row r="27" spans="1:15" ht="15" x14ac:dyDescent="0.25">
      <c r="A27" s="95">
        <v>2018</v>
      </c>
      <c r="B27" s="125" t="s">
        <v>140</v>
      </c>
      <c r="C27" s="126">
        <v>695217.7378</v>
      </c>
      <c r="D27" s="126">
        <v>698373.08108999999</v>
      </c>
      <c r="E27" s="126">
        <v>791150.88341000001</v>
      </c>
      <c r="F27" s="126">
        <v>706266.24419</v>
      </c>
      <c r="G27" s="126">
        <v>747205.41078000003</v>
      </c>
      <c r="H27" s="126">
        <v>659429.48675000004</v>
      </c>
      <c r="I27" s="126">
        <v>699556.26543999999</v>
      </c>
      <c r="J27" s="126">
        <v>615895.63708999997</v>
      </c>
      <c r="K27" s="126">
        <v>716707.84731999994</v>
      </c>
      <c r="L27" s="126">
        <v>759081.84704000002</v>
      </c>
      <c r="M27" s="126">
        <v>746728.99120000005</v>
      </c>
      <c r="N27" s="126">
        <v>621554.59453999996</v>
      </c>
      <c r="O27" s="127">
        <v>8457168.0266500004</v>
      </c>
    </row>
    <row r="28" spans="1:15" ht="15" x14ac:dyDescent="0.25">
      <c r="A28" s="96">
        <v>2019</v>
      </c>
      <c r="B28" s="125" t="s">
        <v>141</v>
      </c>
      <c r="C28" s="126">
        <v>116828.76678999999</v>
      </c>
      <c r="D28" s="126">
        <v>146312.15843000001</v>
      </c>
      <c r="E28" s="126">
        <v>176087.54535</v>
      </c>
      <c r="F28" s="126">
        <v>141726.68888</v>
      </c>
      <c r="G28" s="126">
        <v>162721.84800999999</v>
      </c>
      <c r="H28" s="126">
        <v>87684.320779999995</v>
      </c>
      <c r="I28" s="126">
        <v>166049.46203</v>
      </c>
      <c r="J28" s="126">
        <v>135183.48457999999</v>
      </c>
      <c r="K28" s="126"/>
      <c r="L28" s="126"/>
      <c r="M28" s="126"/>
      <c r="N28" s="126"/>
      <c r="O28" s="127">
        <v>1132594.2748499999</v>
      </c>
    </row>
    <row r="29" spans="1:15" ht="15" x14ac:dyDescent="0.25">
      <c r="A29" s="95">
        <v>2018</v>
      </c>
      <c r="B29" s="125" t="s">
        <v>141</v>
      </c>
      <c r="C29" s="126">
        <v>129006.51098000001</v>
      </c>
      <c r="D29" s="126">
        <v>144500.90893000001</v>
      </c>
      <c r="E29" s="126">
        <v>168927.35490999999</v>
      </c>
      <c r="F29" s="126">
        <v>149662.07883000001</v>
      </c>
      <c r="G29" s="126">
        <v>141957.16248999999</v>
      </c>
      <c r="H29" s="126">
        <v>117837.21334</v>
      </c>
      <c r="I29" s="126">
        <v>149645.90728000001</v>
      </c>
      <c r="J29" s="126">
        <v>142619.92501000001</v>
      </c>
      <c r="K29" s="126">
        <v>138313.47309000001</v>
      </c>
      <c r="L29" s="126">
        <v>142955.52056999999</v>
      </c>
      <c r="M29" s="126">
        <v>124206.18283999999</v>
      </c>
      <c r="N29" s="126">
        <v>133910.55101</v>
      </c>
      <c r="O29" s="127">
        <v>1683542.7892799999</v>
      </c>
    </row>
    <row r="30" spans="1:15" s="39" customFormat="1" ht="15" x14ac:dyDescent="0.25">
      <c r="A30" s="96">
        <v>2019</v>
      </c>
      <c r="B30" s="125" t="s">
        <v>142</v>
      </c>
      <c r="C30" s="126">
        <v>182672.99269000001</v>
      </c>
      <c r="D30" s="126">
        <v>185831.68093999999</v>
      </c>
      <c r="E30" s="126">
        <v>208839.27116</v>
      </c>
      <c r="F30" s="126">
        <v>229667.28701999999</v>
      </c>
      <c r="G30" s="126">
        <v>235776.61497</v>
      </c>
      <c r="H30" s="126">
        <v>133024.01274999999</v>
      </c>
      <c r="I30" s="126">
        <v>222851.18431000001</v>
      </c>
      <c r="J30" s="126">
        <v>174819.62946</v>
      </c>
      <c r="K30" s="126"/>
      <c r="L30" s="126"/>
      <c r="M30" s="126"/>
      <c r="N30" s="126"/>
      <c r="O30" s="127">
        <v>1573482.6732999999</v>
      </c>
    </row>
    <row r="31" spans="1:15" ht="15" x14ac:dyDescent="0.25">
      <c r="A31" s="95">
        <v>2018</v>
      </c>
      <c r="B31" s="125" t="s">
        <v>142</v>
      </c>
      <c r="C31" s="126">
        <v>168766.30025999999</v>
      </c>
      <c r="D31" s="126">
        <v>173337.79154999999</v>
      </c>
      <c r="E31" s="126">
        <v>211790.01795000001</v>
      </c>
      <c r="F31" s="126">
        <v>190638.38509</v>
      </c>
      <c r="G31" s="126">
        <v>200048.17971</v>
      </c>
      <c r="H31" s="126">
        <v>152699.56980999999</v>
      </c>
      <c r="I31" s="126">
        <v>184959.29788</v>
      </c>
      <c r="J31" s="126">
        <v>158376.42644000001</v>
      </c>
      <c r="K31" s="126">
        <v>193617.09578</v>
      </c>
      <c r="L31" s="126">
        <v>213044.10553</v>
      </c>
      <c r="M31" s="126">
        <v>227692.57577</v>
      </c>
      <c r="N31" s="126">
        <v>190174.85818000001</v>
      </c>
      <c r="O31" s="127">
        <v>2265144.6039499999</v>
      </c>
    </row>
    <row r="32" spans="1:15" ht="15" x14ac:dyDescent="0.25">
      <c r="A32" s="96">
        <v>2019</v>
      </c>
      <c r="B32" s="125" t="s">
        <v>143</v>
      </c>
      <c r="C32" s="128">
        <v>1535552.0393600001</v>
      </c>
      <c r="D32" s="128">
        <v>1641211.49819</v>
      </c>
      <c r="E32" s="128">
        <v>1832225.6803600001</v>
      </c>
      <c r="F32" s="128">
        <v>1766093.0461800001</v>
      </c>
      <c r="G32" s="128">
        <v>1933372.73019</v>
      </c>
      <c r="H32" s="128">
        <v>1294899.8118700001</v>
      </c>
      <c r="I32" s="128">
        <v>1732065.9388300001</v>
      </c>
      <c r="J32" s="128">
        <v>1634660.4742699999</v>
      </c>
      <c r="K32" s="128"/>
      <c r="L32" s="128"/>
      <c r="M32" s="128"/>
      <c r="N32" s="128"/>
      <c r="O32" s="127">
        <v>13370081.219249999</v>
      </c>
    </row>
    <row r="33" spans="1:15" ht="15" x14ac:dyDescent="0.25">
      <c r="A33" s="95">
        <v>2018</v>
      </c>
      <c r="B33" s="125" t="s">
        <v>143</v>
      </c>
      <c r="C33" s="126">
        <v>1349419.1649499999</v>
      </c>
      <c r="D33" s="126">
        <v>1260182.5490900001</v>
      </c>
      <c r="E33" s="126">
        <v>1560031.6217</v>
      </c>
      <c r="F33" s="128">
        <v>1347988.6047799999</v>
      </c>
      <c r="G33" s="128">
        <v>1461147.1682800001</v>
      </c>
      <c r="H33" s="128">
        <v>1417613.28281</v>
      </c>
      <c r="I33" s="128">
        <v>1473229.56596</v>
      </c>
      <c r="J33" s="128">
        <v>1374045.4340900001</v>
      </c>
      <c r="K33" s="128">
        <v>1529340.0713500001</v>
      </c>
      <c r="L33" s="128">
        <v>1582995.4677899999</v>
      </c>
      <c r="M33" s="128">
        <v>1489242.6969300001</v>
      </c>
      <c r="N33" s="128">
        <v>1503844.8977300001</v>
      </c>
      <c r="O33" s="127">
        <v>17349080.525460001</v>
      </c>
    </row>
    <row r="34" spans="1:15" ht="15" x14ac:dyDescent="0.25">
      <c r="A34" s="96">
        <v>2019</v>
      </c>
      <c r="B34" s="125" t="s">
        <v>144</v>
      </c>
      <c r="C34" s="126">
        <v>1415167.54406</v>
      </c>
      <c r="D34" s="126">
        <v>1413692.13925</v>
      </c>
      <c r="E34" s="126">
        <v>1674591.67273</v>
      </c>
      <c r="F34" s="126">
        <v>1503149.7779000001</v>
      </c>
      <c r="G34" s="126">
        <v>1622345.0969</v>
      </c>
      <c r="H34" s="126">
        <v>1087663.5215400001</v>
      </c>
      <c r="I34" s="126">
        <v>1677563.83751</v>
      </c>
      <c r="J34" s="126">
        <v>1401404.84375</v>
      </c>
      <c r="K34" s="126"/>
      <c r="L34" s="126"/>
      <c r="M34" s="126"/>
      <c r="N34" s="126"/>
      <c r="O34" s="127">
        <v>11795578.433639999</v>
      </c>
    </row>
    <row r="35" spans="1:15" ht="15" x14ac:dyDescent="0.25">
      <c r="A35" s="95">
        <v>2018</v>
      </c>
      <c r="B35" s="125" t="s">
        <v>144</v>
      </c>
      <c r="C35" s="126">
        <v>1427518.43108</v>
      </c>
      <c r="D35" s="126">
        <v>1405227.67512</v>
      </c>
      <c r="E35" s="126">
        <v>1678441.7929199999</v>
      </c>
      <c r="F35" s="126">
        <v>1464978.0263199999</v>
      </c>
      <c r="G35" s="126">
        <v>1481008.6370600001</v>
      </c>
      <c r="H35" s="126">
        <v>1354519.1820700001</v>
      </c>
      <c r="I35" s="126">
        <v>1580512.7409000001</v>
      </c>
      <c r="J35" s="126">
        <v>1385410.35732</v>
      </c>
      <c r="K35" s="126">
        <v>1459363.2105399999</v>
      </c>
      <c r="L35" s="126">
        <v>1560990.92025</v>
      </c>
      <c r="M35" s="126">
        <v>1525316.12387</v>
      </c>
      <c r="N35" s="126">
        <v>1306066.18466</v>
      </c>
      <c r="O35" s="127">
        <v>17629353.282109998</v>
      </c>
    </row>
    <row r="36" spans="1:15" ht="15" x14ac:dyDescent="0.25">
      <c r="A36" s="96">
        <v>2019</v>
      </c>
      <c r="B36" s="125" t="s">
        <v>145</v>
      </c>
      <c r="C36" s="126">
        <v>2327778.2903999998</v>
      </c>
      <c r="D36" s="126">
        <v>2544761.5178999999</v>
      </c>
      <c r="E36" s="126">
        <v>2883257.9411900002</v>
      </c>
      <c r="F36" s="126">
        <v>2615210.3193899998</v>
      </c>
      <c r="G36" s="126">
        <v>2753748.3821100001</v>
      </c>
      <c r="H36" s="126">
        <v>2189980.94178</v>
      </c>
      <c r="I36" s="126">
        <v>2900473.0697499998</v>
      </c>
      <c r="J36" s="126">
        <v>1742355.84152</v>
      </c>
      <c r="K36" s="126"/>
      <c r="L36" s="126"/>
      <c r="M36" s="126"/>
      <c r="N36" s="126"/>
      <c r="O36" s="127">
        <v>19957566.30404</v>
      </c>
    </row>
    <row r="37" spans="1:15" ht="15" x14ac:dyDescent="0.25">
      <c r="A37" s="95">
        <v>2018</v>
      </c>
      <c r="B37" s="125" t="s">
        <v>145</v>
      </c>
      <c r="C37" s="126">
        <v>2285575.09082</v>
      </c>
      <c r="D37" s="126">
        <v>2795908.2250100002</v>
      </c>
      <c r="E37" s="126">
        <v>3144072.3177899998</v>
      </c>
      <c r="F37" s="126">
        <v>2901983.6377599998</v>
      </c>
      <c r="G37" s="126">
        <v>2764086.87109</v>
      </c>
      <c r="H37" s="126">
        <v>2539894.5764500001</v>
      </c>
      <c r="I37" s="126">
        <v>2762765.1183199999</v>
      </c>
      <c r="J37" s="126">
        <v>1607579.5556600001</v>
      </c>
      <c r="K37" s="126">
        <v>2605339.7833199999</v>
      </c>
      <c r="L37" s="126">
        <v>2918844.09448</v>
      </c>
      <c r="M37" s="126">
        <v>2766870.56311</v>
      </c>
      <c r="N37" s="126">
        <v>2472050.9073200002</v>
      </c>
      <c r="O37" s="127">
        <v>31564970.741130002</v>
      </c>
    </row>
    <row r="38" spans="1:15" ht="15" x14ac:dyDescent="0.25">
      <c r="A38" s="96">
        <v>2019</v>
      </c>
      <c r="B38" s="125" t="s">
        <v>146</v>
      </c>
      <c r="C38" s="126">
        <v>91914.359599999996</v>
      </c>
      <c r="D38" s="126">
        <v>75710.983500000002</v>
      </c>
      <c r="E38" s="126">
        <v>99641.453349999996</v>
      </c>
      <c r="F38" s="126">
        <v>114409.40011</v>
      </c>
      <c r="G38" s="126">
        <v>53989.944869999999</v>
      </c>
      <c r="H38" s="126">
        <v>55639.569450000003</v>
      </c>
      <c r="I38" s="126">
        <v>88646.392699999997</v>
      </c>
      <c r="J38" s="126">
        <v>109694.29128</v>
      </c>
      <c r="K38" s="126"/>
      <c r="L38" s="126"/>
      <c r="M38" s="126"/>
      <c r="N38" s="126"/>
      <c r="O38" s="127">
        <v>689646.39486</v>
      </c>
    </row>
    <row r="39" spans="1:15" ht="15" x14ac:dyDescent="0.25">
      <c r="A39" s="95">
        <v>2018</v>
      </c>
      <c r="B39" s="125" t="s">
        <v>146</v>
      </c>
      <c r="C39" s="126">
        <v>42524.265619999998</v>
      </c>
      <c r="D39" s="126">
        <v>56242.339760000003</v>
      </c>
      <c r="E39" s="126">
        <v>79226.622390000004</v>
      </c>
      <c r="F39" s="126">
        <v>42637.633880000001</v>
      </c>
      <c r="G39" s="126">
        <v>133538.68554000001</v>
      </c>
      <c r="H39" s="126">
        <v>139721.95924</v>
      </c>
      <c r="I39" s="126">
        <v>148742.76595999999</v>
      </c>
      <c r="J39" s="126">
        <v>95641.843789999999</v>
      </c>
      <c r="K39" s="126">
        <v>53260.481919999998</v>
      </c>
      <c r="L39" s="126">
        <v>130754.85827</v>
      </c>
      <c r="M39" s="126">
        <v>29652.930079999998</v>
      </c>
      <c r="N39" s="126">
        <v>38576.353869999999</v>
      </c>
      <c r="O39" s="127">
        <v>990520.74031999998</v>
      </c>
    </row>
    <row r="40" spans="1:15" ht="15" x14ac:dyDescent="0.25">
      <c r="A40" s="96">
        <v>2019</v>
      </c>
      <c r="B40" s="125" t="s">
        <v>147</v>
      </c>
      <c r="C40" s="126">
        <v>797270.64641000004</v>
      </c>
      <c r="D40" s="126">
        <v>889006.11655000004</v>
      </c>
      <c r="E40" s="126">
        <v>992637.96368000004</v>
      </c>
      <c r="F40" s="126">
        <v>937234.08511999995</v>
      </c>
      <c r="G40" s="126">
        <v>1042418.26808</v>
      </c>
      <c r="H40" s="126">
        <v>716329.33154000004</v>
      </c>
      <c r="I40" s="126">
        <v>948504.95236</v>
      </c>
      <c r="J40" s="126">
        <v>850216.66932999995</v>
      </c>
      <c r="K40" s="126"/>
      <c r="L40" s="126"/>
      <c r="M40" s="126"/>
      <c r="N40" s="126"/>
      <c r="O40" s="127">
        <v>7173618.0330699999</v>
      </c>
    </row>
    <row r="41" spans="1:15" ht="15" x14ac:dyDescent="0.25">
      <c r="A41" s="95">
        <v>2018</v>
      </c>
      <c r="B41" s="125" t="s">
        <v>147</v>
      </c>
      <c r="C41" s="126">
        <v>767130.12494999997</v>
      </c>
      <c r="D41" s="126">
        <v>879671.44675</v>
      </c>
      <c r="E41" s="126">
        <v>1028302.50552</v>
      </c>
      <c r="F41" s="126">
        <v>948771.24450000003</v>
      </c>
      <c r="G41" s="126">
        <v>985780.75783000002</v>
      </c>
      <c r="H41" s="126">
        <v>861743.66347999999</v>
      </c>
      <c r="I41" s="126">
        <v>871250.50378999999</v>
      </c>
      <c r="J41" s="126">
        <v>800780.33372999995</v>
      </c>
      <c r="K41" s="126">
        <v>999346.64451000001</v>
      </c>
      <c r="L41" s="126">
        <v>1112823.5381700001</v>
      </c>
      <c r="M41" s="126">
        <v>1091022.7493700001</v>
      </c>
      <c r="N41" s="126">
        <v>957264.71921999997</v>
      </c>
      <c r="O41" s="127">
        <v>11303888.23182</v>
      </c>
    </row>
    <row r="42" spans="1:15" ht="15" x14ac:dyDescent="0.25">
      <c r="A42" s="96">
        <v>2019</v>
      </c>
      <c r="B42" s="125" t="s">
        <v>148</v>
      </c>
      <c r="C42" s="126">
        <v>585633.22141999996</v>
      </c>
      <c r="D42" s="126">
        <v>601146.06064000004</v>
      </c>
      <c r="E42" s="126">
        <v>699104.11292999994</v>
      </c>
      <c r="F42" s="126">
        <v>660323.54830000002</v>
      </c>
      <c r="G42" s="126">
        <v>780639.85507000005</v>
      </c>
      <c r="H42" s="126">
        <v>472387.78219</v>
      </c>
      <c r="I42" s="126">
        <v>683018.99730000005</v>
      </c>
      <c r="J42" s="126">
        <v>575203.01344000001</v>
      </c>
      <c r="K42" s="126"/>
      <c r="L42" s="126"/>
      <c r="M42" s="126"/>
      <c r="N42" s="126"/>
      <c r="O42" s="127">
        <v>5057456.5912899999</v>
      </c>
    </row>
    <row r="43" spans="1:15" ht="15" x14ac:dyDescent="0.25">
      <c r="A43" s="95">
        <v>2018</v>
      </c>
      <c r="B43" s="125" t="s">
        <v>148</v>
      </c>
      <c r="C43" s="126">
        <v>511761.42559</v>
      </c>
      <c r="D43" s="126">
        <v>546682.48063999997</v>
      </c>
      <c r="E43" s="126">
        <v>635697.34967000003</v>
      </c>
      <c r="F43" s="126">
        <v>602371.03783000004</v>
      </c>
      <c r="G43" s="126">
        <v>622542.98627999995</v>
      </c>
      <c r="H43" s="126">
        <v>551031.92663</v>
      </c>
      <c r="I43" s="126">
        <v>611385.17429999996</v>
      </c>
      <c r="J43" s="126">
        <v>550693.31339000002</v>
      </c>
      <c r="K43" s="126">
        <v>612323.60514999996</v>
      </c>
      <c r="L43" s="126">
        <v>702357.67391999997</v>
      </c>
      <c r="M43" s="126">
        <v>702658.16853000002</v>
      </c>
      <c r="N43" s="126">
        <v>662277.51751000003</v>
      </c>
      <c r="O43" s="127">
        <v>7311782.6594399996</v>
      </c>
    </row>
    <row r="44" spans="1:15" ht="15" x14ac:dyDescent="0.25">
      <c r="A44" s="96">
        <v>2019</v>
      </c>
      <c r="B44" s="125" t="s">
        <v>149</v>
      </c>
      <c r="C44" s="126">
        <v>650720.72435999999</v>
      </c>
      <c r="D44" s="126">
        <v>655137.05460999999</v>
      </c>
      <c r="E44" s="126">
        <v>712368.93412999995</v>
      </c>
      <c r="F44" s="126">
        <v>706704.47958000004</v>
      </c>
      <c r="G44" s="126">
        <v>827696.67338000005</v>
      </c>
      <c r="H44" s="126">
        <v>516767.86090999999</v>
      </c>
      <c r="I44" s="126">
        <v>710084.38251999998</v>
      </c>
      <c r="J44" s="126">
        <v>612707.71027000004</v>
      </c>
      <c r="K44" s="126"/>
      <c r="L44" s="126"/>
      <c r="M44" s="126"/>
      <c r="N44" s="126"/>
      <c r="O44" s="127">
        <v>5392187.8197600003</v>
      </c>
    </row>
    <row r="45" spans="1:15" ht="15" x14ac:dyDescent="0.25">
      <c r="A45" s="95">
        <v>2018</v>
      </c>
      <c r="B45" s="125" t="s">
        <v>149</v>
      </c>
      <c r="C45" s="126">
        <v>597071.10094999999</v>
      </c>
      <c r="D45" s="126">
        <v>635627.30166</v>
      </c>
      <c r="E45" s="126">
        <v>752659.75242999999</v>
      </c>
      <c r="F45" s="126">
        <v>697996.73695000005</v>
      </c>
      <c r="G45" s="126">
        <v>716062.79812000005</v>
      </c>
      <c r="H45" s="126">
        <v>656930.07006000006</v>
      </c>
      <c r="I45" s="126">
        <v>686917.14109000005</v>
      </c>
      <c r="J45" s="126">
        <v>600373.56460000004</v>
      </c>
      <c r="K45" s="126">
        <v>663410.00473000004</v>
      </c>
      <c r="L45" s="126">
        <v>715231.06463000004</v>
      </c>
      <c r="M45" s="126">
        <v>729399.41712999996</v>
      </c>
      <c r="N45" s="126">
        <v>631280.74283999996</v>
      </c>
      <c r="O45" s="127">
        <v>8082959.6951900003</v>
      </c>
    </row>
    <row r="46" spans="1:15" ht="15" x14ac:dyDescent="0.25">
      <c r="A46" s="96">
        <v>2019</v>
      </c>
      <c r="B46" s="125" t="s">
        <v>150</v>
      </c>
      <c r="C46" s="126">
        <v>1197475.51746</v>
      </c>
      <c r="D46" s="126">
        <v>1195839.9701100001</v>
      </c>
      <c r="E46" s="126">
        <v>1307590.9639099999</v>
      </c>
      <c r="F46" s="126">
        <v>1235598.7270599999</v>
      </c>
      <c r="G46" s="126">
        <v>1355755.00315</v>
      </c>
      <c r="H46" s="126">
        <v>878039.34878</v>
      </c>
      <c r="I46" s="126">
        <v>1243079.4244899999</v>
      </c>
      <c r="J46" s="126">
        <v>1022830.2577599999</v>
      </c>
      <c r="K46" s="126"/>
      <c r="L46" s="126"/>
      <c r="M46" s="126"/>
      <c r="N46" s="126"/>
      <c r="O46" s="127">
        <v>9436209.2127199993</v>
      </c>
    </row>
    <row r="47" spans="1:15" ht="15" x14ac:dyDescent="0.25">
      <c r="A47" s="95">
        <v>2018</v>
      </c>
      <c r="B47" s="125" t="s">
        <v>150</v>
      </c>
      <c r="C47" s="126">
        <v>1117500.22694</v>
      </c>
      <c r="D47" s="126">
        <v>1147425.7328000001</v>
      </c>
      <c r="E47" s="126">
        <v>1287238.8788399999</v>
      </c>
      <c r="F47" s="126">
        <v>1122407.01217</v>
      </c>
      <c r="G47" s="126">
        <v>1204113.1554399999</v>
      </c>
      <c r="H47" s="126">
        <v>1187610.1720799999</v>
      </c>
      <c r="I47" s="126">
        <v>1260244.78776</v>
      </c>
      <c r="J47" s="126">
        <v>1181895.1413499999</v>
      </c>
      <c r="K47" s="126">
        <v>1404159.719</v>
      </c>
      <c r="L47" s="126">
        <v>1489947.0423300001</v>
      </c>
      <c r="M47" s="126">
        <v>1659611.8856500001</v>
      </c>
      <c r="N47" s="126">
        <v>1436930.80837</v>
      </c>
      <c r="O47" s="127">
        <v>15499084.562729999</v>
      </c>
    </row>
    <row r="48" spans="1:15" ht="15" x14ac:dyDescent="0.25">
      <c r="A48" s="96">
        <v>2019</v>
      </c>
      <c r="B48" s="125" t="s">
        <v>151</v>
      </c>
      <c r="C48" s="126">
        <v>251910.98457</v>
      </c>
      <c r="D48" s="126">
        <v>266390.37828</v>
      </c>
      <c r="E48" s="126">
        <v>316762.16742000001</v>
      </c>
      <c r="F48" s="126">
        <v>311347.17155999999</v>
      </c>
      <c r="G48" s="126">
        <v>354103.68196999998</v>
      </c>
      <c r="H48" s="126">
        <v>235309.27879000001</v>
      </c>
      <c r="I48" s="126">
        <v>316062.54044000001</v>
      </c>
      <c r="J48" s="126">
        <v>285653.42667999998</v>
      </c>
      <c r="K48" s="126"/>
      <c r="L48" s="126"/>
      <c r="M48" s="126"/>
      <c r="N48" s="126"/>
      <c r="O48" s="127">
        <v>2337539.62971</v>
      </c>
    </row>
    <row r="49" spans="1:15" ht="15" x14ac:dyDescent="0.25">
      <c r="A49" s="95">
        <v>2018</v>
      </c>
      <c r="B49" s="125" t="s">
        <v>151</v>
      </c>
      <c r="C49" s="126">
        <v>208340.64773999999</v>
      </c>
      <c r="D49" s="126">
        <v>239376.10553999999</v>
      </c>
      <c r="E49" s="126">
        <v>266845.07678</v>
      </c>
      <c r="F49" s="126">
        <v>258401.22227999999</v>
      </c>
      <c r="G49" s="126">
        <v>273577.41087999998</v>
      </c>
      <c r="H49" s="126">
        <v>254254.18246000001</v>
      </c>
      <c r="I49" s="126">
        <v>256352.098</v>
      </c>
      <c r="J49" s="126">
        <v>220587.65960000001</v>
      </c>
      <c r="K49" s="126">
        <v>243458.81565999999</v>
      </c>
      <c r="L49" s="126">
        <v>261500.93969</v>
      </c>
      <c r="M49" s="126">
        <v>261189.58387</v>
      </c>
      <c r="N49" s="126">
        <v>242754.13456999999</v>
      </c>
      <c r="O49" s="127">
        <v>2986637.8770699999</v>
      </c>
    </row>
    <row r="50" spans="1:15" ht="15" x14ac:dyDescent="0.25">
      <c r="A50" s="96">
        <v>2019</v>
      </c>
      <c r="B50" s="125" t="s">
        <v>152</v>
      </c>
      <c r="C50" s="126">
        <v>272605.94021999999</v>
      </c>
      <c r="D50" s="126">
        <v>249567.08027000001</v>
      </c>
      <c r="E50" s="126">
        <v>297957.09169999999</v>
      </c>
      <c r="F50" s="126">
        <v>258376.59945000001</v>
      </c>
      <c r="G50" s="126">
        <v>362019.43745000003</v>
      </c>
      <c r="H50" s="126">
        <v>216756.12458</v>
      </c>
      <c r="I50" s="126">
        <v>509268.27426999999</v>
      </c>
      <c r="J50" s="126">
        <v>566131.63852000004</v>
      </c>
      <c r="K50" s="126"/>
      <c r="L50" s="126"/>
      <c r="M50" s="126"/>
      <c r="N50" s="126"/>
      <c r="O50" s="127">
        <v>2732682.18646</v>
      </c>
    </row>
    <row r="51" spans="1:15" ht="15" x14ac:dyDescent="0.25">
      <c r="A51" s="95">
        <v>2018</v>
      </c>
      <c r="B51" s="125" t="s">
        <v>152</v>
      </c>
      <c r="C51" s="126">
        <v>141387.96517000001</v>
      </c>
      <c r="D51" s="126">
        <v>195475.11747</v>
      </c>
      <c r="E51" s="126">
        <v>522430.24839999998</v>
      </c>
      <c r="F51" s="126">
        <v>354283.47259000002</v>
      </c>
      <c r="G51" s="126">
        <v>250675.26118999999</v>
      </c>
      <c r="H51" s="126">
        <v>197918.91388000001</v>
      </c>
      <c r="I51" s="126">
        <v>259578.60659000001</v>
      </c>
      <c r="J51" s="126">
        <v>896160.51095999999</v>
      </c>
      <c r="K51" s="126">
        <v>590090.13118000003</v>
      </c>
      <c r="L51" s="126">
        <v>471252.56047000003</v>
      </c>
      <c r="M51" s="126">
        <v>271965.27688999998</v>
      </c>
      <c r="N51" s="126">
        <v>252010.98865000001</v>
      </c>
      <c r="O51" s="127">
        <v>4403229.0534399999</v>
      </c>
    </row>
    <row r="52" spans="1:15" ht="15" x14ac:dyDescent="0.25">
      <c r="A52" s="96">
        <v>2019</v>
      </c>
      <c r="B52" s="125" t="s">
        <v>153</v>
      </c>
      <c r="C52" s="126">
        <v>174773.56437000001</v>
      </c>
      <c r="D52" s="126">
        <v>170918.56770000001</v>
      </c>
      <c r="E52" s="126">
        <v>282567.32348999998</v>
      </c>
      <c r="F52" s="126">
        <v>197048.40953999999</v>
      </c>
      <c r="G52" s="126">
        <v>248994.09604999999</v>
      </c>
      <c r="H52" s="126">
        <v>207637.62205999999</v>
      </c>
      <c r="I52" s="126">
        <v>234180.09273999999</v>
      </c>
      <c r="J52" s="126">
        <v>175400.03847999999</v>
      </c>
      <c r="K52" s="126"/>
      <c r="L52" s="126"/>
      <c r="M52" s="126"/>
      <c r="N52" s="126"/>
      <c r="O52" s="127">
        <v>1691519.7144299999</v>
      </c>
    </row>
    <row r="53" spans="1:15" ht="15" x14ac:dyDescent="0.25">
      <c r="A53" s="95">
        <v>2018</v>
      </c>
      <c r="B53" s="125" t="s">
        <v>153</v>
      </c>
      <c r="C53" s="126">
        <v>106506.34802</v>
      </c>
      <c r="D53" s="126">
        <v>149655.0753</v>
      </c>
      <c r="E53" s="126">
        <v>147926.57779000001</v>
      </c>
      <c r="F53" s="126">
        <v>189961.07772999999</v>
      </c>
      <c r="G53" s="126">
        <v>190016.05770999999</v>
      </c>
      <c r="H53" s="126">
        <v>123013.28576</v>
      </c>
      <c r="I53" s="126">
        <v>197255.41209</v>
      </c>
      <c r="J53" s="126">
        <v>119749.85591</v>
      </c>
      <c r="K53" s="126">
        <v>122785.72756</v>
      </c>
      <c r="L53" s="126">
        <v>206633.42103999999</v>
      </c>
      <c r="M53" s="126">
        <v>228958.16792000001</v>
      </c>
      <c r="N53" s="126">
        <v>253495.31524</v>
      </c>
      <c r="O53" s="127">
        <v>2035956.32207</v>
      </c>
    </row>
    <row r="54" spans="1:15" ht="15" x14ac:dyDescent="0.25">
      <c r="A54" s="96">
        <v>2019</v>
      </c>
      <c r="B54" s="125" t="s">
        <v>154</v>
      </c>
      <c r="C54" s="126">
        <v>334364.82783999998</v>
      </c>
      <c r="D54" s="126">
        <v>362353.76397000003</v>
      </c>
      <c r="E54" s="126">
        <v>414508.80784999998</v>
      </c>
      <c r="F54" s="126">
        <v>392912.33815999998</v>
      </c>
      <c r="G54" s="126">
        <v>473491.42115000001</v>
      </c>
      <c r="H54" s="126">
        <v>286072.22936</v>
      </c>
      <c r="I54" s="126">
        <v>426509.58997999999</v>
      </c>
      <c r="J54" s="126">
        <v>346124.0993</v>
      </c>
      <c r="K54" s="126"/>
      <c r="L54" s="126"/>
      <c r="M54" s="126"/>
      <c r="N54" s="126"/>
      <c r="O54" s="127">
        <v>3036337.07761</v>
      </c>
    </row>
    <row r="55" spans="1:15" ht="15" x14ac:dyDescent="0.25">
      <c r="A55" s="95">
        <v>2018</v>
      </c>
      <c r="B55" s="125" t="s">
        <v>154</v>
      </c>
      <c r="C55" s="126">
        <v>331287.17619999999</v>
      </c>
      <c r="D55" s="126">
        <v>350915.61978000001</v>
      </c>
      <c r="E55" s="126">
        <v>417498.91473000002</v>
      </c>
      <c r="F55" s="126">
        <v>365935.32127000001</v>
      </c>
      <c r="G55" s="126">
        <v>406277.45730000001</v>
      </c>
      <c r="H55" s="126">
        <v>357596.32114999997</v>
      </c>
      <c r="I55" s="126">
        <v>401513.4535</v>
      </c>
      <c r="J55" s="126">
        <v>342610.31091</v>
      </c>
      <c r="K55" s="126">
        <v>374296.73966000002</v>
      </c>
      <c r="L55" s="126">
        <v>422414.48459000001</v>
      </c>
      <c r="M55" s="126">
        <v>409412.95370999997</v>
      </c>
      <c r="N55" s="126">
        <v>352709.65000999998</v>
      </c>
      <c r="O55" s="127">
        <v>4532468.4028099999</v>
      </c>
    </row>
    <row r="56" spans="1:15" ht="15" x14ac:dyDescent="0.25">
      <c r="A56" s="96">
        <v>2019</v>
      </c>
      <c r="B56" s="125" t="s">
        <v>155</v>
      </c>
      <c r="C56" s="126">
        <v>7319.4561000000003</v>
      </c>
      <c r="D56" s="126">
        <v>9004.9628499999999</v>
      </c>
      <c r="E56" s="126">
        <v>11387.284949999999</v>
      </c>
      <c r="F56" s="126">
        <v>10902.01288</v>
      </c>
      <c r="G56" s="126">
        <v>10545.2343</v>
      </c>
      <c r="H56" s="126">
        <v>7001.4706999999999</v>
      </c>
      <c r="I56" s="126">
        <v>12669.747579999999</v>
      </c>
      <c r="J56" s="126">
        <v>7602.2096000000001</v>
      </c>
      <c r="K56" s="126"/>
      <c r="L56" s="126"/>
      <c r="M56" s="126"/>
      <c r="N56" s="126"/>
      <c r="O56" s="127">
        <v>76432.378960000002</v>
      </c>
    </row>
    <row r="57" spans="1:15" ht="15" x14ac:dyDescent="0.25">
      <c r="A57" s="95">
        <v>2018</v>
      </c>
      <c r="B57" s="125" t="s">
        <v>155</v>
      </c>
      <c r="C57" s="126">
        <v>6824.7319200000002</v>
      </c>
      <c r="D57" s="126">
        <v>9089.9323100000001</v>
      </c>
      <c r="E57" s="126">
        <v>13501.230600000001</v>
      </c>
      <c r="F57" s="126">
        <v>10658.65056</v>
      </c>
      <c r="G57" s="126">
        <v>11529.36889</v>
      </c>
      <c r="H57" s="126">
        <v>10043.9323</v>
      </c>
      <c r="I57" s="126">
        <v>7866.5375800000002</v>
      </c>
      <c r="J57" s="126">
        <v>7905.8811800000003</v>
      </c>
      <c r="K57" s="126">
        <v>9156.6822699999993</v>
      </c>
      <c r="L57" s="126">
        <v>12384.8663</v>
      </c>
      <c r="M57" s="126">
        <v>9272.3474499999993</v>
      </c>
      <c r="N57" s="126">
        <v>13408.360780000001</v>
      </c>
      <c r="O57" s="127">
        <v>121642.52214</v>
      </c>
    </row>
    <row r="58" spans="1:15" ht="15" x14ac:dyDescent="0.25">
      <c r="A58" s="96">
        <v>2019</v>
      </c>
      <c r="B58" s="123" t="s">
        <v>31</v>
      </c>
      <c r="C58" s="129">
        <f>C60</f>
        <v>304076.68474</v>
      </c>
      <c r="D58" s="129">
        <f t="shared" ref="D58:O58" si="4">D60</f>
        <v>293966.76949999999</v>
      </c>
      <c r="E58" s="129">
        <f t="shared" si="4"/>
        <v>368421.53451000003</v>
      </c>
      <c r="F58" s="129">
        <f t="shared" si="4"/>
        <v>385325.96221999999</v>
      </c>
      <c r="G58" s="129">
        <f t="shared" si="4"/>
        <v>459540.64302000002</v>
      </c>
      <c r="H58" s="129">
        <f t="shared" si="4"/>
        <v>317578.57864000002</v>
      </c>
      <c r="I58" s="129">
        <f t="shared" si="4"/>
        <v>379456.67861</v>
      </c>
      <c r="J58" s="129">
        <f t="shared" si="4"/>
        <v>340203.80047000002</v>
      </c>
      <c r="K58" s="129"/>
      <c r="L58" s="129"/>
      <c r="M58" s="129"/>
      <c r="N58" s="129"/>
      <c r="O58" s="129">
        <f t="shared" si="4"/>
        <v>2848570.6517099999</v>
      </c>
    </row>
    <row r="59" spans="1:15" ht="15" x14ac:dyDescent="0.25">
      <c r="A59" s="95">
        <v>2018</v>
      </c>
      <c r="B59" s="123" t="s">
        <v>31</v>
      </c>
      <c r="C59" s="129">
        <f>C61</f>
        <v>391324.55086000002</v>
      </c>
      <c r="D59" s="129">
        <f t="shared" ref="D59:O59" si="5">D61</f>
        <v>334207.24878999998</v>
      </c>
      <c r="E59" s="129">
        <f t="shared" si="5"/>
        <v>376898.40801999997</v>
      </c>
      <c r="F59" s="129">
        <f t="shared" si="5"/>
        <v>369344.33247000002</v>
      </c>
      <c r="G59" s="129">
        <f t="shared" si="5"/>
        <v>430250.76095999999</v>
      </c>
      <c r="H59" s="129">
        <f t="shared" si="5"/>
        <v>379256.99645999999</v>
      </c>
      <c r="I59" s="129">
        <f t="shared" si="5"/>
        <v>403169.32608999999</v>
      </c>
      <c r="J59" s="129">
        <f t="shared" si="5"/>
        <v>325034.33490000002</v>
      </c>
      <c r="K59" s="129">
        <f t="shared" si="5"/>
        <v>364373.57481999998</v>
      </c>
      <c r="L59" s="129">
        <f t="shared" si="5"/>
        <v>415068.17206999997</v>
      </c>
      <c r="M59" s="129">
        <f t="shared" si="5"/>
        <v>398765.57965999999</v>
      </c>
      <c r="N59" s="129">
        <f t="shared" si="5"/>
        <v>373590.67228</v>
      </c>
      <c r="O59" s="129">
        <f t="shared" si="5"/>
        <v>4561283.9573799996</v>
      </c>
    </row>
    <row r="60" spans="1:15" ht="15" x14ac:dyDescent="0.25">
      <c r="A60" s="96">
        <v>2019</v>
      </c>
      <c r="B60" s="125" t="s">
        <v>156</v>
      </c>
      <c r="C60" s="126">
        <v>304076.68474</v>
      </c>
      <c r="D60" s="126">
        <v>293966.76949999999</v>
      </c>
      <c r="E60" s="126">
        <v>368421.53451000003</v>
      </c>
      <c r="F60" s="126">
        <v>385325.96221999999</v>
      </c>
      <c r="G60" s="126">
        <v>459540.64302000002</v>
      </c>
      <c r="H60" s="126">
        <v>317578.57864000002</v>
      </c>
      <c r="I60" s="126">
        <v>379456.67861</v>
      </c>
      <c r="J60" s="126">
        <v>340203.80047000002</v>
      </c>
      <c r="K60" s="126"/>
      <c r="L60" s="126"/>
      <c r="M60" s="126"/>
      <c r="N60" s="126"/>
      <c r="O60" s="127">
        <v>2848570.6517099999</v>
      </c>
    </row>
    <row r="61" spans="1:15" ht="15.75" thickBot="1" x14ac:dyDescent="0.3">
      <c r="A61" s="95">
        <v>2018</v>
      </c>
      <c r="B61" s="125" t="s">
        <v>156</v>
      </c>
      <c r="C61" s="126">
        <v>391324.55086000002</v>
      </c>
      <c r="D61" s="126">
        <v>334207.24878999998</v>
      </c>
      <c r="E61" s="126">
        <v>376898.40801999997</v>
      </c>
      <c r="F61" s="126">
        <v>369344.33247000002</v>
      </c>
      <c r="G61" s="126">
        <v>430250.76095999999</v>
      </c>
      <c r="H61" s="126">
        <v>379256.99645999999</v>
      </c>
      <c r="I61" s="126">
        <v>403169.32608999999</v>
      </c>
      <c r="J61" s="126">
        <v>325034.33490000002</v>
      </c>
      <c r="K61" s="126">
        <v>364373.57481999998</v>
      </c>
      <c r="L61" s="126">
        <v>415068.17206999997</v>
      </c>
      <c r="M61" s="126">
        <v>398765.57965999999</v>
      </c>
      <c r="N61" s="126">
        <v>373590.67228</v>
      </c>
      <c r="O61" s="127">
        <v>4561283.9573799996</v>
      </c>
    </row>
    <row r="62" spans="1:15" s="34" customFormat="1" ht="15" customHeight="1" thickBot="1" x14ac:dyDescent="0.25">
      <c r="A62" s="130">
        <v>2002</v>
      </c>
      <c r="B62" s="131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34" customFormat="1" ht="15" customHeight="1" thickBot="1" x14ac:dyDescent="0.25">
      <c r="A63" s="130">
        <v>2003</v>
      </c>
      <c r="B63" s="131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 t="shared" ref="O63:O79" si="6">SUM(C63:N63)</f>
        <v>47252836.302000001</v>
      </c>
    </row>
    <row r="64" spans="1:15" s="34" customFormat="1" ht="15" customHeight="1" thickBot="1" x14ac:dyDescent="0.25">
      <c r="A64" s="130">
        <v>2004</v>
      </c>
      <c r="B64" s="131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si="6"/>
        <v>63167152.819999993</v>
      </c>
    </row>
    <row r="65" spans="1:15" s="34" customFormat="1" ht="15" customHeight="1" thickBot="1" x14ac:dyDescent="0.25">
      <c r="A65" s="130">
        <v>2005</v>
      </c>
      <c r="B65" s="131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34" customFormat="1" ht="15" customHeight="1" thickBot="1" x14ac:dyDescent="0.25">
      <c r="A66" s="130">
        <v>2006</v>
      </c>
      <c r="B66" s="131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si="6"/>
        <v>85534675.517999992</v>
      </c>
    </row>
    <row r="67" spans="1:15" s="34" customFormat="1" ht="15" customHeight="1" thickBot="1" x14ac:dyDescent="0.25">
      <c r="A67" s="130">
        <v>2007</v>
      </c>
      <c r="B67" s="131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6"/>
        <v>107271749.90399998</v>
      </c>
    </row>
    <row r="68" spans="1:15" s="34" customFormat="1" ht="15" customHeight="1" thickBot="1" x14ac:dyDescent="0.25">
      <c r="A68" s="130">
        <v>2008</v>
      </c>
      <c r="B68" s="131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6"/>
        <v>132027195.626</v>
      </c>
    </row>
    <row r="69" spans="1:15" s="34" customFormat="1" ht="15" customHeight="1" thickBot="1" x14ac:dyDescent="0.25">
      <c r="A69" s="130">
        <v>2009</v>
      </c>
      <c r="B69" s="131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6"/>
        <v>102142612.603</v>
      </c>
    </row>
    <row r="70" spans="1:15" s="34" customFormat="1" ht="15" customHeight="1" thickBot="1" x14ac:dyDescent="0.25">
      <c r="A70" s="130">
        <v>2010</v>
      </c>
      <c r="B70" s="131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6"/>
        <v>113883219.18399999</v>
      </c>
    </row>
    <row r="71" spans="1:15" s="34" customFormat="1" ht="15" customHeight="1" thickBot="1" x14ac:dyDescent="0.25">
      <c r="A71" s="130">
        <v>2011</v>
      </c>
      <c r="B71" s="131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6"/>
        <v>134906868.83000001</v>
      </c>
    </row>
    <row r="72" spans="1:15" ht="13.5" thickBot="1" x14ac:dyDescent="0.25">
      <c r="A72" s="130">
        <v>2012</v>
      </c>
      <c r="B72" s="131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6"/>
        <v>152461736.55599999</v>
      </c>
    </row>
    <row r="73" spans="1:15" ht="13.5" thickBot="1" x14ac:dyDescent="0.25">
      <c r="A73" s="130">
        <v>2013</v>
      </c>
      <c r="B73" s="131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6"/>
        <v>151802637.08700001</v>
      </c>
    </row>
    <row r="74" spans="1:15" ht="13.5" thickBot="1" x14ac:dyDescent="0.25">
      <c r="A74" s="130">
        <v>2014</v>
      </c>
      <c r="B74" s="131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6"/>
        <v>157610157.69</v>
      </c>
    </row>
    <row r="75" spans="1:15" ht="13.5" thickBot="1" x14ac:dyDescent="0.25">
      <c r="A75" s="130">
        <v>2015</v>
      </c>
      <c r="B75" s="131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6"/>
        <v>143838871.428</v>
      </c>
    </row>
    <row r="76" spans="1:15" ht="13.5" thickBot="1" x14ac:dyDescent="0.25">
      <c r="A76" s="130">
        <v>2016</v>
      </c>
      <c r="B76" s="131" t="s">
        <v>40</v>
      </c>
      <c r="C76" s="132">
        <v>9546115.4000000004</v>
      </c>
      <c r="D76" s="132">
        <v>12366388.057</v>
      </c>
      <c r="E76" s="132">
        <v>12757672.093</v>
      </c>
      <c r="F76" s="132">
        <v>11950497.685000001</v>
      </c>
      <c r="G76" s="132">
        <v>12098611.067</v>
      </c>
      <c r="H76" s="132">
        <v>12864154.060000001</v>
      </c>
      <c r="I76" s="132">
        <v>9850124.8719999995</v>
      </c>
      <c r="J76" s="132">
        <v>11830762.82</v>
      </c>
      <c r="K76" s="132">
        <v>10901638.452</v>
      </c>
      <c r="L76" s="132">
        <v>12796159.91</v>
      </c>
      <c r="M76" s="132">
        <v>12786936.247</v>
      </c>
      <c r="N76" s="132">
        <v>12780523.145</v>
      </c>
      <c r="O76" s="133">
        <f t="shared" si="6"/>
        <v>142529583.80799997</v>
      </c>
    </row>
    <row r="77" spans="1:15" ht="13.5" thickBot="1" x14ac:dyDescent="0.25">
      <c r="A77" s="130">
        <v>2017</v>
      </c>
      <c r="B77" s="131" t="s">
        <v>40</v>
      </c>
      <c r="C77" s="132">
        <v>11247585.677000133</v>
      </c>
      <c r="D77" s="132">
        <v>12089908.933999483</v>
      </c>
      <c r="E77" s="132">
        <v>14470814.05899963</v>
      </c>
      <c r="F77" s="132">
        <v>12859938.790999187</v>
      </c>
      <c r="G77" s="132">
        <v>13582079.73099998</v>
      </c>
      <c r="H77" s="132">
        <v>13125306.943999315</v>
      </c>
      <c r="I77" s="132">
        <v>12612074.05599888</v>
      </c>
      <c r="J77" s="132">
        <v>13248462.990000026</v>
      </c>
      <c r="K77" s="132">
        <v>11810080.804999635</v>
      </c>
      <c r="L77" s="132">
        <v>13912699.49399944</v>
      </c>
      <c r="M77" s="132">
        <v>14188323.115998682</v>
      </c>
      <c r="N77" s="132">
        <v>13845665.816998869</v>
      </c>
      <c r="O77" s="133">
        <f t="shared" si="6"/>
        <v>156992940.41399324</v>
      </c>
    </row>
    <row r="78" spans="1:15" ht="13.5" thickBot="1" x14ac:dyDescent="0.25">
      <c r="A78" s="130">
        <v>2018</v>
      </c>
      <c r="B78" s="131" t="s">
        <v>40</v>
      </c>
      <c r="C78" s="132">
        <v>12434098.319</v>
      </c>
      <c r="D78" s="132">
        <v>13148021.710999999</v>
      </c>
      <c r="E78" s="132">
        <v>15553245.176999999</v>
      </c>
      <c r="F78" s="132">
        <v>13846627.891000001</v>
      </c>
      <c r="G78" s="132">
        <v>14256695.228</v>
      </c>
      <c r="H78" s="132">
        <v>12924498.134</v>
      </c>
      <c r="I78" s="132">
        <v>14048956.242000001</v>
      </c>
      <c r="J78" s="132">
        <v>12331984.01</v>
      </c>
      <c r="K78" s="132">
        <v>14397835.42</v>
      </c>
      <c r="L78" s="132">
        <v>15676860.082</v>
      </c>
      <c r="M78" s="132">
        <v>15491509.931</v>
      </c>
      <c r="N78" s="132">
        <v>13810281.310000001</v>
      </c>
      <c r="O78" s="133">
        <f t="shared" si="6"/>
        <v>167920613.45500001</v>
      </c>
    </row>
    <row r="79" spans="1:15" ht="13.5" thickBot="1" x14ac:dyDescent="0.25">
      <c r="A79" s="130">
        <v>2019</v>
      </c>
      <c r="B79" s="131" t="s">
        <v>40</v>
      </c>
      <c r="C79" s="132">
        <v>13180518.286</v>
      </c>
      <c r="D79" s="132">
        <v>13570559.015000001</v>
      </c>
      <c r="E79" s="132">
        <v>15461561.817</v>
      </c>
      <c r="F79" s="132">
        <v>14462713.923</v>
      </c>
      <c r="G79" s="132">
        <v>15943702.386</v>
      </c>
      <c r="H79" s="132">
        <v>11072989.253</v>
      </c>
      <c r="I79" s="132">
        <v>15159538.466</v>
      </c>
      <c r="J79" s="132" t="e">
        <f>+SEKTOR_USD!#REF!</f>
        <v>#REF!</v>
      </c>
      <c r="K79" s="132"/>
      <c r="L79" s="132"/>
      <c r="M79" s="132"/>
      <c r="N79" s="132"/>
      <c r="O79" s="132" t="e">
        <f t="shared" si="6"/>
        <v>#REF!</v>
      </c>
    </row>
    <row r="80" spans="1:15" x14ac:dyDescent="0.2">
      <c r="A80" s="95"/>
      <c r="B80" s="134" t="s">
        <v>62</v>
      </c>
      <c r="C80" s="135"/>
      <c r="D80" s="13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5"/>
    </row>
    <row r="82" spans="3:3" x14ac:dyDescent="0.2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8" customWidth="1"/>
    <col min="3" max="3" width="17.5703125" style="38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4" spans="1:4" x14ac:dyDescent="0.2">
      <c r="A4" s="137"/>
      <c r="B4" s="138"/>
      <c r="C4" s="138"/>
      <c r="D4" s="137"/>
    </row>
    <row r="5" spans="1:4" x14ac:dyDescent="0.2">
      <c r="A5" s="139" t="s">
        <v>65</v>
      </c>
      <c r="B5" s="140" t="s">
        <v>157</v>
      </c>
      <c r="C5" s="140" t="s">
        <v>158</v>
      </c>
      <c r="D5" s="141" t="s">
        <v>66</v>
      </c>
    </row>
    <row r="6" spans="1:4" x14ac:dyDescent="0.2">
      <c r="A6" s="142" t="s">
        <v>159</v>
      </c>
      <c r="B6" s="143">
        <v>19.275950000000002</v>
      </c>
      <c r="C6" s="143">
        <v>1822.05052</v>
      </c>
      <c r="D6" s="144">
        <f t="shared" ref="D6:D15" si="0">(C6-B6)/B6*100</f>
        <v>9352.4551059740243</v>
      </c>
    </row>
    <row r="7" spans="1:4" x14ac:dyDescent="0.2">
      <c r="A7" s="142" t="s">
        <v>160</v>
      </c>
      <c r="B7" s="143">
        <v>1.07612</v>
      </c>
      <c r="C7" s="143">
        <v>41.386400000000002</v>
      </c>
      <c r="D7" s="144">
        <f t="shared" si="0"/>
        <v>3745.8907928483809</v>
      </c>
    </row>
    <row r="8" spans="1:4" x14ac:dyDescent="0.2">
      <c r="A8" s="142" t="s">
        <v>161</v>
      </c>
      <c r="B8" s="143">
        <v>573.83250999999996</v>
      </c>
      <c r="C8" s="143">
        <v>12503.525310000001</v>
      </c>
      <c r="D8" s="144">
        <f t="shared" si="0"/>
        <v>2078.9503194930526</v>
      </c>
    </row>
    <row r="9" spans="1:4" x14ac:dyDescent="0.2">
      <c r="A9" s="142" t="s">
        <v>162</v>
      </c>
      <c r="B9" s="143">
        <v>69.22287</v>
      </c>
      <c r="C9" s="143">
        <v>1218.0273500000001</v>
      </c>
      <c r="D9" s="144">
        <f t="shared" si="0"/>
        <v>1659.5736062373608</v>
      </c>
    </row>
    <row r="10" spans="1:4" x14ac:dyDescent="0.2">
      <c r="A10" s="142" t="s">
        <v>163</v>
      </c>
      <c r="B10" s="143">
        <v>15.42187</v>
      </c>
      <c r="C10" s="143">
        <v>237.13578000000001</v>
      </c>
      <c r="D10" s="144">
        <f t="shared" si="0"/>
        <v>1437.6590517232994</v>
      </c>
    </row>
    <row r="11" spans="1:4" x14ac:dyDescent="0.2">
      <c r="A11" s="142" t="s">
        <v>164</v>
      </c>
      <c r="B11" s="143">
        <v>247.98796999999999</v>
      </c>
      <c r="C11" s="143">
        <v>3035.0387000000001</v>
      </c>
      <c r="D11" s="144">
        <f t="shared" si="0"/>
        <v>1123.865294756032</v>
      </c>
    </row>
    <row r="12" spans="1:4" x14ac:dyDescent="0.2">
      <c r="A12" s="142" t="s">
        <v>165</v>
      </c>
      <c r="B12" s="143">
        <v>32.785200000000003</v>
      </c>
      <c r="C12" s="143">
        <v>373.58578999999997</v>
      </c>
      <c r="D12" s="144">
        <f t="shared" si="0"/>
        <v>1039.4952295547987</v>
      </c>
    </row>
    <row r="13" spans="1:4" x14ac:dyDescent="0.2">
      <c r="A13" s="142" t="s">
        <v>166</v>
      </c>
      <c r="B13" s="143">
        <v>110.57002</v>
      </c>
      <c r="C13" s="143">
        <v>1143.88849</v>
      </c>
      <c r="D13" s="144">
        <f t="shared" si="0"/>
        <v>934.53765315408293</v>
      </c>
    </row>
    <row r="14" spans="1:4" x14ac:dyDescent="0.2">
      <c r="A14" s="142" t="s">
        <v>167</v>
      </c>
      <c r="B14" s="143">
        <v>94.317300000000003</v>
      </c>
      <c r="C14" s="143">
        <v>906.26745000000005</v>
      </c>
      <c r="D14" s="144">
        <f t="shared" si="0"/>
        <v>860.8708582624821</v>
      </c>
    </row>
    <row r="15" spans="1:4" x14ac:dyDescent="0.2">
      <c r="A15" s="142" t="s">
        <v>168</v>
      </c>
      <c r="B15" s="143">
        <v>10.119999999999999</v>
      </c>
      <c r="C15" s="143">
        <v>76.093450000000004</v>
      </c>
      <c r="D15" s="144">
        <f t="shared" si="0"/>
        <v>651.91156126482224</v>
      </c>
    </row>
    <row r="16" spans="1:4" x14ac:dyDescent="0.2">
      <c r="A16" s="137"/>
      <c r="B16" s="138"/>
      <c r="C16" s="138"/>
      <c r="D16" s="146"/>
    </row>
    <row r="17" spans="1:4" x14ac:dyDescent="0.2">
      <c r="A17" s="147"/>
      <c r="B17" s="138"/>
      <c r="C17" s="138"/>
      <c r="D17" s="137"/>
    </row>
    <row r="18" spans="1:4" ht="19.5" x14ac:dyDescent="0.3">
      <c r="A18" s="157" t="s">
        <v>67</v>
      </c>
      <c r="B18" s="157"/>
      <c r="C18" s="157"/>
      <c r="D18" s="157"/>
    </row>
    <row r="19" spans="1:4" ht="15.75" x14ac:dyDescent="0.25">
      <c r="A19" s="156" t="s">
        <v>68</v>
      </c>
      <c r="B19" s="156"/>
      <c r="C19" s="156"/>
      <c r="D19" s="156"/>
    </row>
    <row r="20" spans="1:4" x14ac:dyDescent="0.2">
      <c r="A20" s="148"/>
      <c r="B20" s="138"/>
      <c r="C20" s="138"/>
      <c r="D20" s="137"/>
    </row>
    <row r="21" spans="1:4" x14ac:dyDescent="0.2">
      <c r="A21" s="139" t="s">
        <v>65</v>
      </c>
      <c r="B21" s="140" t="s">
        <v>157</v>
      </c>
      <c r="C21" s="140" t="s">
        <v>158</v>
      </c>
      <c r="D21" s="141" t="s">
        <v>66</v>
      </c>
    </row>
    <row r="22" spans="1:4" x14ac:dyDescent="0.2">
      <c r="A22" s="142" t="s">
        <v>169</v>
      </c>
      <c r="B22" s="143">
        <v>1096663.7893399999</v>
      </c>
      <c r="C22" s="143">
        <v>1076209.5241400001</v>
      </c>
      <c r="D22" s="144">
        <f>(C22-B22)/B22*100</f>
        <v>-1.8651354589093969</v>
      </c>
    </row>
    <row r="23" spans="1:4" x14ac:dyDescent="0.2">
      <c r="A23" s="142" t="s">
        <v>170</v>
      </c>
      <c r="B23" s="143">
        <v>897771.59115999995</v>
      </c>
      <c r="C23" s="143">
        <v>982064.98074000003</v>
      </c>
      <c r="D23" s="144">
        <f t="shared" ref="D23:D31" si="1">(C23-B23)/B23*100</f>
        <v>9.3891798771540103</v>
      </c>
    </row>
    <row r="24" spans="1:4" x14ac:dyDescent="0.2">
      <c r="A24" s="142" t="s">
        <v>171</v>
      </c>
      <c r="B24" s="143">
        <v>641828.87393</v>
      </c>
      <c r="C24" s="143">
        <v>603314.42105999996</v>
      </c>
      <c r="D24" s="144">
        <f t="shared" si="1"/>
        <v>-6.000735466164234</v>
      </c>
    </row>
    <row r="25" spans="1:4" x14ac:dyDescent="0.2">
      <c r="A25" s="142" t="s">
        <v>172</v>
      </c>
      <c r="B25" s="143">
        <v>472189.84169999999</v>
      </c>
      <c r="C25" s="143">
        <v>571295.78570999997</v>
      </c>
      <c r="D25" s="144">
        <f t="shared" si="1"/>
        <v>20.988580282285216</v>
      </c>
    </row>
    <row r="26" spans="1:4" x14ac:dyDescent="0.2">
      <c r="A26" s="142" t="s">
        <v>173</v>
      </c>
      <c r="B26" s="143">
        <v>541617.88746</v>
      </c>
      <c r="C26" s="143">
        <v>569261.46325999999</v>
      </c>
      <c r="D26" s="144">
        <f t="shared" si="1"/>
        <v>5.1038890036735625</v>
      </c>
    </row>
    <row r="27" spans="1:4" x14ac:dyDescent="0.2">
      <c r="A27" s="142" t="s">
        <v>174</v>
      </c>
      <c r="B27" s="143">
        <v>551107.13979000004</v>
      </c>
      <c r="C27" s="143">
        <v>564249.68553999998</v>
      </c>
      <c r="D27" s="144">
        <f t="shared" si="1"/>
        <v>2.384753308586768</v>
      </c>
    </row>
    <row r="28" spans="1:4" x14ac:dyDescent="0.2">
      <c r="A28" s="142" t="s">
        <v>175</v>
      </c>
      <c r="B28" s="143">
        <v>439335.20402</v>
      </c>
      <c r="C28" s="143">
        <v>497515.61557999998</v>
      </c>
      <c r="D28" s="144">
        <f t="shared" si="1"/>
        <v>13.242829399428555</v>
      </c>
    </row>
    <row r="29" spans="1:4" x14ac:dyDescent="0.2">
      <c r="A29" s="142" t="s">
        <v>176</v>
      </c>
      <c r="B29" s="143">
        <v>342960.84989000001</v>
      </c>
      <c r="C29" s="143">
        <v>471935.23749999999</v>
      </c>
      <c r="D29" s="144">
        <f t="shared" si="1"/>
        <v>37.606154653327557</v>
      </c>
    </row>
    <row r="30" spans="1:4" x14ac:dyDescent="0.2">
      <c r="A30" s="142" t="s">
        <v>177</v>
      </c>
      <c r="B30" s="143">
        <v>297022.80497</v>
      </c>
      <c r="C30" s="143">
        <v>317247.00201</v>
      </c>
      <c r="D30" s="144">
        <f t="shared" si="1"/>
        <v>6.8089711300257534</v>
      </c>
    </row>
    <row r="31" spans="1:4" x14ac:dyDescent="0.2">
      <c r="A31" s="142" t="s">
        <v>178</v>
      </c>
      <c r="B31" s="143">
        <v>252936.64574000001</v>
      </c>
      <c r="C31" s="143">
        <v>296079.80158999999</v>
      </c>
      <c r="D31" s="144">
        <f t="shared" si="1"/>
        <v>17.05690202531899</v>
      </c>
    </row>
    <row r="32" spans="1:4" x14ac:dyDescent="0.2">
      <c r="A32" s="137"/>
      <c r="B32" s="138"/>
      <c r="C32" s="138"/>
      <c r="D32" s="137"/>
    </row>
    <row r="33" spans="1:4" ht="19.5" x14ac:dyDescent="0.3">
      <c r="A33" s="157" t="s">
        <v>69</v>
      </c>
      <c r="B33" s="157"/>
      <c r="C33" s="157"/>
      <c r="D33" s="157"/>
    </row>
    <row r="34" spans="1:4" ht="15.75" x14ac:dyDescent="0.25">
      <c r="A34" s="156" t="s">
        <v>73</v>
      </c>
      <c r="B34" s="156"/>
      <c r="C34" s="156"/>
      <c r="D34" s="156"/>
    </row>
    <row r="35" spans="1:4" x14ac:dyDescent="0.2">
      <c r="A35" s="137"/>
      <c r="B35" s="138"/>
      <c r="C35" s="138"/>
      <c r="D35" s="137"/>
    </row>
    <row r="36" spans="1:4" x14ac:dyDescent="0.2">
      <c r="A36" s="139" t="s">
        <v>71</v>
      </c>
      <c r="B36" s="140" t="s">
        <v>157</v>
      </c>
      <c r="C36" s="140" t="s">
        <v>158</v>
      </c>
      <c r="D36" s="141" t="s">
        <v>66</v>
      </c>
    </row>
    <row r="37" spans="1:4" x14ac:dyDescent="0.2">
      <c r="A37" s="142" t="s">
        <v>153</v>
      </c>
      <c r="B37" s="143">
        <v>119749.85591</v>
      </c>
      <c r="C37" s="143">
        <v>175400.03847999999</v>
      </c>
      <c r="D37" s="144">
        <v>46.472024660994016</v>
      </c>
    </row>
    <row r="38" spans="1:4" x14ac:dyDescent="0.2">
      <c r="A38" s="142" t="s">
        <v>137</v>
      </c>
      <c r="B38" s="143">
        <v>4651.7716099999998</v>
      </c>
      <c r="C38" s="143">
        <v>6054.4618</v>
      </c>
      <c r="D38" s="144">
        <v>30.153892056622272</v>
      </c>
    </row>
    <row r="39" spans="1:4" x14ac:dyDescent="0.2">
      <c r="A39" s="142" t="s">
        <v>151</v>
      </c>
      <c r="B39" s="143">
        <v>220587.65960000001</v>
      </c>
      <c r="C39" s="143">
        <v>285653.42667999998</v>
      </c>
      <c r="D39" s="144">
        <v>29.496558056777168</v>
      </c>
    </row>
    <row r="40" spans="1:4" x14ac:dyDescent="0.2">
      <c r="A40" s="142" t="s">
        <v>143</v>
      </c>
      <c r="B40" s="143">
        <v>1374045.4340900001</v>
      </c>
      <c r="C40" s="143">
        <v>1634660.4742699999</v>
      </c>
      <c r="D40" s="144">
        <v>18.966988551772278</v>
      </c>
    </row>
    <row r="41" spans="1:4" x14ac:dyDescent="0.2">
      <c r="A41" s="142" t="s">
        <v>132</v>
      </c>
      <c r="B41" s="143">
        <v>111575.90204</v>
      </c>
      <c r="C41" s="143">
        <v>128097.73127</v>
      </c>
      <c r="D41" s="144">
        <v>14.807703928825884</v>
      </c>
    </row>
    <row r="42" spans="1:4" x14ac:dyDescent="0.2">
      <c r="A42" s="142" t="s">
        <v>146</v>
      </c>
      <c r="B42" s="143">
        <v>95641.843789999999</v>
      </c>
      <c r="C42" s="143">
        <v>109694.29128</v>
      </c>
      <c r="D42" s="144">
        <v>14.692781875739286</v>
      </c>
    </row>
    <row r="43" spans="1:4" x14ac:dyDescent="0.2">
      <c r="A43" s="145" t="s">
        <v>139</v>
      </c>
      <c r="B43" s="143">
        <v>364775.44137000002</v>
      </c>
      <c r="C43" s="143">
        <v>414051.62274000002</v>
      </c>
      <c r="D43" s="144">
        <v>13.508634568416038</v>
      </c>
    </row>
    <row r="44" spans="1:4" x14ac:dyDescent="0.2">
      <c r="A44" s="142" t="s">
        <v>142</v>
      </c>
      <c r="B44" s="143">
        <v>158376.42644000001</v>
      </c>
      <c r="C44" s="143">
        <v>174819.62946</v>
      </c>
      <c r="D44" s="144">
        <v>10.382355120400074</v>
      </c>
    </row>
    <row r="45" spans="1:4" x14ac:dyDescent="0.2">
      <c r="A45" s="142" t="s">
        <v>145</v>
      </c>
      <c r="B45" s="143">
        <v>1607579.5556600001</v>
      </c>
      <c r="C45" s="143">
        <v>1742355.84152</v>
      </c>
      <c r="D45" s="144">
        <v>8.3838019328795763</v>
      </c>
    </row>
    <row r="46" spans="1:4" x14ac:dyDescent="0.2">
      <c r="A46" s="142" t="s">
        <v>147</v>
      </c>
      <c r="B46" s="143">
        <v>800780.33372999995</v>
      </c>
      <c r="C46" s="143">
        <v>850216.66932999995</v>
      </c>
      <c r="D46" s="144">
        <v>6.1735201924512433</v>
      </c>
    </row>
    <row r="47" spans="1:4" x14ac:dyDescent="0.2">
      <c r="A47" s="137"/>
      <c r="B47" s="138"/>
      <c r="C47" s="138"/>
      <c r="D47" s="137"/>
    </row>
    <row r="48" spans="1:4" ht="19.5" x14ac:dyDescent="0.3">
      <c r="A48" s="157" t="s">
        <v>72</v>
      </c>
      <c r="B48" s="157"/>
      <c r="C48" s="157"/>
      <c r="D48" s="157"/>
    </row>
    <row r="49" spans="1:4" ht="15.75" x14ac:dyDescent="0.25">
      <c r="A49" s="156" t="s">
        <v>70</v>
      </c>
      <c r="B49" s="156"/>
      <c r="C49" s="156"/>
      <c r="D49" s="156"/>
    </row>
    <row r="50" spans="1:4" x14ac:dyDescent="0.2">
      <c r="A50" s="137"/>
      <c r="B50" s="138"/>
      <c r="C50" s="138"/>
      <c r="D50" s="137"/>
    </row>
    <row r="51" spans="1:4" x14ac:dyDescent="0.2">
      <c r="A51" s="139" t="s">
        <v>71</v>
      </c>
      <c r="B51" s="140" t="s">
        <v>157</v>
      </c>
      <c r="C51" s="140" t="s">
        <v>158</v>
      </c>
      <c r="D51" s="141" t="s">
        <v>66</v>
      </c>
    </row>
    <row r="52" spans="1:4" x14ac:dyDescent="0.2">
      <c r="A52" s="142" t="s">
        <v>145</v>
      </c>
      <c r="B52" s="143">
        <v>1607579.5556600001</v>
      </c>
      <c r="C52" s="143">
        <v>1742355.84152</v>
      </c>
      <c r="D52" s="144">
        <v>8.3838019328795763</v>
      </c>
    </row>
    <row r="53" spans="1:4" x14ac:dyDescent="0.2">
      <c r="A53" s="142" t="s">
        <v>143</v>
      </c>
      <c r="B53" s="143">
        <v>1374045.4340900001</v>
      </c>
      <c r="C53" s="143">
        <v>1634660.4742699999</v>
      </c>
      <c r="D53" s="144">
        <v>18.966988551772278</v>
      </c>
    </row>
    <row r="54" spans="1:4" x14ac:dyDescent="0.2">
      <c r="A54" s="142" t="s">
        <v>144</v>
      </c>
      <c r="B54" s="143">
        <v>1385410.35732</v>
      </c>
      <c r="C54" s="143">
        <v>1401404.84375</v>
      </c>
      <c r="D54" s="144">
        <v>1.1544945037757948</v>
      </c>
    </row>
    <row r="55" spans="1:4" x14ac:dyDescent="0.2">
      <c r="A55" s="142" t="s">
        <v>150</v>
      </c>
      <c r="B55" s="143">
        <v>1181895.1413499999</v>
      </c>
      <c r="C55" s="143">
        <v>1022830.2577599999</v>
      </c>
      <c r="D55" s="144">
        <v>-13.45845989419254</v>
      </c>
    </row>
    <row r="56" spans="1:4" x14ac:dyDescent="0.2">
      <c r="A56" s="142" t="s">
        <v>147</v>
      </c>
      <c r="B56" s="143">
        <v>800780.33372999995</v>
      </c>
      <c r="C56" s="143">
        <v>850216.66932999995</v>
      </c>
      <c r="D56" s="144">
        <v>6.1735201924512433</v>
      </c>
    </row>
    <row r="57" spans="1:4" x14ac:dyDescent="0.2">
      <c r="A57" s="142" t="s">
        <v>149</v>
      </c>
      <c r="B57" s="143">
        <v>600373.56460000004</v>
      </c>
      <c r="C57" s="143">
        <v>612707.71027000004</v>
      </c>
      <c r="D57" s="144">
        <v>2.054411852430186</v>
      </c>
    </row>
    <row r="58" spans="1:4" x14ac:dyDescent="0.2">
      <c r="A58" s="142" t="s">
        <v>148</v>
      </c>
      <c r="B58" s="143">
        <v>550693.31339000002</v>
      </c>
      <c r="C58" s="143">
        <v>575203.01344000001</v>
      </c>
      <c r="D58" s="144">
        <v>4.45069868365049</v>
      </c>
    </row>
    <row r="59" spans="1:4" x14ac:dyDescent="0.2">
      <c r="A59" s="142" t="s">
        <v>140</v>
      </c>
      <c r="B59" s="143">
        <v>615895.63708999997</v>
      </c>
      <c r="C59" s="143">
        <v>573611.84972000006</v>
      </c>
      <c r="D59" s="144">
        <v>-6.8654143370431324</v>
      </c>
    </row>
    <row r="60" spans="1:4" x14ac:dyDescent="0.2">
      <c r="A60" s="142" t="s">
        <v>152</v>
      </c>
      <c r="B60" s="143">
        <v>896160.51095999999</v>
      </c>
      <c r="C60" s="143">
        <v>566131.63852000004</v>
      </c>
      <c r="D60" s="144">
        <v>-36.8269822653155</v>
      </c>
    </row>
    <row r="61" spans="1:4" x14ac:dyDescent="0.2">
      <c r="A61" s="142" t="s">
        <v>130</v>
      </c>
      <c r="B61" s="143">
        <v>489967.42408999999</v>
      </c>
      <c r="C61" s="143">
        <v>482216.99631999998</v>
      </c>
      <c r="D61" s="144">
        <v>-1.5818251150869076</v>
      </c>
    </row>
    <row r="62" spans="1:4" x14ac:dyDescent="0.2">
      <c r="A62" s="137"/>
      <c r="B62" s="138"/>
      <c r="C62" s="138"/>
      <c r="D62" s="137"/>
    </row>
    <row r="63" spans="1:4" ht="19.5" x14ac:dyDescent="0.3">
      <c r="A63" s="157" t="s">
        <v>74</v>
      </c>
      <c r="B63" s="157"/>
      <c r="C63" s="157"/>
      <c r="D63" s="157"/>
    </row>
    <row r="64" spans="1:4" ht="15.75" x14ac:dyDescent="0.25">
      <c r="A64" s="156" t="s">
        <v>75</v>
      </c>
      <c r="B64" s="156"/>
      <c r="C64" s="156"/>
      <c r="D64" s="156"/>
    </row>
    <row r="65" spans="1:4" x14ac:dyDescent="0.2">
      <c r="A65" s="137"/>
      <c r="B65" s="138"/>
      <c r="C65" s="138"/>
      <c r="D65" s="137"/>
    </row>
    <row r="66" spans="1:4" x14ac:dyDescent="0.2">
      <c r="A66" s="139" t="s">
        <v>76</v>
      </c>
      <c r="B66" s="140" t="s">
        <v>157</v>
      </c>
      <c r="C66" s="140" t="s">
        <v>158</v>
      </c>
      <c r="D66" s="141" t="s">
        <v>66</v>
      </c>
    </row>
    <row r="67" spans="1:4" x14ac:dyDescent="0.2">
      <c r="A67" s="142" t="s">
        <v>179</v>
      </c>
      <c r="B67" s="149">
        <v>5670254.7216400001</v>
      </c>
      <c r="C67" s="149">
        <v>5610662.1738400003</v>
      </c>
      <c r="D67" s="150">
        <f>(C67-B67)/B67</f>
        <v>-1.0509677382317659E-2</v>
      </c>
    </row>
    <row r="68" spans="1:4" x14ac:dyDescent="0.2">
      <c r="A68" s="142" t="s">
        <v>180</v>
      </c>
      <c r="B68" s="149">
        <v>818325.26668999996</v>
      </c>
      <c r="C68" s="149">
        <v>974464.76858999999</v>
      </c>
      <c r="D68" s="150">
        <f t="shared" ref="D68:D76" si="2">(C68-B68)/B68</f>
        <v>0.19080371614524422</v>
      </c>
    </row>
    <row r="69" spans="1:4" x14ac:dyDescent="0.2">
      <c r="A69" s="142" t="s">
        <v>181</v>
      </c>
      <c r="B69" s="149">
        <v>938381.74036000005</v>
      </c>
      <c r="C69" s="149">
        <v>953274.19154000003</v>
      </c>
      <c r="D69" s="150">
        <f t="shared" si="2"/>
        <v>1.5870354824132283E-2</v>
      </c>
    </row>
    <row r="70" spans="1:4" x14ac:dyDescent="0.2">
      <c r="A70" s="142" t="s">
        <v>182</v>
      </c>
      <c r="B70" s="149">
        <v>753424.69706999999</v>
      </c>
      <c r="C70" s="149">
        <v>774891.81868999999</v>
      </c>
      <c r="D70" s="150">
        <f t="shared" si="2"/>
        <v>2.8492723564124817E-2</v>
      </c>
    </row>
    <row r="71" spans="1:4" x14ac:dyDescent="0.2">
      <c r="A71" s="142" t="s">
        <v>183</v>
      </c>
      <c r="B71" s="149">
        <v>516903.67090000003</v>
      </c>
      <c r="C71" s="149">
        <v>566802.77425000002</v>
      </c>
      <c r="D71" s="150">
        <f t="shared" si="2"/>
        <v>9.6534627550852611E-2</v>
      </c>
    </row>
    <row r="72" spans="1:4" x14ac:dyDescent="0.2">
      <c r="A72" s="142" t="s">
        <v>184</v>
      </c>
      <c r="B72" s="149">
        <v>514676.18614000001</v>
      </c>
      <c r="C72" s="149">
        <v>554148.17987999995</v>
      </c>
      <c r="D72" s="150">
        <f t="shared" si="2"/>
        <v>7.6692869813997852E-2</v>
      </c>
    </row>
    <row r="73" spans="1:4" x14ac:dyDescent="0.2">
      <c r="A73" s="142" t="s">
        <v>185</v>
      </c>
      <c r="B73" s="149">
        <v>304764.63786999998</v>
      </c>
      <c r="C73" s="149">
        <v>312758.72836000001</v>
      </c>
      <c r="D73" s="150">
        <f t="shared" si="2"/>
        <v>2.6230374186030012E-2</v>
      </c>
    </row>
    <row r="74" spans="1:4" x14ac:dyDescent="0.2">
      <c r="A74" s="142" t="s">
        <v>186</v>
      </c>
      <c r="B74" s="149">
        <v>264841.03807000001</v>
      </c>
      <c r="C74" s="149">
        <v>252004.88274999999</v>
      </c>
      <c r="D74" s="150">
        <f t="shared" si="2"/>
        <v>-4.8467395436681916E-2</v>
      </c>
    </row>
    <row r="75" spans="1:4" x14ac:dyDescent="0.2">
      <c r="A75" s="142" t="s">
        <v>187</v>
      </c>
      <c r="B75" s="149">
        <v>283052.87351</v>
      </c>
      <c r="C75" s="149">
        <v>188983.15799000001</v>
      </c>
      <c r="D75" s="150">
        <f t="shared" si="2"/>
        <v>-0.33233972986561677</v>
      </c>
    </row>
    <row r="76" spans="1:4" x14ac:dyDescent="0.2">
      <c r="A76" s="142" t="s">
        <v>188</v>
      </c>
      <c r="B76" s="149">
        <v>210429.10320000001</v>
      </c>
      <c r="C76" s="149">
        <v>185163.05838999999</v>
      </c>
      <c r="D76" s="150">
        <f t="shared" si="2"/>
        <v>-0.12006915595694094</v>
      </c>
    </row>
    <row r="77" spans="1:4" x14ac:dyDescent="0.2">
      <c r="A77" s="137"/>
      <c r="B77" s="138"/>
      <c r="C77" s="138"/>
      <c r="D77" s="137"/>
    </row>
    <row r="78" spans="1:4" ht="19.5" x14ac:dyDescent="0.3">
      <c r="A78" s="157" t="s">
        <v>77</v>
      </c>
      <c r="B78" s="157"/>
      <c r="C78" s="157"/>
      <c r="D78" s="157"/>
    </row>
    <row r="79" spans="1:4" ht="15.75" x14ac:dyDescent="0.25">
      <c r="A79" s="156" t="s">
        <v>78</v>
      </c>
      <c r="B79" s="156"/>
      <c r="C79" s="156"/>
      <c r="D79" s="156"/>
    </row>
    <row r="80" spans="1:4" x14ac:dyDescent="0.2">
      <c r="A80" s="137"/>
      <c r="B80" s="138"/>
      <c r="C80" s="138"/>
      <c r="D80" s="137"/>
    </row>
    <row r="81" spans="1:4" x14ac:dyDescent="0.2">
      <c r="A81" s="139" t="s">
        <v>76</v>
      </c>
      <c r="B81" s="140" t="s">
        <v>157</v>
      </c>
      <c r="C81" s="140" t="s">
        <v>158</v>
      </c>
      <c r="D81" s="141" t="s">
        <v>66</v>
      </c>
    </row>
    <row r="82" spans="1:4" x14ac:dyDescent="0.2">
      <c r="A82" s="142" t="s">
        <v>189</v>
      </c>
      <c r="B82" s="149">
        <v>30.017309999999998</v>
      </c>
      <c r="C82" s="149">
        <v>2004.96524</v>
      </c>
      <c r="D82" s="144">
        <v>6579.3634739422023</v>
      </c>
    </row>
    <row r="83" spans="1:4" x14ac:dyDescent="0.2">
      <c r="A83" s="142" t="s">
        <v>190</v>
      </c>
      <c r="B83" s="149">
        <v>3353.9987999999998</v>
      </c>
      <c r="C83" s="149">
        <v>57407.170279999998</v>
      </c>
      <c r="D83" s="144">
        <v>1611.6037811343283</v>
      </c>
    </row>
    <row r="84" spans="1:4" x14ac:dyDescent="0.2">
      <c r="A84" s="142" t="s">
        <v>191</v>
      </c>
      <c r="B84" s="149">
        <v>20.149999999999999</v>
      </c>
      <c r="C84" s="149">
        <v>234.66932</v>
      </c>
      <c r="D84" s="144">
        <v>1064.6120099255584</v>
      </c>
    </row>
    <row r="85" spans="1:4" x14ac:dyDescent="0.2">
      <c r="A85" s="142" t="s">
        <v>192</v>
      </c>
      <c r="B85" s="149">
        <v>685.46196999999995</v>
      </c>
      <c r="C85" s="149">
        <v>3309.44848</v>
      </c>
      <c r="D85" s="144">
        <v>382.80555666713349</v>
      </c>
    </row>
    <row r="86" spans="1:4" x14ac:dyDescent="0.2">
      <c r="A86" s="142" t="s">
        <v>193</v>
      </c>
      <c r="B86" s="149">
        <v>583.31461000000002</v>
      </c>
      <c r="C86" s="149">
        <v>1834.89546</v>
      </c>
      <c r="D86" s="144">
        <v>214.56360402150733</v>
      </c>
    </row>
    <row r="87" spans="1:4" x14ac:dyDescent="0.2">
      <c r="A87" s="142" t="s">
        <v>194</v>
      </c>
      <c r="B87" s="149">
        <v>299.07</v>
      </c>
      <c r="C87" s="149">
        <v>664.61595</v>
      </c>
      <c r="D87" s="144">
        <v>122.22755542180759</v>
      </c>
    </row>
    <row r="88" spans="1:4" x14ac:dyDescent="0.2">
      <c r="A88" s="142" t="s">
        <v>195</v>
      </c>
      <c r="B88" s="149">
        <v>1468.8248900000001</v>
      </c>
      <c r="C88" s="149">
        <v>2334.9837600000001</v>
      </c>
      <c r="D88" s="144">
        <v>58.969512015826474</v>
      </c>
    </row>
    <row r="89" spans="1:4" x14ac:dyDescent="0.2">
      <c r="A89" s="142" t="s">
        <v>196</v>
      </c>
      <c r="B89" s="149">
        <v>3193.48173</v>
      </c>
      <c r="C89" s="149">
        <v>4944.9179599999998</v>
      </c>
      <c r="D89" s="144">
        <v>54.844097385833486</v>
      </c>
    </row>
    <row r="90" spans="1:4" x14ac:dyDescent="0.2">
      <c r="A90" s="142" t="s">
        <v>197</v>
      </c>
      <c r="B90" s="149">
        <v>2400.5369300000002</v>
      </c>
      <c r="C90" s="149">
        <v>3576.5564599999998</v>
      </c>
      <c r="D90" s="144">
        <v>48.989853699105559</v>
      </c>
    </row>
    <row r="91" spans="1:4" x14ac:dyDescent="0.2">
      <c r="A91" s="142" t="s">
        <v>198</v>
      </c>
      <c r="B91" s="149">
        <v>32330.70261</v>
      </c>
      <c r="C91" s="149">
        <v>44228.252460000003</v>
      </c>
      <c r="D91" s="144">
        <v>36.799540033256328</v>
      </c>
    </row>
    <row r="92" spans="1:4" x14ac:dyDescent="0.2">
      <c r="A92" s="137"/>
      <c r="B92" s="138"/>
      <c r="C92" s="138"/>
      <c r="D92" s="13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4" style="19" bestFit="1" customWidth="1"/>
    <col min="6" max="7" width="15" style="19" bestFit="1" customWidth="1"/>
    <col min="8" max="8" width="10.5703125" style="19" bestFit="1" customWidth="1"/>
    <col min="9" max="9" width="14" style="19" bestFit="1" customWidth="1"/>
    <col min="10" max="11" width="14.28515625" style="19" bestFit="1" customWidth="1"/>
    <col min="12" max="12" width="10.5703125" style="19" bestFit="1" customWidth="1"/>
    <col min="13" max="13" width="10.7109375" style="19" bestFit="1" customWidth="1"/>
    <col min="14" max="16384" width="9.140625" style="19"/>
  </cols>
  <sheetData>
    <row r="1" spans="1:13" ht="26.25" x14ac:dyDescent="0.4">
      <c r="B1" s="155" t="s">
        <v>121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9" t="s">
        <v>112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97"/>
      <c r="B6" s="158" t="str">
        <f>SEKTOR_USD!B6</f>
        <v>1 - 31 AĞUSTOS</v>
      </c>
      <c r="C6" s="158"/>
      <c r="D6" s="158"/>
      <c r="E6" s="158"/>
      <c r="F6" s="158" t="str">
        <f>SEKTOR_USD!F6</f>
        <v>1 OCAK  -  31 AĞUSTOS</v>
      </c>
      <c r="G6" s="158"/>
      <c r="H6" s="158"/>
      <c r="I6" s="158"/>
      <c r="J6" s="158" t="s">
        <v>105</v>
      </c>
      <c r="K6" s="158"/>
      <c r="L6" s="158"/>
      <c r="M6" s="158"/>
    </row>
    <row r="7" spans="1:13" ht="30" x14ac:dyDescent="0.25">
      <c r="A7" s="98" t="s">
        <v>1</v>
      </c>
      <c r="B7" s="99">
        <f>SEKTOR_USD!B7</f>
        <v>2018</v>
      </c>
      <c r="C7" s="100">
        <f>SEKTOR_USD!C7</f>
        <v>2019</v>
      </c>
      <c r="D7" s="101" t="s">
        <v>117</v>
      </c>
      <c r="E7" s="101" t="s">
        <v>118</v>
      </c>
      <c r="F7" s="99"/>
      <c r="G7" s="100"/>
      <c r="H7" s="101" t="s">
        <v>117</v>
      </c>
      <c r="I7" s="101" t="s">
        <v>118</v>
      </c>
      <c r="J7" s="99"/>
      <c r="K7" s="99"/>
      <c r="L7" s="101" t="s">
        <v>117</v>
      </c>
      <c r="M7" s="101" t="s">
        <v>118</v>
      </c>
    </row>
    <row r="8" spans="1:13" ht="16.5" x14ac:dyDescent="0.25">
      <c r="A8" s="102" t="s">
        <v>2</v>
      </c>
      <c r="B8" s="103">
        <f>SEKTOR_USD!B8*$B$53</f>
        <v>8904284.5371384267</v>
      </c>
      <c r="C8" s="103">
        <f>SEKTOR_USD!C8*$C$53</f>
        <v>8649825.1457617003</v>
      </c>
      <c r="D8" s="104">
        <f t="shared" ref="D8:D43" si="0">(C8-B8)/B8*100</f>
        <v>-2.8577185546510178</v>
      </c>
      <c r="E8" s="104">
        <f>C8/C$44*100</f>
        <v>12.684934510180959</v>
      </c>
      <c r="F8" s="103">
        <f>SEKTOR_USD!F8*$B$54</f>
        <v>62417679.041473903</v>
      </c>
      <c r="G8" s="103">
        <f>SEKTOR_USD!G8*$C$54</f>
        <v>80422823.739911124</v>
      </c>
      <c r="H8" s="104">
        <f t="shared" ref="H8:H43" si="1">(G8-F8)/F8*100</f>
        <v>28.846225900955986</v>
      </c>
      <c r="I8" s="104">
        <f>G8/G$44*100</f>
        <v>13.240052649182319</v>
      </c>
      <c r="J8" s="103">
        <f>SEKTOR_USD!J8*$B$55</f>
        <v>92661934.007002786</v>
      </c>
      <c r="K8" s="103">
        <f>SEKTOR_USD!K8*$C$55</f>
        <v>128564353.14456262</v>
      </c>
      <c r="L8" s="104">
        <f t="shared" ref="L8:L43" si="2">(K8-J8)/J8*100</f>
        <v>38.745596584295946</v>
      </c>
      <c r="M8" s="104">
        <f>K8/K$44*100</f>
        <v>13.719171146992995</v>
      </c>
    </row>
    <row r="9" spans="1:13" s="23" customFormat="1" ht="15.75" x14ac:dyDescent="0.25">
      <c r="A9" s="105" t="s">
        <v>3</v>
      </c>
      <c r="B9" s="103">
        <f>SEKTOR_USD!B9*$B$53</f>
        <v>5624038.6102452278</v>
      </c>
      <c r="C9" s="103">
        <f>SEKTOR_USD!C9*$C$53</f>
        <v>5278561.7911275923</v>
      </c>
      <c r="D9" s="106">
        <f t="shared" si="0"/>
        <v>-6.1428600167908787</v>
      </c>
      <c r="E9" s="106">
        <f t="shared" ref="E9:E44" si="3">C9/C$44*100</f>
        <v>7.74099007784055</v>
      </c>
      <c r="F9" s="103">
        <f>SEKTOR_USD!F9*$B$54</f>
        <v>41086030.721950077</v>
      </c>
      <c r="G9" s="103">
        <f>SEKTOR_USD!G9*$C$54</f>
        <v>51019484.507194921</v>
      </c>
      <c r="H9" s="106">
        <f t="shared" si="1"/>
        <v>24.177204783955755</v>
      </c>
      <c r="I9" s="106">
        <f t="shared" ref="I9:I44" si="4">G9/G$44*100</f>
        <v>8.3993651254273765</v>
      </c>
      <c r="J9" s="103">
        <f>SEKTOR_USD!J9*$B$55</f>
        <v>62468111.707262911</v>
      </c>
      <c r="K9" s="103">
        <f>SEKTOR_USD!K9*$C$55</f>
        <v>83869475.411520153</v>
      </c>
      <c r="L9" s="106">
        <f t="shared" si="2"/>
        <v>34.259661640723152</v>
      </c>
      <c r="M9" s="106">
        <f t="shared" ref="M9:M44" si="5">K9/K$44*100</f>
        <v>8.9497567485550622</v>
      </c>
    </row>
    <row r="10" spans="1:13" ht="14.25" x14ac:dyDescent="0.2">
      <c r="A10" s="107" t="str">
        <f>SEKTOR_USD!A10</f>
        <v xml:space="preserve"> Hububat, Bakliyat, Yağlı Tohumlar ve Mamulleri </v>
      </c>
      <c r="B10" s="108">
        <f>SEKTOR_USD!B10*$B$53</f>
        <v>2884930.6428790404</v>
      </c>
      <c r="C10" s="108">
        <f>SEKTOR_USD!C10*$C$53</f>
        <v>2720456.5999760553</v>
      </c>
      <c r="D10" s="109">
        <f t="shared" si="0"/>
        <v>-5.7011437453084453</v>
      </c>
      <c r="E10" s="109">
        <f t="shared" si="3"/>
        <v>3.9895388897421444</v>
      </c>
      <c r="F10" s="108">
        <f>SEKTOR_USD!F10*$B$54</f>
        <v>18684777.465326265</v>
      </c>
      <c r="G10" s="108">
        <f>SEKTOR_USD!G10*$C$54</f>
        <v>24076375.752254877</v>
      </c>
      <c r="H10" s="109">
        <f t="shared" si="1"/>
        <v>28.85556596504248</v>
      </c>
      <c r="I10" s="109">
        <f t="shared" si="4"/>
        <v>3.9637066660612055</v>
      </c>
      <c r="J10" s="108">
        <f>SEKTOR_USD!J10*$B$55</f>
        <v>26807901.280557223</v>
      </c>
      <c r="K10" s="108">
        <f>SEKTOR_USD!K10*$C$55</f>
        <v>37954932.888231799</v>
      </c>
      <c r="L10" s="109">
        <f t="shared" si="2"/>
        <v>41.581142406545283</v>
      </c>
      <c r="M10" s="109">
        <f t="shared" si="5"/>
        <v>4.0501912655429368</v>
      </c>
    </row>
    <row r="11" spans="1:13" ht="14.25" x14ac:dyDescent="0.2">
      <c r="A11" s="107" t="str">
        <f>SEKTOR_USD!A11</f>
        <v xml:space="preserve"> Yaş Meyve ve Sebze  </v>
      </c>
      <c r="B11" s="108">
        <f>SEKTOR_USD!B11*$B$53</f>
        <v>654042.4996584662</v>
      </c>
      <c r="C11" s="108">
        <f>SEKTOR_USD!C11*$C$53</f>
        <v>621266.18756949028</v>
      </c>
      <c r="D11" s="109">
        <f t="shared" si="0"/>
        <v>-5.0113428570912975</v>
      </c>
      <c r="E11" s="109">
        <f t="shared" si="3"/>
        <v>0.91108441730411538</v>
      </c>
      <c r="F11" s="108">
        <f>SEKTOR_USD!F11*$B$54</f>
        <v>6116465.8360079397</v>
      </c>
      <c r="G11" s="108">
        <f>SEKTOR_USD!G11*$C$54</f>
        <v>6799499.1907209735</v>
      </c>
      <c r="H11" s="109">
        <f t="shared" si="1"/>
        <v>11.167124496829238</v>
      </c>
      <c r="I11" s="109">
        <f t="shared" si="4"/>
        <v>1.1194052022391443</v>
      </c>
      <c r="J11" s="108">
        <f>SEKTOR_USD!J11*$B$55</f>
        <v>10202841.728846837</v>
      </c>
      <c r="K11" s="108">
        <f>SEKTOR_USD!K11*$C$55</f>
        <v>12127488.248881707</v>
      </c>
      <c r="L11" s="109">
        <f t="shared" si="2"/>
        <v>18.863828050897354</v>
      </c>
      <c r="M11" s="109">
        <f t="shared" si="5"/>
        <v>1.2941307819786685</v>
      </c>
    </row>
    <row r="12" spans="1:13" ht="14.25" x14ac:dyDescent="0.2">
      <c r="A12" s="107" t="str">
        <f>SEKTOR_USD!A12</f>
        <v xml:space="preserve"> Meyve Sebze Mamulleri </v>
      </c>
      <c r="B12" s="108">
        <f>SEKTOR_USD!B12*$B$53</f>
        <v>656959.46909103019</v>
      </c>
      <c r="C12" s="108">
        <f>SEKTOR_USD!C12*$C$53</f>
        <v>722671.16492131248</v>
      </c>
      <c r="D12" s="109">
        <f t="shared" si="0"/>
        <v>10.002397243957995</v>
      </c>
      <c r="E12" s="109">
        <f t="shared" si="3"/>
        <v>1.0597944172218046</v>
      </c>
      <c r="F12" s="108">
        <f>SEKTOR_USD!F12*$B$54</f>
        <v>4404761.927237004</v>
      </c>
      <c r="G12" s="108">
        <f>SEKTOR_USD!G12*$C$54</f>
        <v>5526903.0645969165</v>
      </c>
      <c r="H12" s="109">
        <f t="shared" si="1"/>
        <v>25.475636501966481</v>
      </c>
      <c r="I12" s="109">
        <f t="shared" si="4"/>
        <v>0.90989701877223772</v>
      </c>
      <c r="J12" s="108">
        <f>SEKTOR_USD!J12*$B$55</f>
        <v>6332847.7599839922</v>
      </c>
      <c r="K12" s="108">
        <f>SEKTOR_USD!K12*$C$55</f>
        <v>8741944.9054575153</v>
      </c>
      <c r="L12" s="109">
        <f t="shared" si="2"/>
        <v>38.041292587137967</v>
      </c>
      <c r="M12" s="109">
        <f t="shared" si="5"/>
        <v>0.93285763418961709</v>
      </c>
    </row>
    <row r="13" spans="1:13" ht="14.25" x14ac:dyDescent="0.2">
      <c r="A13" s="107" t="str">
        <f>SEKTOR_USD!A13</f>
        <v xml:space="preserve"> Kuru Meyve ve Mamulleri  </v>
      </c>
      <c r="B13" s="108">
        <f>SEKTOR_USD!B13*$B$53</f>
        <v>534906.27314716158</v>
      </c>
      <c r="C13" s="108">
        <f>SEKTOR_USD!C13*$C$53</f>
        <v>407443.1158624746</v>
      </c>
      <c r="D13" s="109">
        <f t="shared" si="0"/>
        <v>-23.829063834818733</v>
      </c>
      <c r="E13" s="109">
        <f t="shared" si="3"/>
        <v>0.59751372475685305</v>
      </c>
      <c r="F13" s="108">
        <f>SEKTOR_USD!F13*$B$54</f>
        <v>3396476.3975053211</v>
      </c>
      <c r="G13" s="108">
        <f>SEKTOR_USD!G13*$C$54</f>
        <v>4504411.0301182121</v>
      </c>
      <c r="H13" s="109">
        <f t="shared" si="1"/>
        <v>32.620118703803101</v>
      </c>
      <c r="I13" s="109">
        <f t="shared" si="4"/>
        <v>0.74156360618715822</v>
      </c>
      <c r="J13" s="108">
        <f>SEKTOR_USD!J13*$B$55</f>
        <v>5571943.1831560032</v>
      </c>
      <c r="K13" s="108">
        <f>SEKTOR_USD!K13*$C$55</f>
        <v>8006562.1594542935</v>
      </c>
      <c r="L13" s="109">
        <f t="shared" si="2"/>
        <v>43.694253445694656</v>
      </c>
      <c r="M13" s="109">
        <f t="shared" si="5"/>
        <v>0.85438454655528984</v>
      </c>
    </row>
    <row r="14" spans="1:13" ht="14.25" x14ac:dyDescent="0.2">
      <c r="A14" s="107" t="str">
        <f>SEKTOR_USD!A14</f>
        <v xml:space="preserve"> Fındık ve Mamulleri </v>
      </c>
      <c r="B14" s="108">
        <f>SEKTOR_USD!B14*$B$53</f>
        <v>375052.65058729309</v>
      </c>
      <c r="C14" s="108">
        <f>SEKTOR_USD!C14*$C$53</f>
        <v>379703.65215725644</v>
      </c>
      <c r="D14" s="109">
        <f t="shared" si="0"/>
        <v>1.2400929743278366</v>
      </c>
      <c r="E14" s="109">
        <f t="shared" si="3"/>
        <v>0.55683391048099484</v>
      </c>
      <c r="F14" s="108">
        <f>SEKTOR_USD!F14*$B$54</f>
        <v>4315740.1624337127</v>
      </c>
      <c r="G14" s="108">
        <f>SEKTOR_USD!G14*$C$54</f>
        <v>5402409.2488659229</v>
      </c>
      <c r="H14" s="109">
        <f t="shared" si="1"/>
        <v>25.179205548357679</v>
      </c>
      <c r="I14" s="109">
        <f t="shared" si="4"/>
        <v>0.88940153505101693</v>
      </c>
      <c r="J14" s="108">
        <f>SEKTOR_USD!J14*$B$55</f>
        <v>7419417.5094596846</v>
      </c>
      <c r="K14" s="108">
        <f>SEKTOR_USD!K14*$C$55</f>
        <v>9119316.3439440485</v>
      </c>
      <c r="L14" s="109">
        <f t="shared" si="2"/>
        <v>22.911486411392936</v>
      </c>
      <c r="M14" s="109">
        <f t="shared" si="5"/>
        <v>0.97312714299165826</v>
      </c>
    </row>
    <row r="15" spans="1:13" ht="14.25" x14ac:dyDescent="0.2">
      <c r="A15" s="107" t="str">
        <f>SEKTOR_USD!A15</f>
        <v xml:space="preserve"> Zeytin ve Zeytinyağı </v>
      </c>
      <c r="B15" s="108">
        <f>SEKTOR_USD!B15*$B$53</f>
        <v>98952.785515208292</v>
      </c>
      <c r="C15" s="108">
        <f>SEKTOR_USD!C15*$C$53</f>
        <v>93319.855725228685</v>
      </c>
      <c r="D15" s="109">
        <f t="shared" si="0"/>
        <v>-5.6925429240330674</v>
      </c>
      <c r="E15" s="109">
        <f t="shared" si="3"/>
        <v>0.13685320089436565</v>
      </c>
      <c r="F15" s="108">
        <f>SEKTOR_USD!F15*$B$54</f>
        <v>1218744.085543534</v>
      </c>
      <c r="G15" s="108">
        <f>SEKTOR_USD!G15*$C$54</f>
        <v>1081757.0794439693</v>
      </c>
      <c r="H15" s="109">
        <f t="shared" si="1"/>
        <v>-11.240014021358014</v>
      </c>
      <c r="I15" s="109">
        <f t="shared" si="4"/>
        <v>0.17809024875554166</v>
      </c>
      <c r="J15" s="108">
        <f>SEKTOR_USD!J15*$B$55</f>
        <v>1640189.9759253499</v>
      </c>
      <c r="K15" s="108">
        <f>SEKTOR_USD!K15*$C$55</f>
        <v>1780189.3087140175</v>
      </c>
      <c r="L15" s="109">
        <f t="shared" si="2"/>
        <v>8.5355559321525476</v>
      </c>
      <c r="M15" s="109">
        <f t="shared" si="5"/>
        <v>0.18996495687131038</v>
      </c>
    </row>
    <row r="16" spans="1:13" ht="14.25" x14ac:dyDescent="0.2">
      <c r="A16" s="107" t="str">
        <f>SEKTOR_USD!A16</f>
        <v xml:space="preserve"> Tütün </v>
      </c>
      <c r="B16" s="108">
        <f>SEKTOR_USD!B16*$B$53</f>
        <v>391804.63486849109</v>
      </c>
      <c r="C16" s="108">
        <f>SEKTOR_USD!C16*$C$53</f>
        <v>299544.59934890462</v>
      </c>
      <c r="D16" s="109">
        <f t="shared" si="0"/>
        <v>-23.547458939722212</v>
      </c>
      <c r="E16" s="109">
        <f t="shared" si="3"/>
        <v>0.43928097523232057</v>
      </c>
      <c r="F16" s="108">
        <f>SEKTOR_USD!F16*$B$54</f>
        <v>2623214.1449479382</v>
      </c>
      <c r="G16" s="108">
        <f>SEKTOR_USD!G16*$C$54</f>
        <v>3206161.8494892996</v>
      </c>
      <c r="H16" s="109">
        <f t="shared" si="1"/>
        <v>22.222650242415909</v>
      </c>
      <c r="I16" s="109">
        <f t="shared" si="4"/>
        <v>0.52783214658467292</v>
      </c>
      <c r="J16" s="108">
        <f>SEKTOR_USD!J16*$B$55</f>
        <v>4077193.2976544653</v>
      </c>
      <c r="K16" s="108">
        <f>SEKTOR_USD!K16*$C$55</f>
        <v>5572267.1214859337</v>
      </c>
      <c r="L16" s="109">
        <f t="shared" si="2"/>
        <v>36.669191639541765</v>
      </c>
      <c r="M16" s="109">
        <f t="shared" si="5"/>
        <v>0.59461961614249137</v>
      </c>
    </row>
    <row r="17" spans="1:13" ht="14.25" x14ac:dyDescent="0.2">
      <c r="A17" s="107" t="str">
        <f>SEKTOR_USD!A17</f>
        <v xml:space="preserve"> Süs Bitkileri ve Mam.</v>
      </c>
      <c r="B17" s="108">
        <f>SEKTOR_USD!B17*$B$53</f>
        <v>27389.654498538046</v>
      </c>
      <c r="C17" s="108">
        <f>SEKTOR_USD!C17*$C$53</f>
        <v>34156.615566869805</v>
      </c>
      <c r="D17" s="109">
        <f t="shared" si="0"/>
        <v>24.706266625937005</v>
      </c>
      <c r="E17" s="109">
        <f t="shared" si="3"/>
        <v>5.0090542207950832E-2</v>
      </c>
      <c r="F17" s="108">
        <f>SEKTOR_USD!F17*$B$54</f>
        <v>325850.70294835535</v>
      </c>
      <c r="G17" s="108">
        <f>SEKTOR_USD!G17*$C$54</f>
        <v>421967.29170475132</v>
      </c>
      <c r="H17" s="109">
        <f t="shared" si="1"/>
        <v>29.49712487550768</v>
      </c>
      <c r="I17" s="109">
        <f t="shared" si="4"/>
        <v>6.9468701776398925E-2</v>
      </c>
      <c r="J17" s="108">
        <f>SEKTOR_USD!J17*$B$55</f>
        <v>415776.97167935653</v>
      </c>
      <c r="K17" s="108">
        <f>SEKTOR_USD!K17*$C$55</f>
        <v>566774.43535084114</v>
      </c>
      <c r="L17" s="109">
        <f t="shared" si="2"/>
        <v>36.316937674925512</v>
      </c>
      <c r="M17" s="109">
        <f t="shared" si="5"/>
        <v>6.0480804283091154E-2</v>
      </c>
    </row>
    <row r="18" spans="1:13" s="23" customFormat="1" ht="15.75" x14ac:dyDescent="0.25">
      <c r="A18" s="105" t="s">
        <v>12</v>
      </c>
      <c r="B18" s="103">
        <f>SEKTOR_USD!B18*$B$53</f>
        <v>1132446.304229432</v>
      </c>
      <c r="C18" s="103">
        <f>SEKTOR_USD!C18*$C$53</f>
        <v>1035365.8677974106</v>
      </c>
      <c r="D18" s="106">
        <f t="shared" si="0"/>
        <v>-8.5726304257824726</v>
      </c>
      <c r="E18" s="106">
        <f t="shared" si="3"/>
        <v>1.5183599674869839</v>
      </c>
      <c r="F18" s="103">
        <f>SEKTOR_USD!F18*$B$54</f>
        <v>7150763.3895195294</v>
      </c>
      <c r="G18" s="103">
        <f>SEKTOR_USD!G18*$C$54</f>
        <v>9475007.1456864141</v>
      </c>
      <c r="H18" s="106">
        <f t="shared" si="1"/>
        <v>32.503435361508366</v>
      </c>
      <c r="I18" s="106">
        <f t="shared" si="4"/>
        <v>1.5598755132743545</v>
      </c>
      <c r="J18" s="103">
        <f>SEKTOR_USD!J18*$B$55</f>
        <v>10195803.451934243</v>
      </c>
      <c r="K18" s="103">
        <f>SEKTOR_USD!K18*$C$55</f>
        <v>14531244.396202058</v>
      </c>
      <c r="L18" s="106">
        <f t="shared" si="2"/>
        <v>42.521817576282714</v>
      </c>
      <c r="M18" s="106">
        <f t="shared" si="5"/>
        <v>1.5506368909748629</v>
      </c>
    </row>
    <row r="19" spans="1:13" ht="14.25" x14ac:dyDescent="0.2">
      <c r="A19" s="107" t="str">
        <f>SEKTOR_USD!A19</f>
        <v xml:space="preserve"> Su Ürünleri ve Hayvansal Mamuller</v>
      </c>
      <c r="B19" s="108">
        <f>SEKTOR_USD!B19*$B$53</f>
        <v>1132446.304229432</v>
      </c>
      <c r="C19" s="108">
        <f>SEKTOR_USD!C19*$C$53</f>
        <v>1035365.8677974106</v>
      </c>
      <c r="D19" s="109">
        <f t="shared" si="0"/>
        <v>-8.5726304257824726</v>
      </c>
      <c r="E19" s="109">
        <f t="shared" si="3"/>
        <v>1.5183599674869839</v>
      </c>
      <c r="F19" s="108">
        <f>SEKTOR_USD!F19*$B$54</f>
        <v>7150763.3895195294</v>
      </c>
      <c r="G19" s="108">
        <f>SEKTOR_USD!G19*$C$54</f>
        <v>9475007.1456864141</v>
      </c>
      <c r="H19" s="109">
        <f t="shared" si="1"/>
        <v>32.503435361508366</v>
      </c>
      <c r="I19" s="109">
        <f t="shared" si="4"/>
        <v>1.5598755132743545</v>
      </c>
      <c r="J19" s="108">
        <f>SEKTOR_USD!J19*$B$55</f>
        <v>10195803.451934243</v>
      </c>
      <c r="K19" s="108">
        <f>SEKTOR_USD!K19*$C$55</f>
        <v>14531244.396202058</v>
      </c>
      <c r="L19" s="109">
        <f t="shared" si="2"/>
        <v>42.521817576282714</v>
      </c>
      <c r="M19" s="109">
        <f t="shared" si="5"/>
        <v>1.5506368909748629</v>
      </c>
    </row>
    <row r="20" spans="1:13" s="23" customFormat="1" ht="15.75" x14ac:dyDescent="0.25">
      <c r="A20" s="105" t="s">
        <v>110</v>
      </c>
      <c r="B20" s="103">
        <f>SEKTOR_USD!B20*$B$53</f>
        <v>2147799.6226637666</v>
      </c>
      <c r="C20" s="103">
        <f>SEKTOR_USD!C20*$C$53</f>
        <v>2335897.4868366974</v>
      </c>
      <c r="D20" s="106">
        <f t="shared" si="0"/>
        <v>8.7577007737642738</v>
      </c>
      <c r="E20" s="106">
        <f t="shared" si="3"/>
        <v>3.4255844648534253</v>
      </c>
      <c r="F20" s="103">
        <f>SEKTOR_USD!F20*$B$54</f>
        <v>14180884.930004301</v>
      </c>
      <c r="G20" s="103">
        <f>SEKTOR_USD!G20*$C$54</f>
        <v>19928332.087029792</v>
      </c>
      <c r="H20" s="106">
        <f t="shared" si="1"/>
        <v>40.529538074629514</v>
      </c>
      <c r="I20" s="106">
        <f t="shared" si="4"/>
        <v>3.280812010480588</v>
      </c>
      <c r="J20" s="103">
        <f>SEKTOR_USD!J20*$B$55</f>
        <v>19998018.847805627</v>
      </c>
      <c r="K20" s="103">
        <f>SEKTOR_USD!K20*$C$55</f>
        <v>30163633.33684041</v>
      </c>
      <c r="L20" s="106">
        <f t="shared" si="2"/>
        <v>50.833107851332237</v>
      </c>
      <c r="M20" s="106">
        <f t="shared" si="5"/>
        <v>3.2187775074630687</v>
      </c>
    </row>
    <row r="21" spans="1:13" ht="14.25" x14ac:dyDescent="0.2">
      <c r="A21" s="107" t="str">
        <f>SEKTOR_USD!A21</f>
        <v xml:space="preserve"> Mobilya,Kağıt ve Orman Ürünleri</v>
      </c>
      <c r="B21" s="108">
        <f>SEKTOR_USD!B21*$B$53</f>
        <v>2147799.6226637666</v>
      </c>
      <c r="C21" s="108">
        <f>SEKTOR_USD!C21*$C$53</f>
        <v>2335897.4868366974</v>
      </c>
      <c r="D21" s="109">
        <f t="shared" si="0"/>
        <v>8.7577007737642738</v>
      </c>
      <c r="E21" s="109">
        <f t="shared" si="3"/>
        <v>3.4255844648534253</v>
      </c>
      <c r="F21" s="108">
        <f>SEKTOR_USD!F21*$B$54</f>
        <v>14180884.930004301</v>
      </c>
      <c r="G21" s="108">
        <f>SEKTOR_USD!G21*$C$54</f>
        <v>19928332.087029792</v>
      </c>
      <c r="H21" s="109">
        <f t="shared" si="1"/>
        <v>40.529538074629514</v>
      </c>
      <c r="I21" s="109">
        <f t="shared" si="4"/>
        <v>3.280812010480588</v>
      </c>
      <c r="J21" s="108">
        <f>SEKTOR_USD!J21*$B$55</f>
        <v>19998018.847805627</v>
      </c>
      <c r="K21" s="108">
        <f>SEKTOR_USD!K21*$C$55</f>
        <v>30163633.33684041</v>
      </c>
      <c r="L21" s="109">
        <f t="shared" si="2"/>
        <v>50.833107851332237</v>
      </c>
      <c r="M21" s="109">
        <f t="shared" si="5"/>
        <v>3.2187775074630687</v>
      </c>
    </row>
    <row r="22" spans="1:13" ht="16.5" x14ac:dyDescent="0.25">
      <c r="A22" s="102" t="s">
        <v>14</v>
      </c>
      <c r="B22" s="103">
        <f>SEKTOR_USD!B22*$B$53</f>
        <v>59470768.523693383</v>
      </c>
      <c r="C22" s="103">
        <f>SEKTOR_USD!C22*$C$53</f>
        <v>57620644.484479487</v>
      </c>
      <c r="D22" s="106">
        <f t="shared" si="0"/>
        <v>-3.1109805458068016</v>
      </c>
      <c r="E22" s="106">
        <f t="shared" si="3"/>
        <v>84.500448205959415</v>
      </c>
      <c r="F22" s="103">
        <f>SEKTOR_USD!F22*$B$54</f>
        <v>389247952.63888383</v>
      </c>
      <c r="G22" s="103">
        <f>SEKTOR_USD!G22*$C$54</f>
        <v>510954204.03033465</v>
      </c>
      <c r="H22" s="106">
        <f t="shared" si="1"/>
        <v>31.267024159369466</v>
      </c>
      <c r="I22" s="106">
        <f t="shared" si="4"/>
        <v>84.118664927272434</v>
      </c>
      <c r="J22" s="103">
        <f>SEKTOR_USD!J22*$B$55</f>
        <v>545569921.76627636</v>
      </c>
      <c r="K22" s="103">
        <f>SEKTOR_USD!K22*$C$55</f>
        <v>783648842.97105372</v>
      </c>
      <c r="L22" s="106">
        <f t="shared" si="2"/>
        <v>43.638571648891414</v>
      </c>
      <c r="M22" s="106">
        <f t="shared" si="5"/>
        <v>83.623588754606644</v>
      </c>
    </row>
    <row r="23" spans="1:13" s="23" customFormat="1" ht="15.75" x14ac:dyDescent="0.25">
      <c r="A23" s="105" t="s">
        <v>15</v>
      </c>
      <c r="B23" s="103">
        <f>SEKTOR_USD!B23*$B$53</f>
        <v>5398664.6129834624</v>
      </c>
      <c r="C23" s="103">
        <f>SEKTOR_USD!C23*$C$53</f>
        <v>4984967.7185648298</v>
      </c>
      <c r="D23" s="106">
        <f t="shared" si="0"/>
        <v>-7.6629486007283463</v>
      </c>
      <c r="E23" s="106">
        <f t="shared" si="3"/>
        <v>7.3104355267048211</v>
      </c>
      <c r="F23" s="103">
        <f>SEKTOR_USD!F23*$B$54</f>
        <v>36073761.076403014</v>
      </c>
      <c r="G23" s="103">
        <f>SEKTOR_USD!G23*$C$54</f>
        <v>44908029.297829874</v>
      </c>
      <c r="H23" s="106">
        <f t="shared" si="1"/>
        <v>24.489457039747467</v>
      </c>
      <c r="I23" s="106">
        <f t="shared" si="4"/>
        <v>7.3932329732314201</v>
      </c>
      <c r="J23" s="103">
        <f>SEKTOR_USD!J23*$B$55</f>
        <v>51316329.11694061</v>
      </c>
      <c r="K23" s="103">
        <f>SEKTOR_USD!K23*$C$55</f>
        <v>68933948.305744052</v>
      </c>
      <c r="L23" s="106">
        <f t="shared" si="2"/>
        <v>34.331409693503375</v>
      </c>
      <c r="M23" s="106">
        <f t="shared" si="5"/>
        <v>7.355978632592433</v>
      </c>
    </row>
    <row r="24" spans="1:13" ht="14.25" x14ac:dyDescent="0.2">
      <c r="A24" s="107" t="str">
        <f>SEKTOR_USD!A24</f>
        <v xml:space="preserve"> Tekstil ve Hammaddeleri</v>
      </c>
      <c r="B24" s="108">
        <f>SEKTOR_USD!B24*$B$53</f>
        <v>3626396.590664105</v>
      </c>
      <c r="C24" s="108">
        <f>SEKTOR_USD!C24*$C$53</f>
        <v>3236066.2405182132</v>
      </c>
      <c r="D24" s="109">
        <f t="shared" si="0"/>
        <v>-10.763586948839764</v>
      </c>
      <c r="E24" s="109">
        <f t="shared" si="3"/>
        <v>4.7456783969436245</v>
      </c>
      <c r="F24" s="108">
        <f>SEKTOR_USD!F24*$B$54</f>
        <v>24699768.805018459</v>
      </c>
      <c r="G24" s="108">
        <f>SEKTOR_USD!G24*$C$54</f>
        <v>29666884.359075028</v>
      </c>
      <c r="H24" s="109">
        <f t="shared" si="1"/>
        <v>20.109967802805343</v>
      </c>
      <c r="I24" s="109">
        <f t="shared" si="4"/>
        <v>4.8840750993977835</v>
      </c>
      <c r="J24" s="108">
        <f>SEKTOR_USD!J24*$B$55</f>
        <v>35185498.94017981</v>
      </c>
      <c r="K24" s="108">
        <f>SEKTOR_USD!K24*$C$55</f>
        <v>45902146.610818528</v>
      </c>
      <c r="L24" s="109">
        <f t="shared" si="2"/>
        <v>30.457569150457392</v>
      </c>
      <c r="M24" s="109">
        <f t="shared" si="5"/>
        <v>4.8982427085374205</v>
      </c>
    </row>
    <row r="25" spans="1:13" ht="14.25" x14ac:dyDescent="0.2">
      <c r="A25" s="107" t="str">
        <f>SEKTOR_USD!A25</f>
        <v xml:space="preserve"> Deri ve Deri Mamulleri </v>
      </c>
      <c r="B25" s="108">
        <f>SEKTOR_USD!B25*$B$53</f>
        <v>839746.83155850507</v>
      </c>
      <c r="C25" s="108">
        <f>SEKTOR_USD!C25*$C$53</f>
        <v>762645.87445062934</v>
      </c>
      <c r="D25" s="109">
        <f t="shared" si="0"/>
        <v>-9.181452577175234</v>
      </c>
      <c r="E25" s="109">
        <f t="shared" si="3"/>
        <v>1.1184171713119668</v>
      </c>
      <c r="F25" s="108">
        <f>SEKTOR_USD!F25*$B$54</f>
        <v>5034729.7130015558</v>
      </c>
      <c r="G25" s="108">
        <f>SEKTOR_USD!G25*$C$54</f>
        <v>6378988.4140559705</v>
      </c>
      <c r="H25" s="109">
        <f t="shared" si="1"/>
        <v>26.699719303362716</v>
      </c>
      <c r="I25" s="109">
        <f t="shared" si="4"/>
        <v>1.0501762873157032</v>
      </c>
      <c r="J25" s="108">
        <f>SEKTOR_USD!J25*$B$55</f>
        <v>6811875.9500216171</v>
      </c>
      <c r="K25" s="108">
        <f>SEKTOR_USD!K25*$C$55</f>
        <v>9461620.1633934099</v>
      </c>
      <c r="L25" s="109">
        <f t="shared" si="2"/>
        <v>38.898891183762444</v>
      </c>
      <c r="M25" s="109">
        <f t="shared" si="5"/>
        <v>1.0096545673393287</v>
      </c>
    </row>
    <row r="26" spans="1:13" ht="14.25" x14ac:dyDescent="0.2">
      <c r="A26" s="107" t="str">
        <f>SEKTOR_USD!A26</f>
        <v xml:space="preserve"> Halı </v>
      </c>
      <c r="B26" s="108">
        <f>SEKTOR_USD!B26*$B$53</f>
        <v>932521.19076085219</v>
      </c>
      <c r="C26" s="108">
        <f>SEKTOR_USD!C26*$C$53</f>
        <v>986255.60359598708</v>
      </c>
      <c r="D26" s="109">
        <f t="shared" si="0"/>
        <v>5.7622725754138102</v>
      </c>
      <c r="E26" s="109">
        <f t="shared" si="3"/>
        <v>1.4463399584492307</v>
      </c>
      <c r="F26" s="108">
        <f>SEKTOR_USD!F26*$B$54</f>
        <v>6339262.5583829964</v>
      </c>
      <c r="G26" s="108">
        <f>SEKTOR_USD!G26*$C$54</f>
        <v>8862156.5246988721</v>
      </c>
      <c r="H26" s="109">
        <f t="shared" si="1"/>
        <v>39.797909347982731</v>
      </c>
      <c r="I26" s="109">
        <f t="shared" si="4"/>
        <v>1.4589815865179336</v>
      </c>
      <c r="J26" s="108">
        <f>SEKTOR_USD!J26*$B$55</f>
        <v>9318954.2267391868</v>
      </c>
      <c r="K26" s="108">
        <f>SEKTOR_USD!K26*$C$55</f>
        <v>13570181.531532124</v>
      </c>
      <c r="L26" s="109">
        <f t="shared" si="2"/>
        <v>45.619145682621216</v>
      </c>
      <c r="M26" s="109">
        <f t="shared" si="5"/>
        <v>1.4480813567156854</v>
      </c>
    </row>
    <row r="27" spans="1:13" s="23" customFormat="1" ht="15.75" x14ac:dyDescent="0.25">
      <c r="A27" s="105" t="s">
        <v>19</v>
      </c>
      <c r="B27" s="103">
        <f>SEKTOR_USD!B27*$B$53</f>
        <v>8090386.3861490907</v>
      </c>
      <c r="C27" s="103">
        <f>SEKTOR_USD!C27*$C$53</f>
        <v>9222036.7798831351</v>
      </c>
      <c r="D27" s="106">
        <f t="shared" si="0"/>
        <v>13.987593913579374</v>
      </c>
      <c r="E27" s="106">
        <f t="shared" si="3"/>
        <v>13.524080618047726</v>
      </c>
      <c r="F27" s="103">
        <f>SEKTOR_USD!F27*$B$54</f>
        <v>49476403.060456522</v>
      </c>
      <c r="G27" s="103">
        <f>SEKTOR_USD!G27*$C$54</f>
        <v>75302864.482410088</v>
      </c>
      <c r="H27" s="106">
        <f t="shared" si="1"/>
        <v>52.19955337172658</v>
      </c>
      <c r="I27" s="106">
        <f t="shared" si="4"/>
        <v>12.39715100784961</v>
      </c>
      <c r="J27" s="103">
        <f>SEKTOR_USD!J27*$B$55</f>
        <v>69862163.848551944</v>
      </c>
      <c r="K27" s="103">
        <f>SEKTOR_USD!K27*$C$55</f>
        <v>110210543.43890305</v>
      </c>
      <c r="L27" s="106">
        <f t="shared" si="2"/>
        <v>57.754265496011278</v>
      </c>
      <c r="M27" s="106">
        <f t="shared" si="5"/>
        <v>11.760626259607667</v>
      </c>
    </row>
    <row r="28" spans="1:13" ht="14.25" x14ac:dyDescent="0.2">
      <c r="A28" s="107" t="str">
        <f>SEKTOR_USD!A28</f>
        <v xml:space="preserve"> Kimyevi Maddeler ve Mamulleri  </v>
      </c>
      <c r="B28" s="108">
        <f>SEKTOR_USD!B28*$B$53</f>
        <v>8090386.3861490907</v>
      </c>
      <c r="C28" s="108">
        <f>SEKTOR_USD!C28*$C$53</f>
        <v>9222036.7798831351</v>
      </c>
      <c r="D28" s="109">
        <f t="shared" si="0"/>
        <v>13.987593913579374</v>
      </c>
      <c r="E28" s="109">
        <f t="shared" si="3"/>
        <v>13.524080618047726</v>
      </c>
      <c r="F28" s="108">
        <f>SEKTOR_USD!F28*$B$54</f>
        <v>49476403.060456522</v>
      </c>
      <c r="G28" s="108">
        <f>SEKTOR_USD!G28*$C$54</f>
        <v>75302864.482410088</v>
      </c>
      <c r="H28" s="109">
        <f t="shared" si="1"/>
        <v>52.19955337172658</v>
      </c>
      <c r="I28" s="109">
        <f t="shared" si="4"/>
        <v>12.39715100784961</v>
      </c>
      <c r="J28" s="108">
        <f>SEKTOR_USD!J28*$B$55</f>
        <v>69862163.848551944</v>
      </c>
      <c r="K28" s="108">
        <f>SEKTOR_USD!K28*$C$55</f>
        <v>110210543.43890305</v>
      </c>
      <c r="L28" s="109">
        <f t="shared" si="2"/>
        <v>57.754265496011278</v>
      </c>
      <c r="M28" s="109">
        <f t="shared" si="5"/>
        <v>11.760626259607667</v>
      </c>
    </row>
    <row r="29" spans="1:13" s="23" customFormat="1" ht="15.75" x14ac:dyDescent="0.25">
      <c r="A29" s="105" t="s">
        <v>21</v>
      </c>
      <c r="B29" s="103">
        <f>SEKTOR_USD!B29*$B$53</f>
        <v>45981717.524560831</v>
      </c>
      <c r="C29" s="103">
        <f>SEKTOR_USD!C29*$C$53</f>
        <v>43413639.986031525</v>
      </c>
      <c r="D29" s="106">
        <f t="shared" si="0"/>
        <v>-5.5849969874604728</v>
      </c>
      <c r="E29" s="106">
        <f t="shared" si="3"/>
        <v>63.665932061206874</v>
      </c>
      <c r="F29" s="103">
        <f>SEKTOR_USD!F29*$B$54</f>
        <v>303697788.50202429</v>
      </c>
      <c r="G29" s="103">
        <f>SEKTOR_USD!G29*$C$54</f>
        <v>390743310.25009465</v>
      </c>
      <c r="H29" s="106">
        <f t="shared" si="1"/>
        <v>28.661888575948641</v>
      </c>
      <c r="I29" s="106">
        <f t="shared" si="4"/>
        <v>64.328280946191398</v>
      </c>
      <c r="J29" s="103">
        <f>SEKTOR_USD!J29*$B$55</f>
        <v>424391428.80078387</v>
      </c>
      <c r="K29" s="103">
        <f>SEKTOR_USD!K29*$C$55</f>
        <v>604504351.22640657</v>
      </c>
      <c r="L29" s="106">
        <f t="shared" si="2"/>
        <v>42.440282767862072</v>
      </c>
      <c r="M29" s="106">
        <f t="shared" si="5"/>
        <v>64.506983862406543</v>
      </c>
    </row>
    <row r="30" spans="1:13" ht="14.25" x14ac:dyDescent="0.2">
      <c r="A30" s="107" t="str">
        <f>SEKTOR_USD!A30</f>
        <v xml:space="preserve"> Hazırgiyim ve Konfeksiyon </v>
      </c>
      <c r="B30" s="108">
        <f>SEKTOR_USD!B30*$B$53</f>
        <v>8157303.1109519461</v>
      </c>
      <c r="C30" s="108">
        <f>SEKTOR_USD!C30*$C$53</f>
        <v>7906110.911711094</v>
      </c>
      <c r="D30" s="109">
        <f t="shared" si="0"/>
        <v>-3.0793535047582457</v>
      </c>
      <c r="E30" s="109">
        <f t="shared" si="3"/>
        <v>11.594280514956113</v>
      </c>
      <c r="F30" s="108">
        <f>SEKTOR_USD!F30*$B$54</f>
        <v>51826029.352133103</v>
      </c>
      <c r="G30" s="108">
        <f>SEKTOR_USD!G30*$C$54</f>
        <v>66434962.489319734</v>
      </c>
      <c r="H30" s="109">
        <f t="shared" si="1"/>
        <v>28.188409028841306</v>
      </c>
      <c r="I30" s="109">
        <f t="shared" si="4"/>
        <v>10.937223541785798</v>
      </c>
      <c r="J30" s="108">
        <f>SEKTOR_USD!J30*$B$55</f>
        <v>72896974.117313132</v>
      </c>
      <c r="K30" s="108">
        <f>SEKTOR_USD!K30*$C$55</f>
        <v>99864944.554402262</v>
      </c>
      <c r="L30" s="109">
        <f t="shared" si="2"/>
        <v>36.994636284476726</v>
      </c>
      <c r="M30" s="109">
        <f t="shared" si="5"/>
        <v>10.656641848353242</v>
      </c>
    </row>
    <row r="31" spans="1:13" ht="14.25" x14ac:dyDescent="0.2">
      <c r="A31" s="107" t="str">
        <f>SEKTOR_USD!A31</f>
        <v xml:space="preserve"> Otomotiv Endüstrisi</v>
      </c>
      <c r="B31" s="108">
        <f>SEKTOR_USD!B31*$B$53</f>
        <v>9465436.4616238587</v>
      </c>
      <c r="C31" s="108">
        <f>SEKTOR_USD!C31*$C$53</f>
        <v>9829606.7636414133</v>
      </c>
      <c r="D31" s="109">
        <f t="shared" si="0"/>
        <v>3.8473693579163153</v>
      </c>
      <c r="E31" s="109">
        <f t="shared" si="3"/>
        <v>14.415079606403205</v>
      </c>
      <c r="F31" s="108">
        <f>SEKTOR_USD!F31*$B$54</f>
        <v>91536182.643904999</v>
      </c>
      <c r="G31" s="108">
        <f>SEKTOR_USD!G31*$C$54</f>
        <v>112404845.27708365</v>
      </c>
      <c r="H31" s="109">
        <f t="shared" si="1"/>
        <v>22.798266248836416</v>
      </c>
      <c r="I31" s="109">
        <f t="shared" si="4"/>
        <v>18.505270025146032</v>
      </c>
      <c r="J31" s="108">
        <f>SEKTOR_USD!J31*$B$55</f>
        <v>128164615.73622404</v>
      </c>
      <c r="K31" s="108">
        <f>SEKTOR_USD!K31*$C$55</f>
        <v>173846173.95413175</v>
      </c>
      <c r="L31" s="109">
        <f t="shared" si="2"/>
        <v>35.642878461809659</v>
      </c>
      <c r="M31" s="109">
        <f t="shared" si="5"/>
        <v>18.551218556241921</v>
      </c>
    </row>
    <row r="32" spans="1:13" ht="14.25" x14ac:dyDescent="0.2">
      <c r="A32" s="107" t="str">
        <f>SEKTOR_USD!A32</f>
        <v xml:space="preserve"> Gemi ve Yat</v>
      </c>
      <c r="B32" s="108">
        <f>SEKTOR_USD!B32*$B$53</f>
        <v>563139.65444473887</v>
      </c>
      <c r="C32" s="108">
        <f>SEKTOR_USD!C32*$C$53</f>
        <v>618847.03560788813</v>
      </c>
      <c r="D32" s="109">
        <f t="shared" si="0"/>
        <v>9.8922852836704021</v>
      </c>
      <c r="E32" s="109">
        <f t="shared" si="3"/>
        <v>0.90753674047990407</v>
      </c>
      <c r="F32" s="108">
        <f>SEKTOR_USD!F32*$B$54</f>
        <v>3248697.9477980402</v>
      </c>
      <c r="G32" s="108">
        <f>SEKTOR_USD!G32*$C$54</f>
        <v>3884220.9079593332</v>
      </c>
      <c r="H32" s="109">
        <f t="shared" si="1"/>
        <v>19.56238992892672</v>
      </c>
      <c r="I32" s="109">
        <f t="shared" si="4"/>
        <v>0.63946137341251674</v>
      </c>
      <c r="J32" s="108">
        <f>SEKTOR_USD!J32*$B$55</f>
        <v>4909071.336892195</v>
      </c>
      <c r="K32" s="108">
        <f>SEKTOR_USD!K32*$C$55</f>
        <v>5330096.6784952786</v>
      </c>
      <c r="L32" s="109">
        <f t="shared" si="2"/>
        <v>8.5764763375718971</v>
      </c>
      <c r="M32" s="109">
        <f t="shared" si="5"/>
        <v>0.56877747815579693</v>
      </c>
    </row>
    <row r="33" spans="1:13" ht="14.25" x14ac:dyDescent="0.2">
      <c r="A33" s="107" t="str">
        <f>SEKTOR_USD!A33</f>
        <v xml:space="preserve"> Elektrik Elektronik</v>
      </c>
      <c r="B33" s="108">
        <f>SEKTOR_USD!B33*$B$53</f>
        <v>4714998.6089039082</v>
      </c>
      <c r="C33" s="108">
        <f>SEKTOR_USD!C33*$C$53</f>
        <v>4796549.2032420244</v>
      </c>
      <c r="D33" s="109">
        <f t="shared" si="0"/>
        <v>1.7295995418559462</v>
      </c>
      <c r="E33" s="109">
        <f t="shared" si="3"/>
        <v>7.0341205160428526</v>
      </c>
      <c r="F33" s="108">
        <f>SEKTOR_USD!F33*$B$54</f>
        <v>31433833.167118818</v>
      </c>
      <c r="G33" s="108">
        <f>SEKTOR_USD!G33*$C$54</f>
        <v>40403194.096912585</v>
      </c>
      <c r="H33" s="109">
        <f t="shared" si="1"/>
        <v>28.534098536783343</v>
      </c>
      <c r="I33" s="109">
        <f t="shared" si="4"/>
        <v>6.6515995355778843</v>
      </c>
      <c r="J33" s="108">
        <f>SEKTOR_USD!J33*$B$55</f>
        <v>46395312.480781391</v>
      </c>
      <c r="K33" s="108">
        <f>SEKTOR_USD!K33*$C$55</f>
        <v>64138756.968989365</v>
      </c>
      <c r="L33" s="109">
        <f t="shared" si="2"/>
        <v>38.244045657754647</v>
      </c>
      <c r="M33" s="109">
        <f t="shared" si="5"/>
        <v>6.8442811906308698</v>
      </c>
    </row>
    <row r="34" spans="1:13" ht="14.25" x14ac:dyDescent="0.2">
      <c r="A34" s="107" t="str">
        <f>SEKTOR_USD!A34</f>
        <v xml:space="preserve"> Makine ve Aksamları</v>
      </c>
      <c r="B34" s="108">
        <f>SEKTOR_USD!B34*$B$53</f>
        <v>3242484.9827068867</v>
      </c>
      <c r="C34" s="108">
        <f>SEKTOR_USD!C34*$C$53</f>
        <v>3245042.8877055799</v>
      </c>
      <c r="D34" s="109">
        <f t="shared" si="0"/>
        <v>7.8887181045870655E-2</v>
      </c>
      <c r="E34" s="109">
        <f t="shared" si="3"/>
        <v>4.7588426146906775</v>
      </c>
      <c r="F34" s="108">
        <f>SEKTOR_USD!F34*$B$54</f>
        <v>20383304.911575064</v>
      </c>
      <c r="G34" s="108">
        <f>SEKTOR_USD!G34*$C$54</f>
        <v>28484566.553810805</v>
      </c>
      <c r="H34" s="109">
        <f t="shared" si="1"/>
        <v>39.744593319777493</v>
      </c>
      <c r="I34" s="109">
        <f t="shared" si="4"/>
        <v>4.6894294843620665</v>
      </c>
      <c r="J34" s="108">
        <f>SEKTOR_USD!J34*$B$55</f>
        <v>28533906.509979542</v>
      </c>
      <c r="K34" s="108">
        <f>SEKTOR_USD!K34*$C$55</f>
        <v>43783568.621372849</v>
      </c>
      <c r="L34" s="109">
        <f t="shared" si="2"/>
        <v>53.444003911836745</v>
      </c>
      <c r="M34" s="109">
        <f t="shared" si="5"/>
        <v>4.6721681138729441</v>
      </c>
    </row>
    <row r="35" spans="1:13" ht="14.25" x14ac:dyDescent="0.2">
      <c r="A35" s="107" t="str">
        <f>SEKTOR_USD!A35</f>
        <v xml:space="preserve"> Demir ve Demir Dışı Metaller </v>
      </c>
      <c r="B35" s="108">
        <f>SEKTOR_USD!B35*$B$53</f>
        <v>3535002.5502326232</v>
      </c>
      <c r="C35" s="108">
        <f>SEKTOR_USD!C35*$C$53</f>
        <v>3456627.9226585319</v>
      </c>
      <c r="D35" s="109">
        <f t="shared" si="0"/>
        <v>-2.2171024337431895</v>
      </c>
      <c r="E35" s="109">
        <f t="shared" si="3"/>
        <v>5.0691312351522884</v>
      </c>
      <c r="F35" s="108">
        <f>SEKTOR_USD!F35*$B$54</f>
        <v>23514057.867180847</v>
      </c>
      <c r="G35" s="108">
        <f>SEKTOR_USD!G35*$C$54</f>
        <v>30369837.100949716</v>
      </c>
      <c r="H35" s="109">
        <f t="shared" si="1"/>
        <v>29.156087275508707</v>
      </c>
      <c r="I35" s="109">
        <f t="shared" si="4"/>
        <v>4.9998025866892934</v>
      </c>
      <c r="J35" s="108">
        <f>SEKTOR_USD!J35*$B$55</f>
        <v>32379528.655572865</v>
      </c>
      <c r="K35" s="108">
        <f>SEKTOR_USD!K35*$C$55</f>
        <v>46015652.022804685</v>
      </c>
      <c r="L35" s="109">
        <f t="shared" si="2"/>
        <v>42.113409099563583</v>
      </c>
      <c r="M35" s="109">
        <f t="shared" si="5"/>
        <v>4.9103549319886373</v>
      </c>
    </row>
    <row r="36" spans="1:13" ht="14.25" x14ac:dyDescent="0.2">
      <c r="A36" s="107" t="str">
        <f>SEKTOR_USD!A36</f>
        <v xml:space="preserve"> Çelik</v>
      </c>
      <c r="B36" s="108">
        <f>SEKTOR_USD!B36*$B$53</f>
        <v>6959004.5017445059</v>
      </c>
      <c r="C36" s="108">
        <f>SEKTOR_USD!C36*$C$53</f>
        <v>5770359.291798763</v>
      </c>
      <c r="D36" s="109">
        <f t="shared" si="0"/>
        <v>-17.080678847783034</v>
      </c>
      <c r="E36" s="109">
        <f t="shared" si="3"/>
        <v>8.4622091757018758</v>
      </c>
      <c r="F36" s="108">
        <f>SEKTOR_USD!F36*$B$54</f>
        <v>41840759.768781289</v>
      </c>
      <c r="G36" s="108">
        <f>SEKTOR_USD!G36*$C$54</f>
        <v>53146542.038207874</v>
      </c>
      <c r="H36" s="109">
        <f t="shared" si="1"/>
        <v>27.020977467675394</v>
      </c>
      <c r="I36" s="109">
        <f t="shared" si="4"/>
        <v>8.7495437487188035</v>
      </c>
      <c r="J36" s="108">
        <f>SEKTOR_USD!J36*$B$55</f>
        <v>56323542.770372853</v>
      </c>
      <c r="K36" s="108">
        <f>SEKTOR_USD!K36*$C$55</f>
        <v>87299535.177217796</v>
      </c>
      <c r="L36" s="109">
        <f t="shared" si="2"/>
        <v>54.99652699960992</v>
      </c>
      <c r="M36" s="109">
        <f t="shared" si="5"/>
        <v>9.3157802676646515</v>
      </c>
    </row>
    <row r="37" spans="1:13" ht="14.25" x14ac:dyDescent="0.2">
      <c r="A37" s="107" t="str">
        <f>SEKTOR_USD!A37</f>
        <v xml:space="preserve"> Çimento Cam Seramik ve Toprak Ürünleri</v>
      </c>
      <c r="B37" s="108">
        <f>SEKTOR_USD!B37*$B$53</f>
        <v>1298821.242663098</v>
      </c>
      <c r="C37" s="108">
        <f>SEKTOR_USD!C37*$C$53</f>
        <v>1611531.2314742475</v>
      </c>
      <c r="D37" s="109">
        <f t="shared" si="0"/>
        <v>24.076445513777568</v>
      </c>
      <c r="E37" s="109">
        <f t="shared" si="3"/>
        <v>2.3633042041755599</v>
      </c>
      <c r="F37" s="108">
        <f>SEKTOR_USD!F37*$B$54</f>
        <v>8702789.5883588567</v>
      </c>
      <c r="G37" s="108">
        <f>SEKTOR_USD!G37*$C$54</f>
        <v>13165472.002135623</v>
      </c>
      <c r="H37" s="109">
        <f t="shared" si="1"/>
        <v>51.278758017385599</v>
      </c>
      <c r="I37" s="109">
        <f t="shared" si="4"/>
        <v>2.1674387239042749</v>
      </c>
      <c r="J37" s="108">
        <f>SEKTOR_USD!J37*$B$55</f>
        <v>12048430.857858961</v>
      </c>
      <c r="K37" s="108">
        <f>SEKTOR_USD!K37*$C$55</f>
        <v>18937292.012483649</v>
      </c>
      <c r="L37" s="109">
        <f t="shared" si="2"/>
        <v>57.176417708628136</v>
      </c>
      <c r="M37" s="109">
        <f t="shared" si="5"/>
        <v>2.020808597603359</v>
      </c>
    </row>
    <row r="38" spans="1:13" ht="14.25" x14ac:dyDescent="0.2">
      <c r="A38" s="107" t="str">
        <f>SEKTOR_USD!A38</f>
        <v xml:space="preserve"> Mücevher</v>
      </c>
      <c r="B38" s="108">
        <f>SEKTOR_USD!B38*$B$53</f>
        <v>5276597.5693350341</v>
      </c>
      <c r="C38" s="108">
        <f>SEKTOR_USD!C38*$C$53</f>
        <v>3193866.1727405302</v>
      </c>
      <c r="D38" s="109">
        <f t="shared" si="0"/>
        <v>-39.471105560490436</v>
      </c>
      <c r="E38" s="109">
        <f t="shared" si="3"/>
        <v>4.6837921637464826</v>
      </c>
      <c r="F38" s="108">
        <f>SEKTOR_USD!F38*$B$54</f>
        <v>12399884.739783149</v>
      </c>
      <c r="G38" s="108">
        <f>SEKTOR_USD!G38*$C$54</f>
        <v>15390990.749122519</v>
      </c>
      <c r="H38" s="109">
        <f t="shared" si="1"/>
        <v>24.12204687470086</v>
      </c>
      <c r="I38" s="109">
        <f t="shared" si="4"/>
        <v>2.5338270700427086</v>
      </c>
      <c r="J38" s="108">
        <f>SEKTOR_USD!J38*$B$55</f>
        <v>15929986.275724852</v>
      </c>
      <c r="K38" s="108">
        <f>SEKTOR_USD!K38*$C$55</f>
        <v>24435272.329003576</v>
      </c>
      <c r="L38" s="109">
        <f t="shared" si="2"/>
        <v>53.391672196476591</v>
      </c>
      <c r="M38" s="109">
        <f t="shared" si="5"/>
        <v>2.6075010289052285</v>
      </c>
    </row>
    <row r="39" spans="1:13" ht="14.25" x14ac:dyDescent="0.2">
      <c r="A39" s="107" t="str">
        <f>SEKTOR_USD!A39</f>
        <v xml:space="preserve"> Savunma ve Havacılık Sanayii</v>
      </c>
      <c r="B39" s="108">
        <f>SEKTOR_USD!B39*$B$53</f>
        <v>705087.75034735946</v>
      </c>
      <c r="C39" s="108">
        <f>SEKTOR_USD!C39*$C$53</f>
        <v>989530.01648726722</v>
      </c>
      <c r="D39" s="109">
        <f t="shared" si="0"/>
        <v>40.341399492443045</v>
      </c>
      <c r="E39" s="109">
        <f t="shared" si="3"/>
        <v>1.4511418720584939</v>
      </c>
      <c r="F39" s="108">
        <f>SEKTOR_USD!F39*$B$54</f>
        <v>5386437.5204487722</v>
      </c>
      <c r="G39" s="108">
        <f>SEKTOR_USD!G39*$C$54</f>
        <v>9526963.80345493</v>
      </c>
      <c r="H39" s="109">
        <f t="shared" si="1"/>
        <v>76.869475739527175</v>
      </c>
      <c r="I39" s="109">
        <f t="shared" si="4"/>
        <v>1.5684291657369367</v>
      </c>
      <c r="J39" s="108">
        <f>SEKTOR_USD!J39*$B$55</f>
        <v>7922977.217711322</v>
      </c>
      <c r="K39" s="108">
        <f>SEKTOR_USD!K39*$C$55</f>
        <v>14166525.596097464</v>
      </c>
      <c r="L39" s="109">
        <f t="shared" si="2"/>
        <v>78.803058582941247</v>
      </c>
      <c r="M39" s="109">
        <f t="shared" si="5"/>
        <v>1.5117175520074386</v>
      </c>
    </row>
    <row r="40" spans="1:13" ht="14.25" x14ac:dyDescent="0.2">
      <c r="A40" s="107" t="str">
        <f>SEKTOR_USD!A40</f>
        <v xml:space="preserve"> İklimlendirme Sanayii</v>
      </c>
      <c r="B40" s="108">
        <f>SEKTOR_USD!B40*$B$53</f>
        <v>2017291.2236896344</v>
      </c>
      <c r="C40" s="108">
        <f>SEKTOR_USD!C40*$C$53</f>
        <v>1952680.2197710073</v>
      </c>
      <c r="D40" s="109">
        <f t="shared" si="0"/>
        <v>-3.2028595157645725</v>
      </c>
      <c r="E40" s="109">
        <f t="shared" si="3"/>
        <v>2.8635978519470737</v>
      </c>
      <c r="F40" s="108">
        <f>SEKTOR_USD!F40*$B$54</f>
        <v>13085132.146451129</v>
      </c>
      <c r="G40" s="108">
        <f>SEKTOR_USD!G40*$C$54</f>
        <v>17101233.39781842</v>
      </c>
      <c r="H40" s="109">
        <f t="shared" si="1"/>
        <v>30.692095474607147</v>
      </c>
      <c r="I40" s="109">
        <f t="shared" si="4"/>
        <v>2.8153852354814259</v>
      </c>
      <c r="J40" s="108">
        <f>SEKTOR_USD!J40*$B$55</f>
        <v>18393529.976427656</v>
      </c>
      <c r="K40" s="108">
        <f>SEKTOR_USD!K40*$C$55</f>
        <v>26003757.002539273</v>
      </c>
      <c r="L40" s="109">
        <f t="shared" si="2"/>
        <v>41.374478068454245</v>
      </c>
      <c r="M40" s="109">
        <f t="shared" si="5"/>
        <v>2.7748748704978174</v>
      </c>
    </row>
    <row r="41" spans="1:13" ht="14.25" x14ac:dyDescent="0.2">
      <c r="A41" s="107" t="str">
        <f>SEKTOR_USD!A41</f>
        <v xml:space="preserve"> Diğer Sanayi Ürünleri</v>
      </c>
      <c r="B41" s="108">
        <f>SEKTOR_USD!B41*$B$53</f>
        <v>46549.867917245901</v>
      </c>
      <c r="C41" s="108">
        <f>SEKTOR_USD!C41*$C$53</f>
        <v>42888.3291931856</v>
      </c>
      <c r="D41" s="109">
        <f t="shared" si="0"/>
        <v>-7.8658412749303768</v>
      </c>
      <c r="E41" s="109">
        <f t="shared" si="3"/>
        <v>6.2895565852358504E-2</v>
      </c>
      <c r="F41" s="108">
        <f>SEKTOR_USD!F41*$B$54</f>
        <v>340678.84849022469</v>
      </c>
      <c r="G41" s="108">
        <f>SEKTOR_USD!G41*$C$54</f>
        <v>430481.8333194803</v>
      </c>
      <c r="H41" s="109">
        <f t="shared" si="1"/>
        <v>26.360011849057425</v>
      </c>
      <c r="I41" s="109">
        <f t="shared" si="4"/>
        <v>7.0870455333663276E-2</v>
      </c>
      <c r="J41" s="108">
        <f>SEKTOR_USD!J41*$B$55</f>
        <v>493552.86592500313</v>
      </c>
      <c r="K41" s="108">
        <f>SEKTOR_USD!K41*$C$55</f>
        <v>682776.30886873731</v>
      </c>
      <c r="L41" s="109">
        <f t="shared" si="2"/>
        <v>38.339042483138428</v>
      </c>
      <c r="M41" s="109">
        <f t="shared" si="5"/>
        <v>7.2859426484646245E-2</v>
      </c>
    </row>
    <row r="42" spans="1:13" ht="16.5" x14ac:dyDescent="0.25">
      <c r="A42" s="102" t="s">
        <v>31</v>
      </c>
      <c r="B42" s="103">
        <f>SEKTOR_USD!B42*$B$53</f>
        <v>1913803.7890628744</v>
      </c>
      <c r="C42" s="103">
        <f>SEKTOR_USD!C42*$C$53</f>
        <v>1919280.4927833339</v>
      </c>
      <c r="D42" s="106">
        <f t="shared" si="0"/>
        <v>0.28616850649779724</v>
      </c>
      <c r="E42" s="106">
        <f t="shared" si="3"/>
        <v>2.8146172838596186</v>
      </c>
      <c r="F42" s="103">
        <f>SEKTOR_USD!F42*$B$54</f>
        <v>13242891.979299359</v>
      </c>
      <c r="G42" s="103">
        <f>SEKTOR_USD!G42*$C$54</f>
        <v>16043696.835995847</v>
      </c>
      <c r="H42" s="106">
        <f t="shared" si="1"/>
        <v>21.149495601674992</v>
      </c>
      <c r="I42" s="106">
        <f t="shared" si="4"/>
        <v>2.6412824235452486</v>
      </c>
      <c r="J42" s="103">
        <f>SEKTOR_USD!J42*$B$55</f>
        <v>19142064.914216463</v>
      </c>
      <c r="K42" s="103">
        <f>SEKTOR_USD!K42*$C$55</f>
        <v>24901384.401455905</v>
      </c>
      <c r="L42" s="106">
        <f t="shared" si="2"/>
        <v>30.087242484284449</v>
      </c>
      <c r="M42" s="106">
        <f t="shared" si="5"/>
        <v>2.6572400984003526</v>
      </c>
    </row>
    <row r="43" spans="1:13" ht="14.25" x14ac:dyDescent="0.2">
      <c r="A43" s="107" t="str">
        <f>SEKTOR_USD!A43</f>
        <v xml:space="preserve"> Madencilik Ürünleri</v>
      </c>
      <c r="B43" s="108">
        <f>SEKTOR_USD!B43*$B$53</f>
        <v>1913803.7890628744</v>
      </c>
      <c r="C43" s="108">
        <f>SEKTOR_USD!C43*$C$53</f>
        <v>1919280.4927833339</v>
      </c>
      <c r="D43" s="109">
        <f t="shared" si="0"/>
        <v>0.28616850649779724</v>
      </c>
      <c r="E43" s="109">
        <f t="shared" si="3"/>
        <v>2.8146172838596186</v>
      </c>
      <c r="F43" s="108">
        <f>SEKTOR_USD!F43*$B$54</f>
        <v>13242891.979299359</v>
      </c>
      <c r="G43" s="108">
        <f>SEKTOR_USD!G43*$C$54</f>
        <v>16043696.835995847</v>
      </c>
      <c r="H43" s="109">
        <f t="shared" si="1"/>
        <v>21.149495601674992</v>
      </c>
      <c r="I43" s="109">
        <f t="shared" si="4"/>
        <v>2.6412824235452486</v>
      </c>
      <c r="J43" s="108">
        <f>SEKTOR_USD!J43*$B$55</f>
        <v>19142064.914216463</v>
      </c>
      <c r="K43" s="108">
        <f>SEKTOR_USD!K43*$C$55</f>
        <v>24901384.401455905</v>
      </c>
      <c r="L43" s="109">
        <f t="shared" si="2"/>
        <v>30.087242484284449</v>
      </c>
      <c r="M43" s="109">
        <f t="shared" si="5"/>
        <v>2.6572400984003526</v>
      </c>
    </row>
    <row r="44" spans="1:13" ht="18" x14ac:dyDescent="0.25">
      <c r="A44" s="110" t="s">
        <v>33</v>
      </c>
      <c r="B44" s="111">
        <f>SEKTOR_USD!B44*$B$53</f>
        <v>70288856.849894673</v>
      </c>
      <c r="C44" s="111">
        <f>SEKTOR_USD!C44*$C$53</f>
        <v>68189750.123024523</v>
      </c>
      <c r="D44" s="112">
        <f>(C44-B44)/B44*100</f>
        <v>-2.9864004352110824</v>
      </c>
      <c r="E44" s="113">
        <f t="shared" si="3"/>
        <v>100</v>
      </c>
      <c r="F44" s="111">
        <f>SEKTOR_USD!F44*$B$54</f>
        <v>464908523.65965712</v>
      </c>
      <c r="G44" s="111">
        <f>SEKTOR_USD!G44*$C$54</f>
        <v>607420724.60624158</v>
      </c>
      <c r="H44" s="112">
        <f>(G44-F44)/F44*100</f>
        <v>30.653815469925121</v>
      </c>
      <c r="I44" s="112">
        <f t="shared" si="4"/>
        <v>100</v>
      </c>
      <c r="J44" s="111">
        <f>SEKTOR_USD!J44*$B$55</f>
        <v>657373920.68749571</v>
      </c>
      <c r="K44" s="111">
        <f>SEKTOR_USD!K44*$C$55</f>
        <v>937114580.51707232</v>
      </c>
      <c r="L44" s="112">
        <f>(K44-J44)/J44*100</f>
        <v>42.554267978415979</v>
      </c>
      <c r="M44" s="112">
        <f t="shared" si="5"/>
        <v>100</v>
      </c>
    </row>
    <row r="45" spans="1:13" ht="14.25" hidden="1" x14ac:dyDescent="0.2">
      <c r="A45" s="44" t="s">
        <v>34</v>
      </c>
      <c r="B45" s="42">
        <f>SEKTOR_USD!B45*2.1157</f>
        <v>834323.38058094261</v>
      </c>
      <c r="C45" s="42">
        <f>SEKTOR_USD!C45*2.7012</f>
        <v>1150364.2505517502</v>
      </c>
      <c r="D45" s="43"/>
      <c r="E45" s="43"/>
      <c r="F45" s="42">
        <f>SEKTOR_USD!F45*2.1642</f>
        <v>6259524.582715218</v>
      </c>
      <c r="G45" s="42">
        <f>SEKTOR_USD!G45*2.5613</f>
        <v>9006750.0891408101</v>
      </c>
      <c r="H45" s="43">
        <f>(G45-F45)/F45*100</f>
        <v>43.888724616749045</v>
      </c>
      <c r="I45" s="43" t="e">
        <f t="shared" ref="I45:I46" si="6">G45/G$46*100</f>
        <v>#REF!</v>
      </c>
      <c r="J45" s="42">
        <f>SEKTOR_USD!J45*2.0809</f>
        <v>9925245.284409428</v>
      </c>
      <c r="K45" s="42">
        <f>SEKTOR_USD!K45*2.3856</f>
        <v>12266196.518101331</v>
      </c>
      <c r="L45" s="43">
        <f>(K45-J45)/J45*100</f>
        <v>23.58582751973967</v>
      </c>
      <c r="M45" s="43" t="e">
        <f t="shared" ref="M45:M46" si="7">K45/K$46*100</f>
        <v>#REF!</v>
      </c>
    </row>
    <row r="46" spans="1:13" s="24" customFormat="1" ht="18" hidden="1" x14ac:dyDescent="0.25">
      <c r="A46" s="45" t="s">
        <v>35</v>
      </c>
      <c r="B46" s="46" t="e">
        <f>SEKTOR_USD!#REF!*2.1157</f>
        <v>#REF!</v>
      </c>
      <c r="C46" s="46" t="e">
        <f>SEKTOR_USD!#REF!*2.7012</f>
        <v>#REF!</v>
      </c>
      <c r="D46" s="47" t="e">
        <f>(C46-B46)/B46*100</f>
        <v>#REF!</v>
      </c>
      <c r="E46" s="48" t="e">
        <f>C46/C$46*100</f>
        <v>#REF!</v>
      </c>
      <c r="F46" s="46" t="e">
        <f>SEKTOR_USD!#REF!*2.1642</f>
        <v>#REF!</v>
      </c>
      <c r="G46" s="46" t="e">
        <f>SEKTOR_USD!#REF!*2.5613</f>
        <v>#REF!</v>
      </c>
      <c r="H46" s="47" t="e">
        <f>(G46-F46)/F46*100</f>
        <v>#REF!</v>
      </c>
      <c r="I46" s="48" t="e">
        <f t="shared" si="6"/>
        <v>#REF!</v>
      </c>
      <c r="J46" s="46" t="e">
        <f>SEKTOR_USD!#REF!*2.0809</f>
        <v>#REF!</v>
      </c>
      <c r="K46" s="46" t="e">
        <f>SEKTOR_USD!#REF!*2.3856</f>
        <v>#REF!</v>
      </c>
      <c r="L46" s="47" t="e">
        <f>(K46-J46)/J46*100</f>
        <v>#REF!</v>
      </c>
      <c r="M46" s="48" t="e">
        <f t="shared" si="7"/>
        <v>#REF!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114</v>
      </c>
    </row>
    <row r="49" spans="1:3" hidden="1" x14ac:dyDescent="0.2">
      <c r="A49" s="1" t="s">
        <v>111</v>
      </c>
    </row>
    <row r="51" spans="1:3" x14ac:dyDescent="0.2">
      <c r="A51" s="29" t="s">
        <v>115</v>
      </c>
    </row>
    <row r="52" spans="1:3" x14ac:dyDescent="0.2">
      <c r="A52" s="84"/>
      <c r="B52" s="85">
        <v>2018</v>
      </c>
      <c r="C52" s="85">
        <v>2019</v>
      </c>
    </row>
    <row r="53" spans="1:3" x14ac:dyDescent="0.2">
      <c r="A53" s="87" t="s">
        <v>222</v>
      </c>
      <c r="B53" s="86">
        <v>5.8880049999999997</v>
      </c>
      <c r="C53" s="86">
        <v>5.6415610000000003</v>
      </c>
    </row>
    <row r="54" spans="1:3" x14ac:dyDescent="0.2">
      <c r="A54" s="85" t="s">
        <v>223</v>
      </c>
      <c r="B54" s="86">
        <v>4.4003833749999997</v>
      </c>
      <c r="C54" s="86">
        <v>5.6321919999999999</v>
      </c>
    </row>
    <row r="55" spans="1:3" x14ac:dyDescent="0.2">
      <c r="A55" s="85" t="s">
        <v>224</v>
      </c>
      <c r="B55" s="86">
        <v>4.1729758333333331</v>
      </c>
      <c r="C55" s="86">
        <v>5.6589314166666655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9" t="s">
        <v>37</v>
      </c>
      <c r="B5" s="160"/>
      <c r="C5" s="160"/>
      <c r="D5" s="160"/>
      <c r="E5" s="160"/>
      <c r="F5" s="160"/>
      <c r="G5" s="161"/>
    </row>
    <row r="6" spans="1:7" ht="50.25" customHeight="1" x14ac:dyDescent="0.2">
      <c r="A6" s="97"/>
      <c r="B6" s="162" t="s">
        <v>122</v>
      </c>
      <c r="C6" s="162"/>
      <c r="D6" s="162" t="s">
        <v>123</v>
      </c>
      <c r="E6" s="162"/>
      <c r="F6" s="162" t="s">
        <v>119</v>
      </c>
      <c r="G6" s="162"/>
    </row>
    <row r="7" spans="1:7" ht="30" x14ac:dyDescent="0.25">
      <c r="A7" s="98" t="s">
        <v>1</v>
      </c>
      <c r="B7" s="114" t="s">
        <v>38</v>
      </c>
      <c r="C7" s="114" t="s">
        <v>39</v>
      </c>
      <c r="D7" s="114" t="s">
        <v>38</v>
      </c>
      <c r="E7" s="114" t="s">
        <v>39</v>
      </c>
      <c r="F7" s="114" t="s">
        <v>38</v>
      </c>
      <c r="G7" s="114" t="s">
        <v>39</v>
      </c>
    </row>
    <row r="8" spans="1:7" ht="16.5" x14ac:dyDescent="0.25">
      <c r="A8" s="102" t="s">
        <v>2</v>
      </c>
      <c r="B8" s="115">
        <f>SEKTOR_USD!D8</f>
        <v>1.3858112784071586</v>
      </c>
      <c r="C8" s="115">
        <f>SEKTOR_TL!D8</f>
        <v>-2.8577185546510178</v>
      </c>
      <c r="D8" s="115">
        <f>SEKTOR_USD!H8</f>
        <v>0.66645284572349173</v>
      </c>
      <c r="E8" s="115">
        <f>SEKTOR_TL!H8</f>
        <v>28.846225900955986</v>
      </c>
      <c r="F8" s="115">
        <f>SEKTOR_USD!L8</f>
        <v>2.3129596203387353</v>
      </c>
      <c r="G8" s="115">
        <f>SEKTOR_TL!L8</f>
        <v>38.745596584295946</v>
      </c>
    </row>
    <row r="9" spans="1:7" s="23" customFormat="1" ht="15.75" x14ac:dyDescent="0.25">
      <c r="A9" s="105" t="s">
        <v>3</v>
      </c>
      <c r="B9" s="115">
        <f>SEKTOR_USD!D9</f>
        <v>-2.0428371674373249</v>
      </c>
      <c r="C9" s="115">
        <f>SEKTOR_TL!D9</f>
        <v>-6.1428600167908787</v>
      </c>
      <c r="D9" s="115">
        <f>SEKTOR_USD!H9</f>
        <v>-2.9814133670710459</v>
      </c>
      <c r="E9" s="115">
        <f>SEKTOR_TL!H9</f>
        <v>24.177204783955755</v>
      </c>
      <c r="F9" s="115">
        <f>SEKTOR_USD!L9</f>
        <v>-0.99503207122013015</v>
      </c>
      <c r="G9" s="115">
        <f>SEKTOR_TL!L9</f>
        <v>34.259661640723152</v>
      </c>
    </row>
    <row r="10" spans="1:7" ht="14.25" x14ac:dyDescent="0.2">
      <c r="A10" s="107" t="s">
        <v>4</v>
      </c>
      <c r="B10" s="116">
        <f>SEKTOR_USD!D10</f>
        <v>-1.5818251150869096</v>
      </c>
      <c r="C10" s="116">
        <f>SEKTOR_TL!D10</f>
        <v>-5.7011437453084453</v>
      </c>
      <c r="D10" s="116">
        <f>SEKTOR_USD!H10</f>
        <v>0.67375015780512426</v>
      </c>
      <c r="E10" s="116">
        <f>SEKTOR_TL!H10</f>
        <v>28.85556596504248</v>
      </c>
      <c r="F10" s="116">
        <f>SEKTOR_USD!L10</f>
        <v>4.4039310987536018</v>
      </c>
      <c r="G10" s="116">
        <f>SEKTOR_TL!L10</f>
        <v>41.581142406545283</v>
      </c>
    </row>
    <row r="11" spans="1:7" ht="14.25" x14ac:dyDescent="0.2">
      <c r="A11" s="107" t="s">
        <v>5</v>
      </c>
      <c r="B11" s="116">
        <f>SEKTOR_USD!D11</f>
        <v>-0.86189120338642022</v>
      </c>
      <c r="C11" s="116">
        <f>SEKTOR_TL!D11</f>
        <v>-5.0113428570912975</v>
      </c>
      <c r="D11" s="116">
        <f>SEKTOR_USD!H11</f>
        <v>-13.146077675902641</v>
      </c>
      <c r="E11" s="116">
        <f>SEKTOR_TL!H11</f>
        <v>11.167124496829238</v>
      </c>
      <c r="F11" s="116">
        <f>SEKTOR_USD!L11</f>
        <v>-12.348136884462132</v>
      </c>
      <c r="G11" s="116">
        <f>SEKTOR_TL!L11</f>
        <v>18.863828050897354</v>
      </c>
    </row>
    <row r="12" spans="1:7" ht="14.25" x14ac:dyDescent="0.2">
      <c r="A12" s="107" t="s">
        <v>6</v>
      </c>
      <c r="B12" s="116">
        <f>SEKTOR_USD!D12</f>
        <v>14.807703928825887</v>
      </c>
      <c r="C12" s="116">
        <f>SEKTOR_TL!D12</f>
        <v>10.002397243957995</v>
      </c>
      <c r="D12" s="116">
        <f>SEKTOR_USD!H12</f>
        <v>-1.9669597856755534</v>
      </c>
      <c r="E12" s="116">
        <f>SEKTOR_TL!H12</f>
        <v>25.475636501966481</v>
      </c>
      <c r="F12" s="116">
        <f>SEKTOR_USD!L12</f>
        <v>1.793595920187796</v>
      </c>
      <c r="G12" s="116">
        <f>SEKTOR_TL!L12</f>
        <v>38.041292587137967</v>
      </c>
    </row>
    <row r="13" spans="1:7" ht="14.25" x14ac:dyDescent="0.2">
      <c r="A13" s="107" t="s">
        <v>7</v>
      </c>
      <c r="B13" s="116">
        <f>SEKTOR_USD!D13</f>
        <v>-20.501638997563244</v>
      </c>
      <c r="C13" s="116">
        <f>SEKTOR_TL!D13</f>
        <v>-23.829063834818733</v>
      </c>
      <c r="D13" s="116">
        <f>SEKTOR_USD!H13</f>
        <v>3.6149629726297974</v>
      </c>
      <c r="E13" s="116">
        <f>SEKTOR_TL!H13</f>
        <v>32.620118703803101</v>
      </c>
      <c r="F13" s="116">
        <f>SEKTOR_USD!L13</f>
        <v>5.96216897976936</v>
      </c>
      <c r="G13" s="116">
        <f>SEKTOR_TL!L13</f>
        <v>43.694253445694656</v>
      </c>
    </row>
    <row r="14" spans="1:7" ht="14.25" x14ac:dyDescent="0.2">
      <c r="A14" s="107" t="s">
        <v>8</v>
      </c>
      <c r="B14" s="116">
        <f>SEKTOR_USD!D14</f>
        <v>5.6626301892875368</v>
      </c>
      <c r="C14" s="116">
        <f>SEKTOR_TL!D14</f>
        <v>1.2400929743278366</v>
      </c>
      <c r="D14" s="116">
        <f>SEKTOR_USD!H14</f>
        <v>-2.1985587510687012</v>
      </c>
      <c r="E14" s="116">
        <f>SEKTOR_TL!H14</f>
        <v>25.179205548357679</v>
      </c>
      <c r="F14" s="116">
        <f>SEKTOR_USD!L14</f>
        <v>-9.3633365261840495</v>
      </c>
      <c r="G14" s="116">
        <f>SEKTOR_TL!L14</f>
        <v>22.911486411392936</v>
      </c>
    </row>
    <row r="15" spans="1:7" ht="14.25" x14ac:dyDescent="0.2">
      <c r="A15" s="107" t="s">
        <v>9</v>
      </c>
      <c r="B15" s="116">
        <f>SEKTOR_USD!D15</f>
        <v>-1.5728485785089179</v>
      </c>
      <c r="C15" s="116">
        <f>SEKTOR_TL!D15</f>
        <v>-5.6925429240330674</v>
      </c>
      <c r="D15" s="116">
        <f>SEKTOR_USD!H15</f>
        <v>-30.652583103408183</v>
      </c>
      <c r="E15" s="116">
        <f>SEKTOR_TL!H15</f>
        <v>-11.240014021358014</v>
      </c>
      <c r="F15" s="116">
        <f>SEKTOR_USD!L15</f>
        <v>-19.964350402207831</v>
      </c>
      <c r="G15" s="116">
        <f>SEKTOR_TL!L15</f>
        <v>8.5355559321525476</v>
      </c>
    </row>
    <row r="16" spans="1:7" ht="14.25" x14ac:dyDescent="0.2">
      <c r="A16" s="107" t="s">
        <v>10</v>
      </c>
      <c r="B16" s="116">
        <f>SEKTOR_USD!D16</f>
        <v>-20.207732571601923</v>
      </c>
      <c r="C16" s="116">
        <f>SEKTOR_TL!D16</f>
        <v>-23.547458939722212</v>
      </c>
      <c r="D16" s="116">
        <f>SEKTOR_USD!H16</f>
        <v>-4.5084900913948625</v>
      </c>
      <c r="E16" s="116">
        <f>SEKTOR_TL!H16</f>
        <v>22.222650242415909</v>
      </c>
      <c r="F16" s="116">
        <f>SEKTOR_USD!L16</f>
        <v>0.78178933098808723</v>
      </c>
      <c r="G16" s="116">
        <f>SEKTOR_TL!L16</f>
        <v>36.669191639541765</v>
      </c>
    </row>
    <row r="17" spans="1:7" ht="14.25" x14ac:dyDescent="0.2">
      <c r="A17" s="117" t="s">
        <v>11</v>
      </c>
      <c r="B17" s="116">
        <f>SEKTOR_USD!D17</f>
        <v>30.153892056622279</v>
      </c>
      <c r="C17" s="116">
        <f>SEKTOR_TL!D17</f>
        <v>24.706266625937005</v>
      </c>
      <c r="D17" s="116">
        <f>SEKTOR_USD!H17</f>
        <v>1.1749946401832354</v>
      </c>
      <c r="E17" s="116">
        <f>SEKTOR_TL!H17</f>
        <v>29.49712487550768</v>
      </c>
      <c r="F17" s="116">
        <f>SEKTOR_USD!L17</f>
        <v>0.5220322897187305</v>
      </c>
      <c r="G17" s="116">
        <f>SEKTOR_TL!L17</f>
        <v>36.316937674925512</v>
      </c>
    </row>
    <row r="18" spans="1:7" s="23" customFormat="1" ht="15.75" x14ac:dyDescent="0.25">
      <c r="A18" s="105" t="s">
        <v>12</v>
      </c>
      <c r="B18" s="115">
        <f>SEKTOR_USD!D18</f>
        <v>-4.5787488268157217</v>
      </c>
      <c r="C18" s="115">
        <f>SEKTOR_TL!D18</f>
        <v>-8.5726304257824726</v>
      </c>
      <c r="D18" s="115">
        <f>SEKTOR_USD!H18</f>
        <v>3.5237992765815669</v>
      </c>
      <c r="E18" s="115">
        <f>SEKTOR_TL!H18</f>
        <v>32.503435361508366</v>
      </c>
      <c r="F18" s="115">
        <f>SEKTOR_USD!L18</f>
        <v>5.0975982350560187</v>
      </c>
      <c r="G18" s="115">
        <f>SEKTOR_TL!L18</f>
        <v>42.521817576282714</v>
      </c>
    </row>
    <row r="19" spans="1:7" ht="14.25" x14ac:dyDescent="0.2">
      <c r="A19" s="107" t="s">
        <v>13</v>
      </c>
      <c r="B19" s="116">
        <f>SEKTOR_USD!D19</f>
        <v>-4.5787488268157217</v>
      </c>
      <c r="C19" s="116">
        <f>SEKTOR_TL!D19</f>
        <v>-8.5726304257824726</v>
      </c>
      <c r="D19" s="116">
        <f>SEKTOR_USD!H19</f>
        <v>3.5237992765815669</v>
      </c>
      <c r="E19" s="116">
        <f>SEKTOR_TL!H19</f>
        <v>32.503435361508366</v>
      </c>
      <c r="F19" s="116">
        <f>SEKTOR_USD!L19</f>
        <v>5.0975982350560187</v>
      </c>
      <c r="G19" s="116">
        <f>SEKTOR_TL!L19</f>
        <v>42.521817576282714</v>
      </c>
    </row>
    <row r="20" spans="1:7" s="23" customFormat="1" ht="15.75" x14ac:dyDescent="0.25">
      <c r="A20" s="105" t="s">
        <v>110</v>
      </c>
      <c r="B20" s="115">
        <f>SEKTOR_USD!D20</f>
        <v>13.508634568416038</v>
      </c>
      <c r="C20" s="115">
        <f>SEKTOR_TL!D20</f>
        <v>8.7577007737642738</v>
      </c>
      <c r="D20" s="115">
        <f>SEKTOR_USD!H20</f>
        <v>9.7945245900759694</v>
      </c>
      <c r="E20" s="115">
        <f>SEKTOR_TL!H20</f>
        <v>40.529538074629514</v>
      </c>
      <c r="F20" s="115">
        <f>SEKTOR_USD!L20</f>
        <v>11.226460896203031</v>
      </c>
      <c r="G20" s="115">
        <f>SEKTOR_TL!L20</f>
        <v>50.833107851332237</v>
      </c>
    </row>
    <row r="21" spans="1:7" ht="14.25" x14ac:dyDescent="0.2">
      <c r="A21" s="107" t="s">
        <v>109</v>
      </c>
      <c r="B21" s="116">
        <f>SEKTOR_USD!D21</f>
        <v>13.508634568416038</v>
      </c>
      <c r="C21" s="116">
        <f>SEKTOR_TL!D21</f>
        <v>8.7577007737642738</v>
      </c>
      <c r="D21" s="116">
        <f>SEKTOR_USD!H21</f>
        <v>9.7945245900759694</v>
      </c>
      <c r="E21" s="116">
        <f>SEKTOR_TL!H21</f>
        <v>40.529538074629514</v>
      </c>
      <c r="F21" s="116">
        <f>SEKTOR_USD!L21</f>
        <v>11.226460896203031</v>
      </c>
      <c r="G21" s="116">
        <f>SEKTOR_TL!L21</f>
        <v>50.833107851332237</v>
      </c>
    </row>
    <row r="22" spans="1:7" ht="16.5" x14ac:dyDescent="0.25">
      <c r="A22" s="102" t="s">
        <v>14</v>
      </c>
      <c r="B22" s="115">
        <f>SEKTOR_USD!D22</f>
        <v>1.1214858780019903</v>
      </c>
      <c r="C22" s="115">
        <f>SEKTOR_TL!D22</f>
        <v>-3.1109805458068016</v>
      </c>
      <c r="D22" s="115">
        <f>SEKTOR_USD!H22</f>
        <v>2.5578017930874362</v>
      </c>
      <c r="E22" s="115">
        <f>SEKTOR_TL!H22</f>
        <v>31.267024159369466</v>
      </c>
      <c r="F22" s="115">
        <f>SEKTOR_USD!L22</f>
        <v>5.9211084375383365</v>
      </c>
      <c r="G22" s="115">
        <f>SEKTOR_TL!L22</f>
        <v>43.638571648891414</v>
      </c>
    </row>
    <row r="23" spans="1:7" s="23" customFormat="1" ht="15.75" x14ac:dyDescent="0.25">
      <c r="A23" s="105" t="s">
        <v>15</v>
      </c>
      <c r="B23" s="115">
        <f>SEKTOR_USD!D23</f>
        <v>-3.629328775463323</v>
      </c>
      <c r="C23" s="115">
        <f>SEKTOR_TL!D23</f>
        <v>-7.6629486007283463</v>
      </c>
      <c r="D23" s="115">
        <f>SEKTOR_USD!H23</f>
        <v>-2.7374533537774597</v>
      </c>
      <c r="E23" s="115">
        <f>SEKTOR_TL!H23</f>
        <v>24.489457039747467</v>
      </c>
      <c r="F23" s="115">
        <f>SEKTOR_USD!L23</f>
        <v>-0.94212404525275906</v>
      </c>
      <c r="G23" s="115">
        <f>SEKTOR_TL!L23</f>
        <v>34.331409693503375</v>
      </c>
    </row>
    <row r="24" spans="1:7" ht="14.25" x14ac:dyDescent="0.2">
      <c r="A24" s="107" t="s">
        <v>16</v>
      </c>
      <c r="B24" s="116">
        <f>SEKTOR_USD!D24</f>
        <v>-6.86541433704312</v>
      </c>
      <c r="C24" s="116">
        <f>SEKTOR_TL!D24</f>
        <v>-10.763586948839764</v>
      </c>
      <c r="D24" s="116">
        <f>SEKTOR_USD!H24</f>
        <v>-6.1591107882597198</v>
      </c>
      <c r="E24" s="116">
        <f>SEKTOR_TL!H24</f>
        <v>20.109967802805343</v>
      </c>
      <c r="F24" s="116">
        <f>SEKTOR_USD!L24</f>
        <v>-3.7987486936284758</v>
      </c>
      <c r="G24" s="116">
        <f>SEKTOR_TL!L24</f>
        <v>30.457569150457392</v>
      </c>
    </row>
    <row r="25" spans="1:7" ht="14.25" x14ac:dyDescent="0.2">
      <c r="A25" s="107" t="s">
        <v>17</v>
      </c>
      <c r="B25" s="116">
        <f>SEKTOR_USD!D25</f>
        <v>-5.2141665545530191</v>
      </c>
      <c r="C25" s="116">
        <f>SEKTOR_TL!D25</f>
        <v>-9.181452577175234</v>
      </c>
      <c r="D25" s="116">
        <f>SEKTOR_USD!H25</f>
        <v>-1.010594376100129</v>
      </c>
      <c r="E25" s="116">
        <f>SEKTOR_TL!H25</f>
        <v>26.699719303362716</v>
      </c>
      <c r="F25" s="116">
        <f>SEKTOR_USD!L25</f>
        <v>2.4260012198658445</v>
      </c>
      <c r="G25" s="116">
        <f>SEKTOR_TL!L25</f>
        <v>38.898891183762444</v>
      </c>
    </row>
    <row r="26" spans="1:7" ht="14.25" x14ac:dyDescent="0.2">
      <c r="A26" s="107" t="s">
        <v>18</v>
      </c>
      <c r="B26" s="116">
        <f>SEKTOR_USD!D26</f>
        <v>10.382355120400067</v>
      </c>
      <c r="C26" s="116">
        <f>SEKTOR_TL!D26</f>
        <v>5.7622725754138102</v>
      </c>
      <c r="D26" s="116">
        <f>SEKTOR_USD!H26</f>
        <v>9.2229093316812261</v>
      </c>
      <c r="E26" s="116">
        <f>SEKTOR_TL!H26</f>
        <v>39.797909347982731</v>
      </c>
      <c r="F26" s="116">
        <f>SEKTOR_USD!L26</f>
        <v>7.3816116616170486</v>
      </c>
      <c r="G26" s="116">
        <f>SEKTOR_TL!L26</f>
        <v>45.619145682621216</v>
      </c>
    </row>
    <row r="27" spans="1:7" s="23" customFormat="1" ht="15.75" x14ac:dyDescent="0.25">
      <c r="A27" s="105" t="s">
        <v>19</v>
      </c>
      <c r="B27" s="115">
        <f>SEKTOR_USD!D27</f>
        <v>18.966988551772261</v>
      </c>
      <c r="C27" s="115">
        <f>SEKTOR_TL!D27</f>
        <v>13.987593913579374</v>
      </c>
      <c r="D27" s="115">
        <f>SEKTOR_USD!H27</f>
        <v>18.912207598634925</v>
      </c>
      <c r="E27" s="115">
        <f>SEKTOR_TL!H27</f>
        <v>52.19955337172658</v>
      </c>
      <c r="F27" s="115">
        <f>SEKTOR_USD!L27</f>
        <v>16.330220150975642</v>
      </c>
      <c r="G27" s="115">
        <f>SEKTOR_TL!L27</f>
        <v>57.754265496011278</v>
      </c>
    </row>
    <row r="28" spans="1:7" ht="14.25" x14ac:dyDescent="0.2">
      <c r="A28" s="107" t="s">
        <v>20</v>
      </c>
      <c r="B28" s="116">
        <f>SEKTOR_USD!D28</f>
        <v>18.966988551772261</v>
      </c>
      <c r="C28" s="116">
        <f>SEKTOR_TL!D28</f>
        <v>13.987593913579374</v>
      </c>
      <c r="D28" s="116">
        <f>SEKTOR_USD!H28</f>
        <v>18.912207598634925</v>
      </c>
      <c r="E28" s="116">
        <f>SEKTOR_TL!H28</f>
        <v>52.19955337172658</v>
      </c>
      <c r="F28" s="116">
        <f>SEKTOR_USD!L28</f>
        <v>16.330220150975642</v>
      </c>
      <c r="G28" s="116">
        <f>SEKTOR_TL!L28</f>
        <v>57.754265496011278</v>
      </c>
    </row>
    <row r="29" spans="1:7" s="23" customFormat="1" ht="15.75" x14ac:dyDescent="0.25">
      <c r="A29" s="105" t="s">
        <v>21</v>
      </c>
      <c r="B29" s="115">
        <f>SEKTOR_USD!D29</f>
        <v>-1.4606046424300392</v>
      </c>
      <c r="C29" s="115">
        <f>SEKTOR_TL!D29</f>
        <v>-5.5849969874604728</v>
      </c>
      <c r="D29" s="115">
        <f>SEKTOR_USD!H29</f>
        <v>0.52243167237672172</v>
      </c>
      <c r="E29" s="115">
        <f>SEKTOR_TL!H29</f>
        <v>28.661888575948641</v>
      </c>
      <c r="F29" s="115">
        <f>SEKTOR_USD!L29</f>
        <v>5.0374733174589128</v>
      </c>
      <c r="G29" s="115">
        <f>SEKTOR_TL!L29</f>
        <v>42.440282767862072</v>
      </c>
    </row>
    <row r="30" spans="1:7" ht="14.25" x14ac:dyDescent="0.2">
      <c r="A30" s="107" t="s">
        <v>22</v>
      </c>
      <c r="B30" s="116">
        <f>SEKTOR_USD!D30</f>
        <v>1.1544945037757983</v>
      </c>
      <c r="C30" s="116">
        <f>SEKTOR_TL!D30</f>
        <v>-3.0793535047582457</v>
      </c>
      <c r="D30" s="116">
        <f>SEKTOR_USD!H30</f>
        <v>0.15250615714328516</v>
      </c>
      <c r="E30" s="116">
        <f>SEKTOR_TL!H30</f>
        <v>28.188409028841306</v>
      </c>
      <c r="F30" s="116">
        <f>SEKTOR_USD!L30</f>
        <v>1.0217768018384017</v>
      </c>
      <c r="G30" s="116">
        <f>SEKTOR_TL!L30</f>
        <v>36.994636284476726</v>
      </c>
    </row>
    <row r="31" spans="1:7" ht="14.25" x14ac:dyDescent="0.2">
      <c r="A31" s="107" t="s">
        <v>23</v>
      </c>
      <c r="B31" s="116">
        <f>SEKTOR_USD!D31</f>
        <v>8.3838019328795745</v>
      </c>
      <c r="C31" s="116">
        <f>SEKTOR_TL!D31</f>
        <v>3.8473693579163153</v>
      </c>
      <c r="D31" s="116">
        <f>SEKTOR_USD!H31</f>
        <v>-4.0587662352058764</v>
      </c>
      <c r="E31" s="116">
        <f>SEKTOR_TL!H31</f>
        <v>22.798266248836416</v>
      </c>
      <c r="F31" s="116">
        <f>SEKTOR_USD!L31</f>
        <v>2.4971519856098169E-2</v>
      </c>
      <c r="G31" s="116">
        <f>SEKTOR_TL!L31</f>
        <v>35.642878461809659</v>
      </c>
    </row>
    <row r="32" spans="1:7" ht="14.25" x14ac:dyDescent="0.2">
      <c r="A32" s="107" t="s">
        <v>24</v>
      </c>
      <c r="B32" s="116">
        <f>SEKTOR_USD!D32</f>
        <v>14.692781875739291</v>
      </c>
      <c r="C32" s="116">
        <f>SEKTOR_TL!D32</f>
        <v>9.8922852836704021</v>
      </c>
      <c r="D32" s="116">
        <f>SEKTOR_USD!H32</f>
        <v>-6.5869286916148244</v>
      </c>
      <c r="E32" s="116">
        <f>SEKTOR_TL!H32</f>
        <v>19.56238992892672</v>
      </c>
      <c r="F32" s="116">
        <f>SEKTOR_USD!L32</f>
        <v>-19.934175118159985</v>
      </c>
      <c r="G32" s="116">
        <f>SEKTOR_TL!L32</f>
        <v>8.5764763375718971</v>
      </c>
    </row>
    <row r="33" spans="1:7" ht="14.25" x14ac:dyDescent="0.2">
      <c r="A33" s="107" t="s">
        <v>106</v>
      </c>
      <c r="B33" s="116">
        <f>SEKTOR_USD!D33</f>
        <v>6.1735201924512424</v>
      </c>
      <c r="C33" s="116">
        <f>SEKTOR_TL!D33</f>
        <v>1.7295995418559462</v>
      </c>
      <c r="D33" s="116">
        <f>SEKTOR_USD!H33</f>
        <v>0.42259040918230029</v>
      </c>
      <c r="E33" s="116">
        <f>SEKTOR_TL!H33</f>
        <v>28.534098536783343</v>
      </c>
      <c r="F33" s="116">
        <f>SEKTOR_USD!L33</f>
        <v>1.9431088938431584</v>
      </c>
      <c r="G33" s="116">
        <f>SEKTOR_TL!L33</f>
        <v>38.244045657754647</v>
      </c>
    </row>
    <row r="34" spans="1:7" ht="14.25" x14ac:dyDescent="0.2">
      <c r="A34" s="107" t="s">
        <v>25</v>
      </c>
      <c r="B34" s="116">
        <f>SEKTOR_USD!D34</f>
        <v>4.4506986836504874</v>
      </c>
      <c r="C34" s="116">
        <f>SEKTOR_TL!D34</f>
        <v>7.8887181045870655E-2</v>
      </c>
      <c r="D34" s="116">
        <f>SEKTOR_USD!H34</f>
        <v>9.1812539754477402</v>
      </c>
      <c r="E34" s="116">
        <f>SEKTOR_TL!H34</f>
        <v>39.744593319777493</v>
      </c>
      <c r="F34" s="116">
        <f>SEKTOR_USD!L34</f>
        <v>13.151772472120349</v>
      </c>
      <c r="G34" s="116">
        <f>SEKTOR_TL!L34</f>
        <v>53.444003911836745</v>
      </c>
    </row>
    <row r="35" spans="1:7" ht="14.25" x14ac:dyDescent="0.2">
      <c r="A35" s="107" t="s">
        <v>26</v>
      </c>
      <c r="B35" s="116">
        <f>SEKTOR_USD!D35</f>
        <v>2.0544118524301855</v>
      </c>
      <c r="C35" s="116">
        <f>SEKTOR_TL!D35</f>
        <v>-2.2171024337431895</v>
      </c>
      <c r="D35" s="116">
        <f>SEKTOR_USD!H35</f>
        <v>0.90854488398078725</v>
      </c>
      <c r="E35" s="116">
        <f>SEKTOR_TL!H35</f>
        <v>29.156087275508707</v>
      </c>
      <c r="F35" s="116">
        <f>SEKTOR_USD!L35</f>
        <v>4.7964320646271004</v>
      </c>
      <c r="G35" s="116">
        <f>SEKTOR_TL!L35</f>
        <v>42.113409099563583</v>
      </c>
    </row>
    <row r="36" spans="1:7" ht="14.25" x14ac:dyDescent="0.2">
      <c r="A36" s="107" t="s">
        <v>27</v>
      </c>
      <c r="B36" s="116">
        <f>SEKTOR_USD!D36</f>
        <v>-13.45845989419254</v>
      </c>
      <c r="C36" s="116">
        <f>SEKTOR_TL!D36</f>
        <v>-17.080678847783034</v>
      </c>
      <c r="D36" s="116">
        <f>SEKTOR_USD!H36</f>
        <v>-0.75959812360651513</v>
      </c>
      <c r="E36" s="116">
        <f>SEKTOR_TL!H36</f>
        <v>27.020977467675394</v>
      </c>
      <c r="F36" s="116">
        <f>SEKTOR_USD!L36</f>
        <v>14.296624891940906</v>
      </c>
      <c r="G36" s="116">
        <f>SEKTOR_TL!L36</f>
        <v>54.99652699960992</v>
      </c>
    </row>
    <row r="37" spans="1:7" ht="14.25" x14ac:dyDescent="0.2">
      <c r="A37" s="107" t="s">
        <v>107</v>
      </c>
      <c r="B37" s="116">
        <f>SEKTOR_USD!D37</f>
        <v>29.49655805677715</v>
      </c>
      <c r="C37" s="116">
        <f>SEKTOR_TL!D37</f>
        <v>24.076445513777568</v>
      </c>
      <c r="D37" s="116">
        <f>SEKTOR_USD!H37</f>
        <v>18.19279807406274</v>
      </c>
      <c r="E37" s="116">
        <f>SEKTOR_TL!H37</f>
        <v>51.278758017385599</v>
      </c>
      <c r="F37" s="116">
        <f>SEKTOR_USD!L37</f>
        <v>15.904107043297181</v>
      </c>
      <c r="G37" s="116">
        <f>SEKTOR_TL!L37</f>
        <v>57.176417708628136</v>
      </c>
    </row>
    <row r="38" spans="1:7" ht="14.25" x14ac:dyDescent="0.2">
      <c r="A38" s="117" t="s">
        <v>28</v>
      </c>
      <c r="B38" s="116">
        <f>SEKTOR_USD!D38</f>
        <v>-36.8269822653155</v>
      </c>
      <c r="C38" s="116">
        <f>SEKTOR_TL!D38</f>
        <v>-39.471105560490436</v>
      </c>
      <c r="D38" s="116">
        <f>SEKTOR_USD!H38</f>
        <v>-3.0245077691945883</v>
      </c>
      <c r="E38" s="116">
        <f>SEKTOR_TL!H38</f>
        <v>24.12204687470086</v>
      </c>
      <c r="F38" s="116">
        <f>SEKTOR_USD!L38</f>
        <v>13.113182327190925</v>
      </c>
      <c r="G38" s="116">
        <f>SEKTOR_TL!L38</f>
        <v>53.391672196476591</v>
      </c>
    </row>
    <row r="39" spans="1:7" ht="14.25" x14ac:dyDescent="0.2">
      <c r="A39" s="117" t="s">
        <v>108</v>
      </c>
      <c r="B39" s="116">
        <f>SEKTOR_USD!D39</f>
        <v>46.472024660994009</v>
      </c>
      <c r="C39" s="116">
        <f>SEKTOR_TL!D39</f>
        <v>40.341399492443045</v>
      </c>
      <c r="D39" s="116">
        <f>SEKTOR_USD!H39</f>
        <v>38.1866066691585</v>
      </c>
      <c r="E39" s="116">
        <f>SEKTOR_TL!H39</f>
        <v>76.869475739527175</v>
      </c>
      <c r="F39" s="116">
        <f>SEKTOR_USD!L39</f>
        <v>31.85189701984487</v>
      </c>
      <c r="G39" s="116">
        <f>SEKTOR_TL!L39</f>
        <v>78.803058582941247</v>
      </c>
    </row>
    <row r="40" spans="1:7" ht="14.25" x14ac:dyDescent="0.2">
      <c r="A40" s="117" t="s">
        <v>29</v>
      </c>
      <c r="B40" s="116">
        <f>SEKTOR_USD!D40</f>
        <v>1.0255932988902472</v>
      </c>
      <c r="C40" s="116">
        <f>SEKTOR_TL!D40</f>
        <v>-3.2028595157645725</v>
      </c>
      <c r="D40" s="116">
        <f>SEKTOR_USD!H40</f>
        <v>2.1086149354237289</v>
      </c>
      <c r="E40" s="116">
        <f>SEKTOR_TL!H40</f>
        <v>30.692095474607147</v>
      </c>
      <c r="F40" s="116">
        <f>SEKTOR_USD!L40</f>
        <v>4.2515339013028894</v>
      </c>
      <c r="G40" s="116">
        <f>SEKTOR_TL!L40</f>
        <v>41.374478068454245</v>
      </c>
    </row>
    <row r="41" spans="1:7" ht="14.25" x14ac:dyDescent="0.2">
      <c r="A41" s="107" t="s">
        <v>30</v>
      </c>
      <c r="B41" s="116">
        <f>SEKTOR_USD!D41</f>
        <v>-3.84108454308948</v>
      </c>
      <c r="C41" s="116">
        <f>SEKTOR_TL!D41</f>
        <v>-7.8658412749303768</v>
      </c>
      <c r="D41" s="116">
        <f>SEKTOR_USD!H41</f>
        <v>-1.2760049008635912</v>
      </c>
      <c r="E41" s="116">
        <f>SEKTOR_TL!H41</f>
        <v>26.360011849057425</v>
      </c>
      <c r="F41" s="116">
        <f>SEKTOR_USD!L41</f>
        <v>2.0131608926008102</v>
      </c>
      <c r="G41" s="116">
        <f>SEKTOR_TL!L41</f>
        <v>38.339042483138428</v>
      </c>
    </row>
    <row r="42" spans="1:7" ht="16.5" x14ac:dyDescent="0.25">
      <c r="A42" s="102" t="s">
        <v>31</v>
      </c>
      <c r="B42" s="115">
        <f>SEKTOR_USD!D42</f>
        <v>4.6670348148502638</v>
      </c>
      <c r="C42" s="115">
        <f>SEKTOR_TL!D42</f>
        <v>0.28616850649779724</v>
      </c>
      <c r="D42" s="115">
        <f>SEKTOR_USD!H42</f>
        <v>-5.3469366216126417</v>
      </c>
      <c r="E42" s="115">
        <f>SEKTOR_TL!H42</f>
        <v>21.149495601674992</v>
      </c>
      <c r="F42" s="115">
        <f>SEKTOR_USD!L42</f>
        <v>-4.0718327999011263</v>
      </c>
      <c r="G42" s="115">
        <f>SEKTOR_TL!L42</f>
        <v>30.087242484284449</v>
      </c>
    </row>
    <row r="43" spans="1:7" ht="14.25" x14ac:dyDescent="0.2">
      <c r="A43" s="107" t="s">
        <v>32</v>
      </c>
      <c r="B43" s="116">
        <f>SEKTOR_USD!D43</f>
        <v>4.6670348148502638</v>
      </c>
      <c r="C43" s="116">
        <f>SEKTOR_TL!D43</f>
        <v>0.28616850649779724</v>
      </c>
      <c r="D43" s="116">
        <f>SEKTOR_USD!H43</f>
        <v>-5.3469366216126417</v>
      </c>
      <c r="E43" s="116">
        <f>SEKTOR_TL!H43</f>
        <v>21.149495601674992</v>
      </c>
      <c r="F43" s="116">
        <f>SEKTOR_USD!L43</f>
        <v>-4.0718327999011263</v>
      </c>
      <c r="G43" s="116">
        <f>SEKTOR_TL!L43</f>
        <v>30.087242484284449</v>
      </c>
    </row>
    <row r="44" spans="1:7" ht="18" x14ac:dyDescent="0.25">
      <c r="A44" s="118" t="s">
        <v>40</v>
      </c>
      <c r="B44" s="119">
        <f>SEKTOR_USD!D44</f>
        <v>1.2515081030719917</v>
      </c>
      <c r="C44" s="119">
        <f>SEKTOR_TL!D44</f>
        <v>-2.9864004352110824</v>
      </c>
      <c r="D44" s="119">
        <f>SEKTOR_USD!H44</f>
        <v>2.0787070955990647</v>
      </c>
      <c r="E44" s="119">
        <f>SEKTOR_TL!H44</f>
        <v>30.653815469925121</v>
      </c>
      <c r="F44" s="119">
        <f>SEKTOR_USD!L44</f>
        <v>5.1215276192300809</v>
      </c>
      <c r="G44" s="119">
        <f>SEKTOR_TL!L44</f>
        <v>42.554267978415979</v>
      </c>
    </row>
    <row r="45" spans="1:7" ht="14.25" hidden="1" x14ac:dyDescent="0.2">
      <c r="A45" s="44" t="s">
        <v>34</v>
      </c>
      <c r="B45" s="49"/>
      <c r="C45" s="49"/>
      <c r="D45" s="43">
        <f>SEKTOR_USD!H45</f>
        <v>21.580438767644662</v>
      </c>
      <c r="E45" s="43">
        <f>SEKTOR_TL!H45</f>
        <v>43.888724616749045</v>
      </c>
      <c r="F45" s="43">
        <f>SEKTOR_USD!L45</f>
        <v>7.8008670715234301</v>
      </c>
      <c r="G45" s="43">
        <f>SEKTOR_TL!L45</f>
        <v>23.58582751973967</v>
      </c>
    </row>
    <row r="46" spans="1:7" s="24" customFormat="1" ht="18" hidden="1" x14ac:dyDescent="0.25">
      <c r="A46" s="45" t="s">
        <v>40</v>
      </c>
      <c r="B46" s="50" t="e">
        <f>SEKTOR_USD!#REF!</f>
        <v>#REF!</v>
      </c>
      <c r="C46" s="50" t="e">
        <f>SEKTOR_TL!D46</f>
        <v>#REF!</v>
      </c>
      <c r="D46" s="50" t="e">
        <f>SEKTOR_USD!#REF!</f>
        <v>#REF!</v>
      </c>
      <c r="E46" s="50" t="e">
        <f>SEKTOR_TL!H46</f>
        <v>#REF!</v>
      </c>
      <c r="F46" s="50" t="e">
        <f>SEKTOR_USD!#REF!</f>
        <v>#REF!</v>
      </c>
      <c r="G46" s="50" t="e">
        <f>SEKTOR_TL!L46</f>
        <v>#REF!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124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3" t="s">
        <v>113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1:13" ht="24" customHeight="1" x14ac:dyDescent="0.2">
      <c r="A7" s="52"/>
      <c r="B7" s="151" t="s">
        <v>126</v>
      </c>
      <c r="C7" s="151"/>
      <c r="D7" s="151"/>
      <c r="E7" s="151"/>
      <c r="F7" s="151" t="s">
        <v>127</v>
      </c>
      <c r="G7" s="151"/>
      <c r="H7" s="151"/>
      <c r="I7" s="151"/>
      <c r="J7" s="151" t="s">
        <v>105</v>
      </c>
      <c r="K7" s="151"/>
      <c r="L7" s="151"/>
      <c r="M7" s="151"/>
    </row>
    <row r="8" spans="1:13" ht="60" x14ac:dyDescent="0.2">
      <c r="A8" s="53" t="s">
        <v>41</v>
      </c>
      <c r="B8" s="73">
        <v>2018</v>
      </c>
      <c r="C8" s="74">
        <v>2019</v>
      </c>
      <c r="D8" s="75" t="s">
        <v>117</v>
      </c>
      <c r="E8" s="75" t="s">
        <v>118</v>
      </c>
      <c r="F8" s="73">
        <v>2018</v>
      </c>
      <c r="G8" s="74">
        <v>2019</v>
      </c>
      <c r="H8" s="75" t="s">
        <v>117</v>
      </c>
      <c r="I8" s="75" t="s">
        <v>118</v>
      </c>
      <c r="J8" s="73" t="s">
        <v>128</v>
      </c>
      <c r="K8" s="73" t="s">
        <v>129</v>
      </c>
      <c r="L8" s="75" t="s">
        <v>117</v>
      </c>
      <c r="M8" s="75" t="s">
        <v>118</v>
      </c>
    </row>
    <row r="9" spans="1:13" ht="22.5" customHeight="1" x14ac:dyDescent="0.25">
      <c r="A9" s="54" t="s">
        <v>199</v>
      </c>
      <c r="B9" s="78">
        <v>4041013.6891600001</v>
      </c>
      <c r="C9" s="78">
        <v>3870101.9168400001</v>
      </c>
      <c r="D9" s="66">
        <f>(C9-B9)/B9*100</f>
        <v>-4.2294281946747674</v>
      </c>
      <c r="E9" s="80">
        <f t="shared" ref="E9:E22" si="0">C9/C$22*100</f>
        <v>32.018618635028041</v>
      </c>
      <c r="F9" s="78">
        <v>30420425.67021</v>
      </c>
      <c r="G9" s="78">
        <v>30925599.392200001</v>
      </c>
      <c r="H9" s="66">
        <f t="shared" ref="H9:H21" si="1">(G9-F9)/F9*100</f>
        <v>1.6606398854066828</v>
      </c>
      <c r="I9" s="68">
        <f t="shared" ref="I9:I22" si="2">G9/G$22*100</f>
        <v>28.675168040218679</v>
      </c>
      <c r="J9" s="78">
        <v>45080325.89068</v>
      </c>
      <c r="K9" s="78">
        <v>47924139.198349997</v>
      </c>
      <c r="L9" s="66">
        <f t="shared" ref="L9:L22" si="3">(K9-J9)/J9*100</f>
        <v>6.3083246438063858</v>
      </c>
      <c r="M9" s="80">
        <f t="shared" ref="M9:M22" si="4">K9/K$22*100</f>
        <v>28.939835380280755</v>
      </c>
    </row>
    <row r="10" spans="1:13" ht="22.5" customHeight="1" x14ac:dyDescent="0.25">
      <c r="A10" s="54" t="s">
        <v>200</v>
      </c>
      <c r="B10" s="78">
        <v>1684625.1605100001</v>
      </c>
      <c r="C10" s="78">
        <v>1818196.1720199999</v>
      </c>
      <c r="D10" s="66">
        <f t="shared" ref="D10:D22" si="5">(C10-B10)/B10*100</f>
        <v>7.9288268180419941</v>
      </c>
      <c r="E10" s="80">
        <f t="shared" si="0"/>
        <v>15.042531459510144</v>
      </c>
      <c r="F10" s="78">
        <v>21641201.902079999</v>
      </c>
      <c r="G10" s="78">
        <v>20758017.856070001</v>
      </c>
      <c r="H10" s="66">
        <f t="shared" si="1"/>
        <v>-4.0810304806828377</v>
      </c>
      <c r="I10" s="68">
        <f t="shared" si="2"/>
        <v>19.247473352280355</v>
      </c>
      <c r="J10" s="78">
        <v>31870511.965429999</v>
      </c>
      <c r="K10" s="78">
        <v>31959398.58752</v>
      </c>
      <c r="L10" s="66">
        <f t="shared" si="3"/>
        <v>0.27889926018890482</v>
      </c>
      <c r="M10" s="80">
        <f t="shared" si="4"/>
        <v>19.299245629589731</v>
      </c>
    </row>
    <row r="11" spans="1:13" ht="22.5" customHeight="1" x14ac:dyDescent="0.25">
      <c r="A11" s="54" t="s">
        <v>201</v>
      </c>
      <c r="B11" s="78">
        <v>1527618.2579300001</v>
      </c>
      <c r="C11" s="78">
        <v>1525837.2824200001</v>
      </c>
      <c r="D11" s="66">
        <f t="shared" si="5"/>
        <v>-0.11658511547337291</v>
      </c>
      <c r="E11" s="80">
        <f t="shared" si="0"/>
        <v>12.623750767991298</v>
      </c>
      <c r="F11" s="78">
        <v>13172237.94884</v>
      </c>
      <c r="G11" s="78">
        <v>13046804.34216</v>
      </c>
      <c r="H11" s="66">
        <f t="shared" si="1"/>
        <v>-0.95225737013843115</v>
      </c>
      <c r="I11" s="68">
        <f t="shared" si="2"/>
        <v>12.097398732832723</v>
      </c>
      <c r="J11" s="78">
        <v>19499641.409850001</v>
      </c>
      <c r="K11" s="78">
        <v>19593647.34821</v>
      </c>
      <c r="L11" s="66">
        <f t="shared" si="3"/>
        <v>0.48209060045848967</v>
      </c>
      <c r="M11" s="80">
        <f t="shared" si="4"/>
        <v>11.831968987686997</v>
      </c>
    </row>
    <row r="12" spans="1:13" ht="22.5" customHeight="1" x14ac:dyDescent="0.25">
      <c r="A12" s="54" t="s">
        <v>202</v>
      </c>
      <c r="B12" s="78">
        <v>1060588.3999600001</v>
      </c>
      <c r="C12" s="78">
        <v>1132314.16417</v>
      </c>
      <c r="D12" s="66">
        <f t="shared" si="5"/>
        <v>6.7628275222230467</v>
      </c>
      <c r="E12" s="80">
        <f t="shared" si="0"/>
        <v>9.3680053333589353</v>
      </c>
      <c r="F12" s="78">
        <v>8984349.8115599994</v>
      </c>
      <c r="G12" s="78">
        <v>10112935.21448</v>
      </c>
      <c r="H12" s="66">
        <f t="shared" si="1"/>
        <v>12.561681441520342</v>
      </c>
      <c r="I12" s="68">
        <f t="shared" si="2"/>
        <v>9.3770249357947666</v>
      </c>
      <c r="J12" s="78">
        <v>13142838.56563</v>
      </c>
      <c r="K12" s="78">
        <v>15234484.99137</v>
      </c>
      <c r="L12" s="66">
        <f t="shared" si="3"/>
        <v>15.914723560630883</v>
      </c>
      <c r="M12" s="80">
        <f t="shared" si="4"/>
        <v>9.1996120353641135</v>
      </c>
    </row>
    <row r="13" spans="1:13" ht="22.5" customHeight="1" x14ac:dyDescent="0.25">
      <c r="A13" s="55" t="s">
        <v>203</v>
      </c>
      <c r="B13" s="78">
        <v>930532.44787999999</v>
      </c>
      <c r="C13" s="78">
        <v>925636.79864000005</v>
      </c>
      <c r="D13" s="66">
        <f t="shared" si="5"/>
        <v>-0.52611268431891112</v>
      </c>
      <c r="E13" s="80">
        <f t="shared" si="0"/>
        <v>7.6580959073041637</v>
      </c>
      <c r="F13" s="78">
        <v>7574745.9039200004</v>
      </c>
      <c r="G13" s="78">
        <v>8651692.8498100005</v>
      </c>
      <c r="H13" s="66">
        <f t="shared" si="1"/>
        <v>14.217598313531155</v>
      </c>
      <c r="I13" s="68">
        <f t="shared" si="2"/>
        <v>8.0221160196245922</v>
      </c>
      <c r="J13" s="78">
        <v>11510179.630659999</v>
      </c>
      <c r="K13" s="78">
        <v>13547935.478730001</v>
      </c>
      <c r="L13" s="66">
        <f t="shared" si="3"/>
        <v>17.703944798932344</v>
      </c>
      <c r="M13" s="80">
        <f t="shared" si="4"/>
        <v>8.1811594126788254</v>
      </c>
    </row>
    <row r="14" spans="1:13" ht="22.5" customHeight="1" x14ac:dyDescent="0.25">
      <c r="A14" s="54" t="s">
        <v>204</v>
      </c>
      <c r="B14" s="78">
        <v>993863.05130000005</v>
      </c>
      <c r="C14" s="78">
        <v>1031852.62962</v>
      </c>
      <c r="D14" s="66">
        <f t="shared" si="5"/>
        <v>3.8224158016850072</v>
      </c>
      <c r="E14" s="80">
        <f t="shared" si="0"/>
        <v>8.5368542083072771</v>
      </c>
      <c r="F14" s="78">
        <v>8705105.7584399991</v>
      </c>
      <c r="G14" s="78">
        <v>8643618.1857999992</v>
      </c>
      <c r="H14" s="66">
        <f t="shared" si="1"/>
        <v>-0.70633918008847729</v>
      </c>
      <c r="I14" s="68">
        <f t="shared" si="2"/>
        <v>8.014628942513534</v>
      </c>
      <c r="J14" s="78">
        <v>13021218.03939</v>
      </c>
      <c r="K14" s="78">
        <v>13255332.33319</v>
      </c>
      <c r="L14" s="66">
        <f t="shared" si="3"/>
        <v>1.7979446553447589</v>
      </c>
      <c r="M14" s="80">
        <f t="shared" si="4"/>
        <v>8.0044658506174855</v>
      </c>
    </row>
    <row r="15" spans="1:13" ht="22.5" customHeight="1" x14ac:dyDescent="0.25">
      <c r="A15" s="54" t="s">
        <v>205</v>
      </c>
      <c r="B15" s="78">
        <v>650392.77138000005</v>
      </c>
      <c r="C15" s="78">
        <v>671170.25925</v>
      </c>
      <c r="D15" s="66">
        <f t="shared" si="5"/>
        <v>3.1946062109384132</v>
      </c>
      <c r="E15" s="80">
        <f t="shared" si="0"/>
        <v>5.5528110194176827</v>
      </c>
      <c r="F15" s="78">
        <v>5434174.5450200001</v>
      </c>
      <c r="G15" s="78">
        <v>5734204.0077799996</v>
      </c>
      <c r="H15" s="66">
        <f t="shared" si="1"/>
        <v>5.5211598426655861</v>
      </c>
      <c r="I15" s="68">
        <f t="shared" si="2"/>
        <v>5.3169305278351029</v>
      </c>
      <c r="J15" s="78">
        <v>8243897.1274800003</v>
      </c>
      <c r="K15" s="78">
        <v>8770294.0794500001</v>
      </c>
      <c r="L15" s="66">
        <f t="shared" si="3"/>
        <v>6.3852925846845103</v>
      </c>
      <c r="M15" s="80">
        <f t="shared" si="4"/>
        <v>5.2960965213261986</v>
      </c>
    </row>
    <row r="16" spans="1:13" ht="22.5" customHeight="1" x14ac:dyDescent="0.25">
      <c r="A16" s="54" t="s">
        <v>206</v>
      </c>
      <c r="B16" s="78">
        <v>500878.81543999998</v>
      </c>
      <c r="C16" s="78">
        <v>533403.57100999996</v>
      </c>
      <c r="D16" s="66">
        <f t="shared" si="5"/>
        <v>6.4935378713169207</v>
      </c>
      <c r="E16" s="80">
        <f t="shared" si="0"/>
        <v>4.413022159549854</v>
      </c>
      <c r="F16" s="78">
        <v>4533874.1251699999</v>
      </c>
      <c r="G16" s="78">
        <v>4671322.7178400001</v>
      </c>
      <c r="H16" s="66">
        <f t="shared" si="1"/>
        <v>3.0315926043678254</v>
      </c>
      <c r="I16" s="68">
        <f t="shared" si="2"/>
        <v>4.3313942667813867</v>
      </c>
      <c r="J16" s="78">
        <v>7030167.1156400004</v>
      </c>
      <c r="K16" s="78">
        <v>7156226.9224699996</v>
      </c>
      <c r="L16" s="66">
        <f t="shared" si="3"/>
        <v>1.7931267458714342</v>
      </c>
      <c r="M16" s="80">
        <f t="shared" si="4"/>
        <v>4.321413645492151</v>
      </c>
    </row>
    <row r="17" spans="1:13" ht="22.5" customHeight="1" x14ac:dyDescent="0.25">
      <c r="A17" s="54" t="s">
        <v>207</v>
      </c>
      <c r="B17" s="78">
        <v>202315.18273</v>
      </c>
      <c r="C17" s="78">
        <v>189808.08861000001</v>
      </c>
      <c r="D17" s="66">
        <f t="shared" si="5"/>
        <v>-6.1819849361930261</v>
      </c>
      <c r="E17" s="80">
        <f t="shared" si="0"/>
        <v>1.5703443820439458</v>
      </c>
      <c r="F17" s="78">
        <v>1680124.15337</v>
      </c>
      <c r="G17" s="78">
        <v>1604836.8015999999</v>
      </c>
      <c r="H17" s="66">
        <f t="shared" si="1"/>
        <v>-4.4810588324076157</v>
      </c>
      <c r="I17" s="68">
        <f t="shared" si="2"/>
        <v>1.4880540997570415</v>
      </c>
      <c r="J17" s="78">
        <v>2532133.0641200002</v>
      </c>
      <c r="K17" s="78">
        <v>2468413.9925799998</v>
      </c>
      <c r="L17" s="66">
        <f t="shared" si="3"/>
        <v>-2.5164187634090571</v>
      </c>
      <c r="M17" s="80">
        <f t="shared" si="4"/>
        <v>1.490595257224907</v>
      </c>
    </row>
    <row r="18" spans="1:13" ht="22.5" customHeight="1" x14ac:dyDescent="0.25">
      <c r="A18" s="54" t="s">
        <v>208</v>
      </c>
      <c r="B18" s="78">
        <v>114312.84213999999</v>
      </c>
      <c r="C18" s="78">
        <v>141525.48196</v>
      </c>
      <c r="D18" s="66">
        <f t="shared" si="5"/>
        <v>23.805409182874168</v>
      </c>
      <c r="E18" s="80">
        <f t="shared" si="0"/>
        <v>1.1708865893939511</v>
      </c>
      <c r="F18" s="78">
        <v>1137660.19251</v>
      </c>
      <c r="G18" s="78">
        <v>1180474.8551700001</v>
      </c>
      <c r="H18" s="66">
        <f t="shared" si="1"/>
        <v>3.763396393921361</v>
      </c>
      <c r="I18" s="68">
        <f t="shared" si="2"/>
        <v>1.0945726357624042</v>
      </c>
      <c r="J18" s="78">
        <v>1735092.7811100001</v>
      </c>
      <c r="K18" s="78">
        <v>1820315.2563199999</v>
      </c>
      <c r="L18" s="66">
        <f t="shared" si="3"/>
        <v>4.9116955668203515</v>
      </c>
      <c r="M18" s="80">
        <f t="shared" si="4"/>
        <v>1.0992294225689105</v>
      </c>
    </row>
    <row r="19" spans="1:13" ht="22.5" customHeight="1" x14ac:dyDescent="0.25">
      <c r="A19" s="54" t="s">
        <v>209</v>
      </c>
      <c r="B19" s="78">
        <v>115635.72666</v>
      </c>
      <c r="C19" s="78">
        <v>127313.4268</v>
      </c>
      <c r="D19" s="66">
        <f t="shared" si="5"/>
        <v>10.098695686269664</v>
      </c>
      <c r="E19" s="80">
        <f t="shared" si="0"/>
        <v>1.0533056098833189</v>
      </c>
      <c r="F19" s="78">
        <v>1183727.42655</v>
      </c>
      <c r="G19" s="78">
        <v>1218308.95722</v>
      </c>
      <c r="H19" s="66">
        <f t="shared" si="1"/>
        <v>2.9214099373188174</v>
      </c>
      <c r="I19" s="68">
        <f t="shared" si="2"/>
        <v>1.1296535801986229</v>
      </c>
      <c r="J19" s="78">
        <v>1774620.8218700001</v>
      </c>
      <c r="K19" s="78">
        <v>1790357.86409</v>
      </c>
      <c r="L19" s="66">
        <f t="shared" si="3"/>
        <v>0.88678336386344736</v>
      </c>
      <c r="M19" s="80">
        <f t="shared" si="4"/>
        <v>1.0811391237328587</v>
      </c>
    </row>
    <row r="20" spans="1:13" ht="22.5" customHeight="1" x14ac:dyDescent="0.25">
      <c r="A20" s="54" t="s">
        <v>210</v>
      </c>
      <c r="B20" s="78">
        <v>58252.522850000001</v>
      </c>
      <c r="C20" s="78">
        <v>69746.065759999998</v>
      </c>
      <c r="D20" s="66">
        <f t="shared" si="5"/>
        <v>19.730549592840504</v>
      </c>
      <c r="E20" s="80">
        <f t="shared" si="0"/>
        <v>0.57703200816128586</v>
      </c>
      <c r="F20" s="78">
        <v>648758.00783000002</v>
      </c>
      <c r="G20" s="78">
        <v>747066.78376999998</v>
      </c>
      <c r="H20" s="66">
        <f t="shared" si="1"/>
        <v>15.153381500265152</v>
      </c>
      <c r="I20" s="68">
        <f t="shared" si="2"/>
        <v>0.69270332614065833</v>
      </c>
      <c r="J20" s="78">
        <v>1183448.0551199999</v>
      </c>
      <c r="K20" s="78">
        <v>1171990.41815</v>
      </c>
      <c r="L20" s="66">
        <f t="shared" si="3"/>
        <v>-0.96815715066075203</v>
      </c>
      <c r="M20" s="80">
        <f t="shared" si="4"/>
        <v>0.70772705229299482</v>
      </c>
    </row>
    <row r="21" spans="1:13" ht="22.5" customHeight="1" x14ac:dyDescent="0.25">
      <c r="A21" s="54" t="s">
        <v>211</v>
      </c>
      <c r="B21" s="78">
        <v>57606.51958</v>
      </c>
      <c r="C21" s="78">
        <v>50130.004610000004</v>
      </c>
      <c r="D21" s="66">
        <f t="shared" si="5"/>
        <v>-12.978591701963737</v>
      </c>
      <c r="E21" s="80">
        <f t="shared" si="0"/>
        <v>0.41474192005009836</v>
      </c>
      <c r="F21" s="78">
        <v>535437.14362999995</v>
      </c>
      <c r="G21" s="78">
        <v>553132.55802</v>
      </c>
      <c r="H21" s="66">
        <f t="shared" si="1"/>
        <v>3.3048537256929653</v>
      </c>
      <c r="I21" s="68">
        <f t="shared" si="2"/>
        <v>0.51288154026013744</v>
      </c>
      <c r="J21" s="78">
        <v>907132.74406000006</v>
      </c>
      <c r="K21" s="78">
        <v>906675.02682999999</v>
      </c>
      <c r="L21" s="66">
        <f t="shared" si="3"/>
        <v>-5.0457579995568207E-2</v>
      </c>
      <c r="M21" s="80">
        <f t="shared" si="4"/>
        <v>0.54751168114408677</v>
      </c>
    </row>
    <row r="22" spans="1:13" ht="24" customHeight="1" x14ac:dyDescent="0.2">
      <c r="A22" s="70" t="s">
        <v>42</v>
      </c>
      <c r="B22" s="79">
        <f>SUM(B9:B21)</f>
        <v>11937635.38752</v>
      </c>
      <c r="C22" s="79">
        <f>SUM(C9:C21)</f>
        <v>12087035.861710001</v>
      </c>
      <c r="D22" s="77">
        <f t="shared" si="5"/>
        <v>1.2515081030719755</v>
      </c>
      <c r="E22" s="81">
        <f t="shared" si="0"/>
        <v>100</v>
      </c>
      <c r="F22" s="69">
        <f>SUM(F9:F21)</f>
        <v>105651822.58912997</v>
      </c>
      <c r="G22" s="69">
        <f>SUM(G9:G21)</f>
        <v>107848014.52192</v>
      </c>
      <c r="H22" s="77">
        <f>(G22-F22)/F22*100</f>
        <v>2.0787070955991083</v>
      </c>
      <c r="I22" s="72">
        <f t="shared" si="2"/>
        <v>100</v>
      </c>
      <c r="J22" s="79">
        <f>SUM(J9:J21)</f>
        <v>157531207.21103999</v>
      </c>
      <c r="K22" s="79">
        <f>SUM(K9:K21)</f>
        <v>165599211.49725997</v>
      </c>
      <c r="L22" s="77">
        <f t="shared" si="3"/>
        <v>5.1215276192300827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F1" sqref="F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/>
    </row>
    <row r="22" spans="3:14" x14ac:dyDescent="0.2">
      <c r="C22" s="67"/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6"/>
      <c r="I26" s="166"/>
      <c r="N26" t="s">
        <v>43</v>
      </c>
    </row>
    <row r="27" spans="3:14" x14ac:dyDescent="0.2">
      <c r="H27" s="166"/>
      <c r="I27" s="166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6"/>
      <c r="I39" s="166"/>
    </row>
    <row r="40" spans="8:9" x14ac:dyDescent="0.2">
      <c r="H40" s="166"/>
      <c r="I40" s="166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6"/>
      <c r="I51" s="166"/>
    </row>
    <row r="52" spans="3:9" x14ac:dyDescent="0.2">
      <c r="H52" s="166"/>
      <c r="I52" s="166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15" width="14.140625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39"/>
      <c r="B3" s="76" t="s">
        <v>120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">
      <c r="A5" s="56" t="s">
        <v>100</v>
      </c>
      <c r="B5" s="57" t="s">
        <v>169</v>
      </c>
      <c r="C5" s="82">
        <v>1243958.3739499999</v>
      </c>
      <c r="D5" s="82">
        <v>1181451.93035</v>
      </c>
      <c r="E5" s="82">
        <v>1331211.74832</v>
      </c>
      <c r="F5" s="82">
        <v>1223343.40974</v>
      </c>
      <c r="G5" s="82">
        <v>1426995.62222</v>
      </c>
      <c r="H5" s="82">
        <v>1030605.54445</v>
      </c>
      <c r="I5" s="58">
        <v>1352622.3441900001</v>
      </c>
      <c r="J5" s="58">
        <v>1076209.5241400001</v>
      </c>
      <c r="K5" s="58">
        <v>0</v>
      </c>
      <c r="L5" s="58">
        <v>0</v>
      </c>
      <c r="M5" s="58">
        <v>0</v>
      </c>
      <c r="N5" s="58">
        <v>0</v>
      </c>
      <c r="O5" s="82">
        <v>9866398.4973600004</v>
      </c>
      <c r="P5" s="59">
        <f t="shared" ref="P5:P24" si="0">O5/O$26*100</f>
        <v>9.1484285001414332</v>
      </c>
    </row>
    <row r="6" spans="1:16" x14ac:dyDescent="0.2">
      <c r="A6" s="56" t="s">
        <v>99</v>
      </c>
      <c r="B6" s="57" t="s">
        <v>170</v>
      </c>
      <c r="C6" s="82">
        <v>931058.68510999996</v>
      </c>
      <c r="D6" s="82">
        <v>848069.30149999994</v>
      </c>
      <c r="E6" s="82">
        <v>846352.71276000002</v>
      </c>
      <c r="F6" s="82">
        <v>817488.37734999997</v>
      </c>
      <c r="G6" s="82">
        <v>844688.79998000001</v>
      </c>
      <c r="H6" s="82">
        <v>674333.19790000003</v>
      </c>
      <c r="I6" s="58">
        <v>1070660.156</v>
      </c>
      <c r="J6" s="58">
        <v>982064.98074000003</v>
      </c>
      <c r="K6" s="58">
        <v>0</v>
      </c>
      <c r="L6" s="58">
        <v>0</v>
      </c>
      <c r="M6" s="58">
        <v>0</v>
      </c>
      <c r="N6" s="58">
        <v>0</v>
      </c>
      <c r="O6" s="82">
        <v>7014716.2113399999</v>
      </c>
      <c r="P6" s="59">
        <f t="shared" si="0"/>
        <v>6.5042608734482226</v>
      </c>
    </row>
    <row r="7" spans="1:16" x14ac:dyDescent="0.2">
      <c r="A7" s="56" t="s">
        <v>98</v>
      </c>
      <c r="B7" s="57" t="s">
        <v>172</v>
      </c>
      <c r="C7" s="82">
        <v>774202.45264999999</v>
      </c>
      <c r="D7" s="82">
        <v>802942.43003000005</v>
      </c>
      <c r="E7" s="82">
        <v>831201.22071000002</v>
      </c>
      <c r="F7" s="82">
        <v>770944.52228999999</v>
      </c>
      <c r="G7" s="82">
        <v>854894.15089000005</v>
      </c>
      <c r="H7" s="82">
        <v>608169.72169000003</v>
      </c>
      <c r="I7" s="58">
        <v>726528.63661000005</v>
      </c>
      <c r="J7" s="58">
        <v>571295.78570999997</v>
      </c>
      <c r="K7" s="58">
        <v>0</v>
      </c>
      <c r="L7" s="58">
        <v>0</v>
      </c>
      <c r="M7" s="58">
        <v>0</v>
      </c>
      <c r="N7" s="58">
        <v>0</v>
      </c>
      <c r="O7" s="82">
        <v>5940178.9205799997</v>
      </c>
      <c r="P7" s="59">
        <f t="shared" si="0"/>
        <v>5.5079168095140636</v>
      </c>
    </row>
    <row r="8" spans="1:16" x14ac:dyDescent="0.2">
      <c r="A8" s="56" t="s">
        <v>97</v>
      </c>
      <c r="B8" s="57" t="s">
        <v>173</v>
      </c>
      <c r="C8" s="82">
        <v>611418.01155000005</v>
      </c>
      <c r="D8" s="82">
        <v>739641.46923000005</v>
      </c>
      <c r="E8" s="82">
        <v>760834.28460000001</v>
      </c>
      <c r="F8" s="82">
        <v>683871.71464000002</v>
      </c>
      <c r="G8" s="82">
        <v>733793.04244999995</v>
      </c>
      <c r="H8" s="82">
        <v>447969.30833999999</v>
      </c>
      <c r="I8" s="58">
        <v>646249.68905000004</v>
      </c>
      <c r="J8" s="58">
        <v>569261.46325999999</v>
      </c>
      <c r="K8" s="58">
        <v>0</v>
      </c>
      <c r="L8" s="58">
        <v>0</v>
      </c>
      <c r="M8" s="58">
        <v>0</v>
      </c>
      <c r="N8" s="58">
        <v>0</v>
      </c>
      <c r="O8" s="82">
        <v>5193038.98312</v>
      </c>
      <c r="P8" s="59">
        <f t="shared" si="0"/>
        <v>4.8151456530194352</v>
      </c>
    </row>
    <row r="9" spans="1:16" x14ac:dyDescent="0.2">
      <c r="A9" s="56" t="s">
        <v>96</v>
      </c>
      <c r="B9" s="57" t="s">
        <v>171</v>
      </c>
      <c r="C9" s="82">
        <v>585694.44620000001</v>
      </c>
      <c r="D9" s="82">
        <v>593597.46013999998</v>
      </c>
      <c r="E9" s="82">
        <v>669090.84404999996</v>
      </c>
      <c r="F9" s="82">
        <v>751419.78081999999</v>
      </c>
      <c r="G9" s="82">
        <v>757509.00161000004</v>
      </c>
      <c r="H9" s="82">
        <v>479383.20699999999</v>
      </c>
      <c r="I9" s="58">
        <v>700472.8247</v>
      </c>
      <c r="J9" s="58">
        <v>603314.42105999996</v>
      </c>
      <c r="K9" s="58">
        <v>0</v>
      </c>
      <c r="L9" s="58">
        <v>0</v>
      </c>
      <c r="M9" s="58">
        <v>0</v>
      </c>
      <c r="N9" s="58">
        <v>0</v>
      </c>
      <c r="O9" s="82">
        <v>5140481.9855800001</v>
      </c>
      <c r="P9" s="59">
        <f t="shared" si="0"/>
        <v>4.7664131865266768</v>
      </c>
    </row>
    <row r="10" spans="1:16" x14ac:dyDescent="0.2">
      <c r="A10" s="56" t="s">
        <v>95</v>
      </c>
      <c r="B10" s="57" t="s">
        <v>175</v>
      </c>
      <c r="C10" s="82">
        <v>554870.13755999994</v>
      </c>
      <c r="D10" s="82">
        <v>573816.04775000003</v>
      </c>
      <c r="E10" s="82">
        <v>684428.51205999998</v>
      </c>
      <c r="F10" s="82">
        <v>683612.19863999996</v>
      </c>
      <c r="G10" s="82">
        <v>733344.08</v>
      </c>
      <c r="H10" s="82">
        <v>626578.15631999995</v>
      </c>
      <c r="I10" s="58">
        <v>728064.65954000002</v>
      </c>
      <c r="J10" s="58">
        <v>497515.61557999998</v>
      </c>
      <c r="K10" s="58">
        <v>0</v>
      </c>
      <c r="L10" s="58">
        <v>0</v>
      </c>
      <c r="M10" s="58">
        <v>0</v>
      </c>
      <c r="N10" s="58">
        <v>0</v>
      </c>
      <c r="O10" s="82">
        <v>5082229.4074499998</v>
      </c>
      <c r="P10" s="59">
        <f t="shared" si="0"/>
        <v>4.7123996023283699</v>
      </c>
    </row>
    <row r="11" spans="1:16" x14ac:dyDescent="0.2">
      <c r="A11" s="56" t="s">
        <v>94</v>
      </c>
      <c r="B11" s="57" t="s">
        <v>174</v>
      </c>
      <c r="C11" s="82">
        <v>539386.82880999998</v>
      </c>
      <c r="D11" s="82">
        <v>559586.44955999998</v>
      </c>
      <c r="E11" s="82">
        <v>627699.95713999995</v>
      </c>
      <c r="F11" s="82">
        <v>651692.43104000005</v>
      </c>
      <c r="G11" s="82">
        <v>659452.50904000003</v>
      </c>
      <c r="H11" s="82">
        <v>429840.40672999999</v>
      </c>
      <c r="I11" s="58">
        <v>661100.55047000002</v>
      </c>
      <c r="J11" s="58">
        <v>564249.68553999998</v>
      </c>
      <c r="K11" s="58">
        <v>0</v>
      </c>
      <c r="L11" s="58">
        <v>0</v>
      </c>
      <c r="M11" s="58">
        <v>0</v>
      </c>
      <c r="N11" s="58">
        <v>0</v>
      </c>
      <c r="O11" s="82">
        <v>4693008.8183300002</v>
      </c>
      <c r="P11" s="59">
        <f t="shared" si="0"/>
        <v>4.3515022869300495</v>
      </c>
    </row>
    <row r="12" spans="1:16" x14ac:dyDescent="0.2">
      <c r="A12" s="56" t="s">
        <v>93</v>
      </c>
      <c r="B12" s="57" t="s">
        <v>176</v>
      </c>
      <c r="C12" s="82">
        <v>386539.28165000002</v>
      </c>
      <c r="D12" s="82">
        <v>409110.44832000002</v>
      </c>
      <c r="E12" s="82">
        <v>403195.43729999999</v>
      </c>
      <c r="F12" s="82">
        <v>350541.14004999999</v>
      </c>
      <c r="G12" s="82">
        <v>505168.16378</v>
      </c>
      <c r="H12" s="82">
        <v>448215.61945</v>
      </c>
      <c r="I12" s="58">
        <v>582433.5135</v>
      </c>
      <c r="J12" s="58">
        <v>471935.23749999999</v>
      </c>
      <c r="K12" s="58">
        <v>0</v>
      </c>
      <c r="L12" s="58">
        <v>0</v>
      </c>
      <c r="M12" s="58">
        <v>0</v>
      </c>
      <c r="N12" s="58">
        <v>0</v>
      </c>
      <c r="O12" s="82">
        <v>3557138.84155</v>
      </c>
      <c r="P12" s="59">
        <f t="shared" si="0"/>
        <v>3.29828866791703</v>
      </c>
    </row>
    <row r="13" spans="1:16" x14ac:dyDescent="0.2">
      <c r="A13" s="56" t="s">
        <v>92</v>
      </c>
      <c r="B13" s="57" t="s">
        <v>177</v>
      </c>
      <c r="C13" s="82">
        <v>291567.69624999998</v>
      </c>
      <c r="D13" s="82">
        <v>348002.91872999998</v>
      </c>
      <c r="E13" s="82">
        <v>448872.19300000003</v>
      </c>
      <c r="F13" s="82">
        <v>359589.24540999997</v>
      </c>
      <c r="G13" s="82">
        <v>404747.09396999999</v>
      </c>
      <c r="H13" s="82">
        <v>225969.77548000001</v>
      </c>
      <c r="I13" s="58">
        <v>425234.66762999998</v>
      </c>
      <c r="J13" s="58">
        <v>317247.00201</v>
      </c>
      <c r="K13" s="58">
        <v>0</v>
      </c>
      <c r="L13" s="58">
        <v>0</v>
      </c>
      <c r="M13" s="58">
        <v>0</v>
      </c>
      <c r="N13" s="58">
        <v>0</v>
      </c>
      <c r="O13" s="82">
        <v>2821230.5924800001</v>
      </c>
      <c r="P13" s="59">
        <f t="shared" si="0"/>
        <v>2.6159318787520083</v>
      </c>
    </row>
    <row r="14" spans="1:16" x14ac:dyDescent="0.2">
      <c r="A14" s="56" t="s">
        <v>91</v>
      </c>
      <c r="B14" s="57" t="s">
        <v>212</v>
      </c>
      <c r="C14" s="82">
        <v>309653.59568999999</v>
      </c>
      <c r="D14" s="82">
        <v>318287.77507999999</v>
      </c>
      <c r="E14" s="82">
        <v>386360.60736999998</v>
      </c>
      <c r="F14" s="82">
        <v>315209.16819</v>
      </c>
      <c r="G14" s="82">
        <v>338543.26494999998</v>
      </c>
      <c r="H14" s="82">
        <v>283242.76909000002</v>
      </c>
      <c r="I14" s="58">
        <v>332445.51477000001</v>
      </c>
      <c r="J14" s="58">
        <v>255162.72772</v>
      </c>
      <c r="K14" s="58">
        <v>0</v>
      </c>
      <c r="L14" s="58">
        <v>0</v>
      </c>
      <c r="M14" s="58">
        <v>0</v>
      </c>
      <c r="N14" s="58">
        <v>0</v>
      </c>
      <c r="O14" s="82">
        <v>2538905.4228599998</v>
      </c>
      <c r="P14" s="59">
        <f t="shared" si="0"/>
        <v>2.3541512879163577</v>
      </c>
    </row>
    <row r="15" spans="1:16" x14ac:dyDescent="0.2">
      <c r="A15" s="56" t="s">
        <v>90</v>
      </c>
      <c r="B15" s="57" t="s">
        <v>178</v>
      </c>
      <c r="C15" s="82">
        <v>264935.96269999997</v>
      </c>
      <c r="D15" s="82">
        <v>300449.37297000003</v>
      </c>
      <c r="E15" s="82">
        <v>300205.84831999999</v>
      </c>
      <c r="F15" s="82">
        <v>280224.01598000003</v>
      </c>
      <c r="G15" s="82">
        <v>334806.68553000002</v>
      </c>
      <c r="H15" s="82">
        <v>270506.87913999998</v>
      </c>
      <c r="I15" s="58">
        <v>347297.60509999999</v>
      </c>
      <c r="J15" s="58">
        <v>296079.80158999999</v>
      </c>
      <c r="K15" s="58">
        <v>0</v>
      </c>
      <c r="L15" s="58">
        <v>0</v>
      </c>
      <c r="M15" s="58">
        <v>0</v>
      </c>
      <c r="N15" s="58">
        <v>0</v>
      </c>
      <c r="O15" s="82">
        <v>2394506.1713299998</v>
      </c>
      <c r="P15" s="59">
        <f t="shared" si="0"/>
        <v>2.2202598554499295</v>
      </c>
    </row>
    <row r="16" spans="1:16" x14ac:dyDescent="0.2">
      <c r="A16" s="56" t="s">
        <v>89</v>
      </c>
      <c r="B16" s="57" t="s">
        <v>213</v>
      </c>
      <c r="C16" s="82">
        <v>290711.36741000001</v>
      </c>
      <c r="D16" s="82">
        <v>285888.35385000001</v>
      </c>
      <c r="E16" s="82">
        <v>313715.64477999997</v>
      </c>
      <c r="F16" s="82">
        <v>298669.15840999997</v>
      </c>
      <c r="G16" s="82">
        <v>292913.40639000002</v>
      </c>
      <c r="H16" s="82">
        <v>211015.52395999999</v>
      </c>
      <c r="I16" s="58">
        <v>293703.26014000003</v>
      </c>
      <c r="J16" s="58">
        <v>219616.1177</v>
      </c>
      <c r="K16" s="58">
        <v>0</v>
      </c>
      <c r="L16" s="58">
        <v>0</v>
      </c>
      <c r="M16" s="58">
        <v>0</v>
      </c>
      <c r="N16" s="58">
        <v>0</v>
      </c>
      <c r="O16" s="82">
        <v>2206232.8326400002</v>
      </c>
      <c r="P16" s="59">
        <f t="shared" si="0"/>
        <v>2.045687018365633</v>
      </c>
    </row>
    <row r="17" spans="1:16" x14ac:dyDescent="0.2">
      <c r="A17" s="56" t="s">
        <v>88</v>
      </c>
      <c r="B17" s="57" t="s">
        <v>214</v>
      </c>
      <c r="C17" s="82">
        <v>227351.14317</v>
      </c>
      <c r="D17" s="82">
        <v>264874.79983999999</v>
      </c>
      <c r="E17" s="82">
        <v>349849.26309999998</v>
      </c>
      <c r="F17" s="82">
        <v>346674.67145000002</v>
      </c>
      <c r="G17" s="82">
        <v>339315.87912</v>
      </c>
      <c r="H17" s="82">
        <v>151598.29230999999</v>
      </c>
      <c r="I17" s="58">
        <v>272063.20796999999</v>
      </c>
      <c r="J17" s="58">
        <v>214470.68356999999</v>
      </c>
      <c r="K17" s="58">
        <v>0</v>
      </c>
      <c r="L17" s="58">
        <v>0</v>
      </c>
      <c r="M17" s="58">
        <v>0</v>
      </c>
      <c r="N17" s="58">
        <v>0</v>
      </c>
      <c r="O17" s="82">
        <v>2166197.9405299998</v>
      </c>
      <c r="P17" s="59">
        <f t="shared" si="0"/>
        <v>2.0085654336174379</v>
      </c>
    </row>
    <row r="18" spans="1:16" x14ac:dyDescent="0.2">
      <c r="A18" s="56" t="s">
        <v>87</v>
      </c>
      <c r="B18" s="57" t="s">
        <v>215</v>
      </c>
      <c r="C18" s="82">
        <v>250216.25211999999</v>
      </c>
      <c r="D18" s="82">
        <v>226501.47057</v>
      </c>
      <c r="E18" s="82">
        <v>310582.02617000003</v>
      </c>
      <c r="F18" s="82">
        <v>265795.30004</v>
      </c>
      <c r="G18" s="82">
        <v>278060.67095</v>
      </c>
      <c r="H18" s="82">
        <v>200590.13993</v>
      </c>
      <c r="I18" s="58">
        <v>322589.93903000001</v>
      </c>
      <c r="J18" s="58">
        <v>248667.67710999999</v>
      </c>
      <c r="K18" s="58">
        <v>0</v>
      </c>
      <c r="L18" s="58">
        <v>0</v>
      </c>
      <c r="M18" s="58">
        <v>0</v>
      </c>
      <c r="N18" s="58">
        <v>0</v>
      </c>
      <c r="O18" s="82">
        <v>2103003.4759200001</v>
      </c>
      <c r="P18" s="59">
        <f t="shared" si="0"/>
        <v>1.9499695801006764</v>
      </c>
    </row>
    <row r="19" spans="1:16" x14ac:dyDescent="0.2">
      <c r="A19" s="56" t="s">
        <v>86</v>
      </c>
      <c r="B19" s="57" t="s">
        <v>216</v>
      </c>
      <c r="C19" s="82">
        <v>269659.91733000003</v>
      </c>
      <c r="D19" s="82">
        <v>287661.21325999999</v>
      </c>
      <c r="E19" s="82">
        <v>279123.10960999998</v>
      </c>
      <c r="F19" s="82">
        <v>313547.73181999999</v>
      </c>
      <c r="G19" s="82">
        <v>300251.30725999997</v>
      </c>
      <c r="H19" s="82">
        <v>201673.40231999999</v>
      </c>
      <c r="I19" s="58">
        <v>254496.30882999999</v>
      </c>
      <c r="J19" s="58">
        <v>193561.02040000001</v>
      </c>
      <c r="K19" s="58">
        <v>0</v>
      </c>
      <c r="L19" s="58">
        <v>0</v>
      </c>
      <c r="M19" s="58">
        <v>0</v>
      </c>
      <c r="N19" s="58">
        <v>0</v>
      </c>
      <c r="O19" s="82">
        <v>2099974.01083</v>
      </c>
      <c r="P19" s="59">
        <f t="shared" si="0"/>
        <v>1.9471605667837142</v>
      </c>
    </row>
    <row r="20" spans="1:16" x14ac:dyDescent="0.2">
      <c r="A20" s="56" t="s">
        <v>85</v>
      </c>
      <c r="B20" s="57" t="s">
        <v>217</v>
      </c>
      <c r="C20" s="82">
        <v>229088.39890999999</v>
      </c>
      <c r="D20" s="82">
        <v>206085.13389</v>
      </c>
      <c r="E20" s="82">
        <v>231984.43531</v>
      </c>
      <c r="F20" s="82">
        <v>231098.42728999999</v>
      </c>
      <c r="G20" s="82">
        <v>234993.20952999999</v>
      </c>
      <c r="H20" s="82">
        <v>171605.99035000001</v>
      </c>
      <c r="I20" s="58">
        <v>194477.77030999999</v>
      </c>
      <c r="J20" s="58">
        <v>177164.18549</v>
      </c>
      <c r="K20" s="58">
        <v>0</v>
      </c>
      <c r="L20" s="58">
        <v>0</v>
      </c>
      <c r="M20" s="58">
        <v>0</v>
      </c>
      <c r="N20" s="58">
        <v>0</v>
      </c>
      <c r="O20" s="82">
        <v>1676497.5510799999</v>
      </c>
      <c r="P20" s="59">
        <f t="shared" si="0"/>
        <v>1.5545001533053291</v>
      </c>
    </row>
    <row r="21" spans="1:16" x14ac:dyDescent="0.2">
      <c r="A21" s="56" t="s">
        <v>84</v>
      </c>
      <c r="B21" s="57" t="s">
        <v>218</v>
      </c>
      <c r="C21" s="82">
        <v>200689.08543000001</v>
      </c>
      <c r="D21" s="82">
        <v>163010.73998000001</v>
      </c>
      <c r="E21" s="82">
        <v>207010.87557</v>
      </c>
      <c r="F21" s="82">
        <v>218360.96111</v>
      </c>
      <c r="G21" s="82">
        <v>284383.02883999998</v>
      </c>
      <c r="H21" s="82">
        <v>175126.03761999999</v>
      </c>
      <c r="I21" s="58">
        <v>228072.09346999999</v>
      </c>
      <c r="J21" s="58">
        <v>186001.70861999999</v>
      </c>
      <c r="K21" s="58">
        <v>0</v>
      </c>
      <c r="L21" s="58">
        <v>0</v>
      </c>
      <c r="M21" s="58">
        <v>0</v>
      </c>
      <c r="N21" s="58">
        <v>0</v>
      </c>
      <c r="O21" s="82">
        <v>1662654.53064</v>
      </c>
      <c r="P21" s="59">
        <f t="shared" si="0"/>
        <v>1.5416644784889082</v>
      </c>
    </row>
    <row r="22" spans="1:16" x14ac:dyDescent="0.2">
      <c r="A22" s="56" t="s">
        <v>83</v>
      </c>
      <c r="B22" s="57" t="s">
        <v>219</v>
      </c>
      <c r="C22" s="82">
        <v>199630.49965000001</v>
      </c>
      <c r="D22" s="82">
        <v>187740.19714</v>
      </c>
      <c r="E22" s="82">
        <v>202611.68979</v>
      </c>
      <c r="F22" s="82">
        <v>205129.45266000001</v>
      </c>
      <c r="G22" s="82">
        <v>220663.11548000001</v>
      </c>
      <c r="H22" s="82">
        <v>154903.00184000001</v>
      </c>
      <c r="I22" s="58">
        <v>218840.95978</v>
      </c>
      <c r="J22" s="58">
        <v>170120.13016999999</v>
      </c>
      <c r="K22" s="58">
        <v>0</v>
      </c>
      <c r="L22" s="58">
        <v>0</v>
      </c>
      <c r="M22" s="58">
        <v>0</v>
      </c>
      <c r="N22" s="58">
        <v>0</v>
      </c>
      <c r="O22" s="82">
        <v>1559639.04651</v>
      </c>
      <c r="P22" s="59">
        <f t="shared" si="0"/>
        <v>1.4461453494751217</v>
      </c>
    </row>
    <row r="23" spans="1:16" x14ac:dyDescent="0.2">
      <c r="A23" s="56" t="s">
        <v>82</v>
      </c>
      <c r="B23" s="57" t="s">
        <v>220</v>
      </c>
      <c r="C23" s="82">
        <v>125121.43453</v>
      </c>
      <c r="D23" s="82">
        <v>189735.44988999999</v>
      </c>
      <c r="E23" s="82">
        <v>242257.21960000001</v>
      </c>
      <c r="F23" s="82">
        <v>209054.8285</v>
      </c>
      <c r="G23" s="82">
        <v>292245.00757999998</v>
      </c>
      <c r="H23" s="82">
        <v>107640.38472</v>
      </c>
      <c r="I23" s="58">
        <v>171001.91136999999</v>
      </c>
      <c r="J23" s="58">
        <v>167854.24109</v>
      </c>
      <c r="K23" s="58">
        <v>0</v>
      </c>
      <c r="L23" s="58">
        <v>0</v>
      </c>
      <c r="M23" s="58">
        <v>0</v>
      </c>
      <c r="N23" s="58">
        <v>0</v>
      </c>
      <c r="O23" s="82">
        <v>1504910.47728</v>
      </c>
      <c r="P23" s="59">
        <f t="shared" si="0"/>
        <v>1.3953993348427647</v>
      </c>
    </row>
    <row r="24" spans="1:16" x14ac:dyDescent="0.2">
      <c r="A24" s="56" t="s">
        <v>81</v>
      </c>
      <c r="B24" s="57" t="s">
        <v>221</v>
      </c>
      <c r="C24" s="82">
        <v>173025.59112</v>
      </c>
      <c r="D24" s="82">
        <v>203964.60714000001</v>
      </c>
      <c r="E24" s="82">
        <v>211734.80142999999</v>
      </c>
      <c r="F24" s="82">
        <v>186587.85409000001</v>
      </c>
      <c r="G24" s="82">
        <v>198175.74379000001</v>
      </c>
      <c r="H24" s="82">
        <v>137132.06385000001</v>
      </c>
      <c r="I24" s="58">
        <v>171681.44529999999</v>
      </c>
      <c r="J24" s="58">
        <v>164737.06937000001</v>
      </c>
      <c r="K24" s="58">
        <v>0</v>
      </c>
      <c r="L24" s="58">
        <v>0</v>
      </c>
      <c r="M24" s="58">
        <v>0</v>
      </c>
      <c r="N24" s="58">
        <v>0</v>
      </c>
      <c r="O24" s="82">
        <v>1447039.17609</v>
      </c>
      <c r="P24" s="59">
        <f t="shared" si="0"/>
        <v>1.3417392823637848</v>
      </c>
    </row>
    <row r="25" spans="1:16" x14ac:dyDescent="0.2">
      <c r="A25" s="60"/>
      <c r="B25" s="167" t="s">
        <v>80</v>
      </c>
      <c r="C25" s="167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70667982.8935</v>
      </c>
      <c r="P25" s="62">
        <f>SUM(P5:P24)</f>
        <v>65.525529799286971</v>
      </c>
    </row>
    <row r="26" spans="1:16" ht="13.5" customHeight="1" x14ac:dyDescent="0.2">
      <c r="A26" s="60"/>
      <c r="B26" s="168" t="s">
        <v>79</v>
      </c>
      <c r="C26" s="168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107848014.52192</v>
      </c>
      <c r="P26" s="58">
        <f>O26/O$26*100</f>
        <v>100</v>
      </c>
    </row>
    <row r="27" spans="1:16" x14ac:dyDescent="0.2">
      <c r="B27" s="40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/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2019-09-02T10:29:50Z</dcterms:modified>
</cp:coreProperties>
</file>