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18943\Desktop\"/>
    </mc:Choice>
  </mc:AlternateContent>
  <xr:revisionPtr revIDLastSave="0" documentId="8_{74885ED4-6BE3-4D79-86A0-CDD66BE02CA5}" xr6:coauthVersionLast="47" xr6:coauthVersionMax="47" xr10:uidLastSave="{00000000-0000-0000-0000-000000000000}"/>
  <bookViews>
    <workbookView xWindow="-8505" yWindow="-17175" windowWidth="25350" windowHeight="12645" activeTab="1" xr2:uid="{4082B70B-3853-4124-8B3E-140EC655DE6F}"/>
  </bookViews>
  <sheets>
    <sheet name="Inflation bonds" sheetId="1" r:id="rId1"/>
    <sheet name="tax planning" sheetId="2" r:id="rId2"/>
    <sheet name="IKE s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E24" i="2"/>
  <c r="E23" i="2"/>
  <c r="D23" i="2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21" i="3" s="1"/>
  <c r="J15" i="1"/>
  <c r="J14" i="1"/>
  <c r="J13" i="1"/>
  <c r="J12" i="1"/>
  <c r="J11" i="1"/>
  <c r="J10" i="1"/>
  <c r="J9" i="1"/>
  <c r="J8" i="1"/>
  <c r="J7" i="1"/>
  <c r="J6" i="1"/>
  <c r="J5" i="1"/>
  <c r="J4" i="1"/>
  <c r="H3" i="1"/>
  <c r="D3" i="1"/>
  <c r="G6" i="1"/>
  <c r="G7" i="1"/>
  <c r="G8" i="1"/>
  <c r="G9" i="1"/>
  <c r="G10" i="1"/>
  <c r="G11" i="1"/>
  <c r="G12" i="1"/>
  <c r="G13" i="1"/>
  <c r="G14" i="1"/>
  <c r="G15" i="1"/>
  <c r="G5" i="1"/>
  <c r="C4" i="1"/>
  <c r="B4" i="1" s="1"/>
  <c r="D4" i="1" s="1"/>
  <c r="G4" i="1"/>
  <c r="F4" i="1" s="1"/>
  <c r="H4" i="1" s="1"/>
  <c r="E19" i="3" l="1"/>
  <c r="E3" i="3"/>
  <c r="E17" i="3"/>
  <c r="E14" i="3"/>
  <c r="E12" i="3"/>
  <c r="E20" i="3"/>
  <c r="I2" i="3"/>
  <c r="E13" i="3"/>
  <c r="E11" i="3"/>
  <c r="E9" i="3"/>
  <c r="E16" i="3"/>
  <c r="E10" i="3"/>
  <c r="E7" i="3"/>
  <c r="C2" i="3"/>
  <c r="E6" i="3"/>
  <c r="E18" i="3"/>
  <c r="E15" i="3"/>
  <c r="E8" i="3"/>
  <c r="E2" i="3"/>
  <c r="E5" i="3"/>
  <c r="H2" i="3"/>
  <c r="E4" i="3"/>
  <c r="I4" i="1"/>
  <c r="E4" i="1"/>
  <c r="F5" i="1"/>
  <c r="H5" i="1" s="1"/>
  <c r="C5" i="1"/>
  <c r="D2" i="3" l="1"/>
  <c r="H3" i="3"/>
  <c r="I3" i="3" s="1"/>
  <c r="H4" i="3" s="1"/>
  <c r="E22" i="3"/>
  <c r="I5" i="1"/>
  <c r="F6" i="1"/>
  <c r="I4" i="3" l="1"/>
  <c r="H5" i="3" s="1"/>
  <c r="I5" i="3" s="1"/>
  <c r="H6" i="3" s="1"/>
  <c r="C3" i="3"/>
  <c r="F7" i="1"/>
  <c r="H6" i="1"/>
  <c r="I6" i="1" s="1"/>
  <c r="D3" i="3" l="1"/>
  <c r="C4" i="3" s="1"/>
  <c r="I6" i="3"/>
  <c r="H7" i="3" s="1"/>
  <c r="F8" i="1"/>
  <c r="H7" i="1"/>
  <c r="I7" i="1" s="1"/>
  <c r="D4" i="3" l="1"/>
  <c r="C5" i="3" s="1"/>
  <c r="D5" i="3" s="1"/>
  <c r="C6" i="3" s="1"/>
  <c r="D6" i="3" s="1"/>
  <c r="C7" i="3" s="1"/>
  <c r="I7" i="3"/>
  <c r="H8" i="3" s="1"/>
  <c r="I8" i="3" s="1"/>
  <c r="H9" i="3" s="1"/>
  <c r="F9" i="1"/>
  <c r="H8" i="1"/>
  <c r="I8" i="1" s="1"/>
  <c r="D7" i="3" l="1"/>
  <c r="C8" i="3" s="1"/>
  <c r="I9" i="3"/>
  <c r="H10" i="3" s="1"/>
  <c r="I10" i="3" s="1"/>
  <c r="H11" i="3" s="1"/>
  <c r="F10" i="1"/>
  <c r="H9" i="1"/>
  <c r="I9" i="1" s="1"/>
  <c r="D8" i="3" l="1"/>
  <c r="C9" i="3" s="1"/>
  <c r="I11" i="3"/>
  <c r="H12" i="3" s="1"/>
  <c r="F11" i="1"/>
  <c r="H10" i="1"/>
  <c r="I10" i="1" s="1"/>
  <c r="D9" i="3" l="1"/>
  <c r="C10" i="3" s="1"/>
  <c r="I12" i="3"/>
  <c r="H13" i="3" s="1"/>
  <c r="F12" i="1"/>
  <c r="H11" i="1"/>
  <c r="I11" i="1" s="1"/>
  <c r="D10" i="3" l="1"/>
  <c r="C11" i="3" s="1"/>
  <c r="I13" i="3"/>
  <c r="H14" i="3" s="1"/>
  <c r="F13" i="1"/>
  <c r="H12" i="1"/>
  <c r="I12" i="1" s="1"/>
  <c r="D11" i="3" l="1"/>
  <c r="C12" i="3" s="1"/>
  <c r="D12" i="3" s="1"/>
  <c r="C13" i="3" s="1"/>
  <c r="I14" i="3"/>
  <c r="H15" i="3" s="1"/>
  <c r="F14" i="1"/>
  <c r="H13" i="1"/>
  <c r="I13" i="1" s="1"/>
  <c r="D13" i="3" l="1"/>
  <c r="C14" i="3" s="1"/>
  <c r="D14" i="3" s="1"/>
  <c r="C15" i="3" s="1"/>
  <c r="D15" i="3" s="1"/>
  <c r="C16" i="3" s="1"/>
  <c r="I15" i="3"/>
  <c r="H16" i="3" s="1"/>
  <c r="F15" i="1"/>
  <c r="H15" i="1" s="1"/>
  <c r="I15" i="1" s="1"/>
  <c r="H14" i="1"/>
  <c r="I14" i="1" s="1"/>
  <c r="I16" i="3" l="1"/>
  <c r="H17" i="3" s="1"/>
  <c r="D16" i="3"/>
  <c r="C17" i="3" s="1"/>
  <c r="B5" i="1"/>
  <c r="I17" i="3" l="1"/>
  <c r="H18" i="3" s="1"/>
  <c r="D17" i="3"/>
  <c r="C18" i="3" s="1"/>
  <c r="C6" i="1"/>
  <c r="B6" i="1" s="1"/>
  <c r="C7" i="1" s="1"/>
  <c r="D5" i="1"/>
  <c r="E5" i="1" s="1"/>
  <c r="I18" i="3" l="1"/>
  <c r="H19" i="3" s="1"/>
  <c r="D18" i="3"/>
  <c r="C19" i="3" s="1"/>
  <c r="D6" i="1"/>
  <c r="E6" i="1" s="1"/>
  <c r="B7" i="1"/>
  <c r="I19" i="3" l="1"/>
  <c r="D19" i="3"/>
  <c r="C20" i="3" s="1"/>
  <c r="C8" i="1"/>
  <c r="B8" i="1" s="1"/>
  <c r="D7" i="1"/>
  <c r="E7" i="1" s="1"/>
  <c r="H20" i="3" l="1"/>
  <c r="I20" i="3" s="1"/>
  <c r="D20" i="3"/>
  <c r="C21" i="3" s="1"/>
  <c r="C9" i="1"/>
  <c r="B9" i="1" s="1"/>
  <c r="C10" i="1" s="1"/>
  <c r="D8" i="1"/>
  <c r="E8" i="1" s="1"/>
  <c r="D21" i="3" l="1"/>
  <c r="D22" i="3" s="1"/>
  <c r="C22" i="3"/>
  <c r="H21" i="3"/>
  <c r="D9" i="1"/>
  <c r="E9" i="1" s="1"/>
  <c r="B10" i="1"/>
  <c r="C11" i="1" s="1"/>
  <c r="I21" i="3" l="1"/>
  <c r="J22" i="3"/>
  <c r="H22" i="3"/>
  <c r="H23" i="3" s="1"/>
  <c r="D10" i="1"/>
  <c r="E10" i="1" s="1"/>
  <c r="I22" i="3" l="1"/>
  <c r="I23" i="3" s="1"/>
  <c r="B11" i="1"/>
  <c r="C12" i="1" s="1"/>
  <c r="D11" i="1" l="1"/>
  <c r="E11" i="1" s="1"/>
  <c r="B12" i="1"/>
  <c r="C13" i="1" s="1"/>
  <c r="D12" i="1" l="1"/>
  <c r="E12" i="1" s="1"/>
  <c r="B13" i="1"/>
  <c r="C14" i="1" s="1"/>
  <c r="D13" i="1" l="1"/>
  <c r="E13" i="1" s="1"/>
  <c r="B14" i="1"/>
  <c r="C15" i="1" s="1"/>
  <c r="D14" i="1" l="1"/>
  <c r="E14" i="1" s="1"/>
  <c r="B15" i="1" l="1"/>
  <c r="D15" i="1" s="1"/>
  <c r="E15" i="1" s="1"/>
</calcChain>
</file>

<file path=xl/sharedStrings.xml><?xml version="1.0" encoding="utf-8"?>
<sst xmlns="http://schemas.openxmlformats.org/spreadsheetml/2006/main" count="95" uniqueCount="81">
  <si>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</si>
  <si>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</si>
  <si>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</si>
  <si>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</si>
  <si>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</si>
  <si>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</si>
  <si>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</si>
  <si>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</si>
  <si>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</si>
  <si>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</si>
  <si>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</si>
  <si>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</si>
  <si>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Inflation (const)</t>
  </si>
  <si>
    <t>Year End</t>
  </si>
  <si>
    <t>Y0</t>
  </si>
  <si>
    <t>Net value (after tax)</t>
  </si>
  <si>
    <t>1st year coupon</t>
  </si>
  <si>
    <t>2nd+ year margin</t>
  </si>
  <si>
    <t>ROD12</t>
  </si>
  <si>
    <t>EDO10</t>
  </si>
  <si>
    <t>Gross value</t>
  </si>
  <si>
    <t>Interest</t>
  </si>
  <si>
    <t>Interest capitalisation</t>
  </si>
  <si>
    <t>No interest capitalisation</t>
  </si>
  <si>
    <t>Name</t>
  </si>
  <si>
    <t>Value</t>
  </si>
  <si>
    <t>vs inflation</t>
  </si>
  <si>
    <t>Inflated notional</t>
  </si>
  <si>
    <t>COI4</t>
  </si>
  <si>
    <t>cap.</t>
  </si>
  <si>
    <t>no cap.</t>
  </si>
  <si>
    <t>IKE</t>
  </si>
  <si>
    <t>IKZE</t>
  </si>
  <si>
    <t>Limits 2025</t>
  </si>
  <si>
    <t>Forms</t>
  </si>
  <si>
    <t>Makler, Bank accounts, Treasury Bonds, Funds via TFI;</t>
  </si>
  <si>
    <t>Tax</t>
  </si>
  <si>
    <t>Reliefs of 19% capital gain tax until 60y;</t>
  </si>
  <si>
    <t>Investment</t>
  </si>
  <si>
    <t>Yearly investment</t>
  </si>
  <si>
    <t>Yearly Return</t>
  </si>
  <si>
    <t>no IKE</t>
  </si>
  <si>
    <t>Initial investment</t>
  </si>
  <si>
    <t>Profit (after tax)</t>
  </si>
  <si>
    <t>Balance (after tax)</t>
  </si>
  <si>
    <t>Year</t>
  </si>
  <si>
    <t>final result</t>
  </si>
  <si>
    <t>Deposit/Withdrawal</t>
  </si>
  <si>
    <t>no limits on withdrawal amount/timing, pre 60y taxed with 19%</t>
  </si>
  <si>
    <t>can be transferred to different institution</t>
  </si>
  <si>
    <t>if funds are transferred/withdrawn 1y from first depo, fees may apply</t>
  </si>
  <si>
    <t>IKE Obligacje are s.t. 0.1% fee, max 200zl</t>
  </si>
  <si>
    <t>there are Cyprus 2013 case when all deposits on top of 100k EUR guarantee were confiscated? Avoid 100k if possible</t>
  </si>
  <si>
    <t>1. 60y age
2. Either: any 5y investments into IKE or at least 50% of all IKE money were deposited 5y before withdrawal;</t>
  </si>
  <si>
    <t>Conditions of tax relief</t>
  </si>
  <si>
    <t>Main benefit</t>
  </si>
  <si>
    <t>No capital gains tax</t>
  </si>
  <si>
    <t>All returns (withdraws) are s.t. PIT in next tax settlement; Q: if no income in period would retunr be subject to no tax up to 30k income?</t>
  </si>
  <si>
    <t>1. 65 yo and 2. at least any 5y had IKZE deposit</t>
  </si>
  <si>
    <t>Can be deducted from income (PIT), 3.3k PLN; 10% (ryczalt) tax still to be paid in best scenario on all accrued funds in IKZE; mo capital gains tax;</t>
  </si>
  <si>
    <t>makes no sense for maternity leave, since no income to deduct IKZE funds from</t>
  </si>
  <si>
    <r>
      <t>Kwoty uzyskane z tytułu ZWROTU środków z IKZE stanowią przychód z tzw. </t>
    </r>
    <r>
      <rPr>
        <i/>
        <sz val="12"/>
        <color rgb="FF2E2E2E"/>
        <rFont val="Lato"/>
        <family val="2"/>
      </rPr>
      <t>innych źródeł</t>
    </r>
    <r>
      <rPr>
        <sz val="12"/>
        <color rgb="FF2E2E2E"/>
        <rFont val="Lato"/>
        <family val="2"/>
      </rPr>
      <t>, </t>
    </r>
    <r>
      <rPr>
        <b/>
        <sz val="12"/>
        <color rgb="FF2E2E2E"/>
        <rFont val="Lato"/>
        <family val="2"/>
      </rPr>
      <t>opodatkowany według skali podatkowej</t>
    </r>
  </si>
  <si>
    <t>only full amount if before 65yo; also on demand</t>
  </si>
  <si>
    <t>OIPE (~EU IKE)</t>
  </si>
  <si>
    <t>No capital gains tax; meant to be EU product that is valid even if you move between countries; on practice - every EU member has it own rules; very different; in Poland it is similar to IKE</t>
  </si>
  <si>
    <t>only full amount if before 60yo; also on demand</t>
  </si>
  <si>
    <t>can not be partial, capital gains taxes are to be paid;</t>
  </si>
  <si>
    <t>3xAverage salary (in PL ~20k) = same as IKE</t>
  </si>
  <si>
    <t>can be withdrawn in foreign currency</t>
  </si>
  <si>
    <t>only predefined "strategies"</t>
  </si>
  <si>
    <t>in theory, maybe be of lower costs (1% max legally); no such limit in IKE</t>
  </si>
  <si>
    <t>IKE transfer might? Be of assets; not necessary to close position?</t>
  </si>
  <si>
    <t>some limitations when it comes to transferring funds to other providers;</t>
  </si>
  <si>
    <t>only 1 account is allowed per person for IKE and IKZE; OIPE also 1 account; but if residentship is changed - new one might be opened;</t>
  </si>
  <si>
    <t>practically seems to be 1% yearly</t>
  </si>
  <si>
    <t>mbank has 2 maklers, DM and emakler - checl</t>
  </si>
  <si>
    <t>xtb always 0.5% of fx charge</t>
  </si>
  <si>
    <t>mbank, Santander have ~0.1% fx charge (mid Reuters); Przy obecnym kursie (4,3 zł za EUR) w mBanku i Santanderze, będzie to 0,43 gr za każde EUR</t>
  </si>
  <si>
    <t>Bossa is also mid Reuters + 0.8 gr</t>
  </si>
  <si>
    <t>xtb vs mbank/bossa ~2800-3300 PLN on par</t>
  </si>
  <si>
    <t>https://marciniwuc.com/ranking-ike-i-ikze/ - great comparison of Maklers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</si>
</sst>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0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sz val="10"/>
      <color rgb="FFC00000"/>
      <name val="Arial"/>
      <family val="2"/>
    </font>
    <font>
      <b/>
      <i/>
      <sz val="10"/>
      <color theme="1"/>
      <name val="Arial"/>
      <family val="2"/>
    </font>
    <font>
      <sz val="12"/>
      <color rgb="FF2E2E2E"/>
      <name val="Lato"/>
      <family val="2"/>
    </font>
    <font>
      <b/>
      <sz val="12"/>
      <color rgb="FF2E2E2E"/>
      <name val="Lato"/>
      <family val="2"/>
    </font>
    <font>
      <i/>
      <sz val="12"/>
      <color rgb="FF2E2E2E"/>
      <name val="Lato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0" borderId="3" xfId="1" applyFont="1" applyBorder="1"/>
    <xf numFmtId="43" fontId="0" fillId="0" borderId="9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14" xfId="0" applyBorder="1"/>
    <xf numFmtId="0" fontId="3" fillId="0" borderId="14" xfId="0" applyFont="1" applyBorder="1"/>
    <xf numFmtId="43" fontId="3" fillId="0" borderId="5" xfId="1" applyFont="1" applyBorder="1"/>
    <xf numFmtId="43" fontId="3" fillId="0" borderId="0" xfId="1" applyFont="1" applyBorder="1"/>
    <xf numFmtId="43" fontId="3" fillId="0" borderId="6" xfId="1" applyFont="1" applyBorder="1"/>
    <xf numFmtId="0" fontId="3" fillId="0" borderId="15" xfId="0" applyFont="1" applyBorder="1"/>
    <xf numFmtId="43" fontId="3" fillId="0" borderId="7" xfId="1" applyFont="1" applyBorder="1"/>
    <xf numFmtId="43" fontId="3" fillId="0" borderId="10" xfId="1" applyFont="1" applyBorder="1"/>
    <xf numFmtId="43" fontId="3" fillId="0" borderId="8" xfId="1" applyFont="1" applyBorder="1"/>
    <xf numFmtId="0" fontId="3" fillId="0" borderId="0" xfId="0" applyFont="1"/>
    <xf numFmtId="43" fontId="0" fillId="0" borderId="16" xfId="1" applyFont="1" applyBorder="1"/>
    <xf numFmtId="43" fontId="0" fillId="0" borderId="14" xfId="1" applyFont="1" applyBorder="1"/>
    <xf numFmtId="43" fontId="0" fillId="0" borderId="15" xfId="1" applyFont="1" applyBorder="1"/>
    <xf numFmtId="0" fontId="5" fillId="0" borderId="14" xfId="0" applyFont="1" applyBorder="1"/>
    <xf numFmtId="43" fontId="5" fillId="0" borderId="14" xfId="0" applyNumberFormat="1" applyFont="1" applyBorder="1"/>
    <xf numFmtId="43" fontId="5" fillId="0" borderId="15" xfId="0" applyNumberFormat="1" applyFont="1" applyBorder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2" borderId="1" xfId="2" applyNumberFormat="1"/>
    <xf numFmtId="43" fontId="3" fillId="3" borderId="11" xfId="1" applyFont="1" applyFill="1" applyBorder="1" applyAlignment="1">
      <alignment horizontal="center" wrapText="1"/>
    </xf>
    <xf numFmtId="43" fontId="3" fillId="3" borderId="12" xfId="1" applyFont="1" applyFill="1" applyBorder="1" applyAlignment="1">
      <alignment horizontal="center" wrapText="1"/>
    </xf>
    <xf numFmtId="43" fontId="3" fillId="3" borderId="13" xfId="1" applyFont="1" applyFill="1" applyBorder="1" applyAlignment="1">
      <alignment horizontal="center" wrapText="1"/>
    </xf>
    <xf numFmtId="43" fontId="3" fillId="0" borderId="12" xfId="1" applyFont="1" applyFill="1" applyBorder="1" applyAlignment="1">
      <alignment horizontal="center" wrapText="1"/>
    </xf>
    <xf numFmtId="43" fontId="3" fillId="4" borderId="11" xfId="1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43" fontId="3" fillId="4" borderId="13" xfId="1" applyFont="1" applyFill="1" applyBorder="1" applyAlignment="1">
      <alignment horizontal="center" wrapText="1"/>
    </xf>
    <xf numFmtId="43" fontId="3" fillId="0" borderId="16" xfId="1" applyFont="1" applyFill="1" applyBorder="1" applyAlignment="1">
      <alignment horizontal="center" wrapText="1"/>
    </xf>
    <xf numFmtId="0" fontId="7" fillId="0" borderId="16" xfId="0" applyFont="1" applyBorder="1"/>
    <xf numFmtId="0" fontId="3" fillId="0" borderId="2" xfId="0" applyFont="1" applyBorder="1"/>
    <xf numFmtId="43" fontId="3" fillId="0" borderId="11" xfId="1" applyFont="1" applyBorder="1"/>
    <xf numFmtId="43" fontId="3" fillId="0" borderId="12" xfId="1" applyFont="1" applyBorder="1"/>
    <xf numFmtId="43" fontId="3" fillId="0" borderId="13" xfId="1" applyFont="1" applyBorder="1"/>
    <xf numFmtId="43" fontId="3" fillId="0" borderId="2" xfId="1" applyFont="1" applyBorder="1"/>
    <xf numFmtId="43" fontId="7" fillId="0" borderId="2" xfId="1" applyFont="1" applyFill="1" applyBorder="1"/>
    <xf numFmtId="0" fontId="8" fillId="0" borderId="0" xfId="0" applyFont="1"/>
    <xf numFmtId="0" fontId="8" fillId="0" borderId="0" xfId="0" applyFont="1" applyAlignment="1">
      <alignment horizontal="left" vertical="center" indent="1"/>
    </xf>
    <xf numFmtId="43" fontId="6" fillId="0" borderId="0" xfId="1" applyFont="1"/>
    <xf numFmtId="43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11" fillId="0" borderId="0" xfId="3"/>
  </cellXfs>
  <cellStyles count="4">
    <cellStyle name="Comma" xfId="1" builtinId="3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4</xdr:row>
      <xdr:rowOff>158475</xdr:rowOff>
    </xdr:from>
    <xdr:to>
      <xdr:col>21</xdr:col>
      <xdr:colOff>477812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51989F-919B-AA05-A8F9-B12484D47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7325" y="806175"/>
          <a:ext cx="6135662" cy="242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142875</xdr:rowOff>
    </xdr:to>
    <xdr:sp macro="" textlink="">
      <xdr:nvSpPr>
        <xdr:cNvPr id="2050" name="AutoShape 2" descr="Opracowanie własne na podstawie kwestionariusza wypełnionego przez instytucje i odpowiedzi od brokerów, dane na dzień 23.10.2024">
          <a:extLst>
            <a:ext uri="{FF2B5EF4-FFF2-40B4-BE49-F238E27FC236}">
              <a16:creationId xmlns:a16="http://schemas.microsoft.com/office/drawing/2014/main" id="{19D38837-D864-C25B-29B5-32446A8144F7}"/>
            </a:ext>
          </a:extLst>
        </xdr:cNvPr>
        <xdr:cNvSpPr>
          <a:spLocks noChangeAspect="1" noChangeArrowheads="1"/>
        </xdr:cNvSpPr>
      </xdr:nvSpPr>
      <xdr:spPr bwMode="auto">
        <a:xfrm>
          <a:off x="60198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1568824</xdr:colOff>
      <xdr:row>32</xdr:row>
      <xdr:rowOff>56030</xdr:rowOff>
    </xdr:from>
    <xdr:to>
      <xdr:col>10</xdr:col>
      <xdr:colOff>279788</xdr:colOff>
      <xdr:row>69</xdr:row>
      <xdr:rowOff>79954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10493-6F30-4688-0C9E-BA6999D1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6383" y="5670177"/>
          <a:ext cx="7361905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4</xdr:col>
      <xdr:colOff>2049108</xdr:colOff>
      <xdr:row>65</xdr:row>
      <xdr:rowOff>54913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8159F4-8A93-8BA7-5CC9-A114F798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98559"/>
          <a:ext cx="8066667" cy="4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4</xdr:col>
      <xdr:colOff>4241504</xdr:colOff>
      <xdr:row>113</xdr:row>
      <xdr:rowOff>20465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E734ED-0BE8-B95D-67D3-DA82D838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" y="11732559"/>
          <a:ext cx="8342857" cy="6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4</xdr:col>
      <xdr:colOff>3640295</xdr:colOff>
      <xdr:row>131</xdr:row>
      <xdr:rowOff>156404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354D93-FB00-8AC2-FEAC-8C25C55E8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235" y="12987618"/>
          <a:ext cx="8447619" cy="8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4</xdr:col>
      <xdr:colOff>2949464</xdr:colOff>
      <xdr:row>134</xdr:row>
      <xdr:rowOff>28425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F84D37-F338-2E4A-CC82-1F97617E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8" y="15968382"/>
          <a:ext cx="8361905" cy="5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ciniwuc.com/ranking-ike-i-ikze/%20-%20great%20comparison%20of%20Mak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0FE-DEAA-409A-B7FD-09E52D0148E2}">
  <dimension ref="A1:Q17"/>
  <sheetViews>
    <sheetView workbookViewId="0">
      <selection activeCell="J13" sqref="J13"/>
    </sheetView>
  </sheetViews>
  <sheetFormatPr defaultRowHeight="12.75" x14ac:dyDescent="0.2"/>
  <cols>
    <col min="1" max="1" width="9.140625" bestFit="1" customWidth="1"/>
    <col min="2" max="2" width="12.7109375" style="1" bestFit="1" customWidth="1"/>
    <col min="3" max="3" width="8.85546875" style="1" bestFit="1" customWidth="1"/>
    <col min="4" max="4" width="20.28515625" style="1" bestFit="1" customWidth="1"/>
    <col min="5" max="5" width="12" style="1" bestFit="1" customWidth="1"/>
    <col min="6" max="6" width="12.7109375" bestFit="1" customWidth="1"/>
    <col min="7" max="7" width="8.85546875" bestFit="1" customWidth="1"/>
    <col min="8" max="8" width="20.28515625" bestFit="1" customWidth="1"/>
    <col min="9" max="9" width="12" bestFit="1" customWidth="1"/>
    <col min="10" max="10" width="17.140625" style="25" bestFit="1" customWidth="1"/>
    <col min="11" max="11" width="3.7109375" customWidth="1"/>
    <col min="12" max="12" width="15.5703125" bestFit="1" customWidth="1"/>
    <col min="13" max="13" width="9.28515625" bestFit="1" customWidth="1"/>
    <col min="14" max="14" width="3" bestFit="1" customWidth="1"/>
    <col min="15" max="18" width="7" bestFit="1" customWidth="1"/>
  </cols>
  <sheetData>
    <row r="1" spans="1:17" x14ac:dyDescent="0.2">
      <c r="A1" s="18"/>
      <c r="B1" s="30" t="s">
        <v>22</v>
      </c>
      <c r="C1" s="31"/>
      <c r="D1" s="32"/>
      <c r="E1" s="33"/>
      <c r="F1" s="34" t="s">
        <v>23</v>
      </c>
      <c r="G1" s="35"/>
      <c r="H1" s="36"/>
      <c r="I1" s="37"/>
      <c r="J1" s="38"/>
      <c r="L1" s="18" t="s">
        <v>24</v>
      </c>
      <c r="M1" s="18" t="s">
        <v>25</v>
      </c>
      <c r="N1" s="18"/>
      <c r="O1" s="26" t="s">
        <v>19</v>
      </c>
      <c r="P1" s="26" t="s">
        <v>18</v>
      </c>
      <c r="Q1" s="26" t="s">
        <v>28</v>
      </c>
    </row>
    <row r="2" spans="1:17" x14ac:dyDescent="0.2">
      <c r="A2" s="39" t="s">
        <v>13</v>
      </c>
      <c r="B2" s="40" t="s">
        <v>20</v>
      </c>
      <c r="C2" s="41" t="s">
        <v>21</v>
      </c>
      <c r="D2" s="42" t="s">
        <v>15</v>
      </c>
      <c r="E2" s="41" t="s">
        <v>26</v>
      </c>
      <c r="F2" s="40" t="s">
        <v>20</v>
      </c>
      <c r="G2" s="41" t="s">
        <v>21</v>
      </c>
      <c r="H2" s="42" t="s">
        <v>15</v>
      </c>
      <c r="I2" s="43" t="s">
        <v>26</v>
      </c>
      <c r="J2" s="44" t="s">
        <v>27</v>
      </c>
      <c r="L2" t="s">
        <v>12</v>
      </c>
      <c r="M2" s="29">
        <v>0.1</v>
      </c>
      <c r="O2" s="27" t="s">
        <v>29</v>
      </c>
      <c r="P2" s="27" t="s">
        <v>29</v>
      </c>
      <c r="Q2" s="27" t="s">
        <v>30</v>
      </c>
    </row>
    <row r="3" spans="1:17" x14ac:dyDescent="0.2">
      <c r="A3" s="9" t="s">
        <v>14</v>
      </c>
      <c r="B3" s="3">
        <v>1000</v>
      </c>
      <c r="C3" s="4"/>
      <c r="D3" s="5">
        <f>1000+(B3-1000)*0.81</f>
        <v>1000</v>
      </c>
      <c r="E3" s="19"/>
      <c r="F3" s="3">
        <v>1000</v>
      </c>
      <c r="G3" s="4"/>
      <c r="H3" s="5">
        <f>1000+(F3-1000)*0.81</f>
        <v>1000</v>
      </c>
      <c r="I3" s="19"/>
      <c r="J3" s="22"/>
      <c r="L3" t="s">
        <v>16</v>
      </c>
      <c r="M3" s="29">
        <v>7.0000000000000007E-2</v>
      </c>
      <c r="O3" s="27">
        <v>6.5500000000000003E-2</v>
      </c>
      <c r="P3" s="28">
        <v>6.8000000000000005E-2</v>
      </c>
      <c r="Q3" s="27">
        <v>6.3E-2</v>
      </c>
    </row>
    <row r="4" spans="1:17" x14ac:dyDescent="0.2">
      <c r="A4" s="9" t="s">
        <v>0</v>
      </c>
      <c r="B4" s="6">
        <f>B3+C4</f>
        <v>1070</v>
      </c>
      <c r="C4" s="7">
        <f>B3*$M$3</f>
        <v>70</v>
      </c>
      <c r="D4" s="8">
        <f>1000+(B4-1000)*0.81</f>
        <v>1056.7</v>
      </c>
      <c r="E4" s="20">
        <f>D4-J4</f>
        <v>-43.299999999999955</v>
      </c>
      <c r="F4" s="6">
        <f>F3+G4</f>
        <v>1070</v>
      </c>
      <c r="G4" s="7">
        <f>F3*$M$3</f>
        <v>70</v>
      </c>
      <c r="H4" s="8">
        <f t="shared" ref="H4:H15" si="0">1000+(F4-1000)*0.81</f>
        <v>1056.7</v>
      </c>
      <c r="I4" s="20">
        <f>H4-J4</f>
        <v>-43.299999999999955</v>
      </c>
      <c r="J4" s="23">
        <f>(1+$M$2)^1*$B$3</f>
        <v>1100</v>
      </c>
      <c r="L4" t="s">
        <v>17</v>
      </c>
      <c r="M4" s="29">
        <v>1.4999999999999999E-2</v>
      </c>
      <c r="O4" s="27">
        <v>0.02</v>
      </c>
      <c r="P4" s="28">
        <v>2.5000000000000001E-2</v>
      </c>
      <c r="Q4" s="27">
        <v>1.4999999999999999E-2</v>
      </c>
    </row>
    <row r="5" spans="1:17" x14ac:dyDescent="0.2">
      <c r="A5" s="9" t="s">
        <v>1</v>
      </c>
      <c r="B5" s="6">
        <f>B4+C5</f>
        <v>1193.05</v>
      </c>
      <c r="C5" s="7">
        <f>B4*($M$4+$M$2)</f>
        <v>123.05000000000001</v>
      </c>
      <c r="D5" s="8">
        <f>1000+(B5-1000)*0.81</f>
        <v>1156.3705</v>
      </c>
      <c r="E5" s="20">
        <f t="shared" ref="E5:E15" si="1">D5-J5</f>
        <v>-53.629500000000235</v>
      </c>
      <c r="F5" s="6">
        <f>F4+G5</f>
        <v>1185</v>
      </c>
      <c r="G5" s="7">
        <f>$F$3*($M$4+$M$2)</f>
        <v>115</v>
      </c>
      <c r="H5" s="8">
        <f>1000+(F5-1000)*0.81</f>
        <v>1149.8499999999999</v>
      </c>
      <c r="I5" s="20">
        <f t="shared" ref="I5:I15" si="2">H5-J5</f>
        <v>-60.150000000000318</v>
      </c>
      <c r="J5" s="23">
        <f>(1+$M$2)^2*$B$3</f>
        <v>1210.0000000000002</v>
      </c>
      <c r="M5" s="1"/>
    </row>
    <row r="6" spans="1:17" x14ac:dyDescent="0.2">
      <c r="A6" s="9" t="s">
        <v>2</v>
      </c>
      <c r="B6" s="6">
        <f>B5+C6</f>
        <v>1330.2507499999999</v>
      </c>
      <c r="C6" s="7">
        <f t="shared" ref="C6:C15" si="3">B5*($M$4+$M$2)</f>
        <v>137.20075</v>
      </c>
      <c r="D6" s="8">
        <f>1000+(B6-1000)*0.81</f>
        <v>1267.5031074999999</v>
      </c>
      <c r="E6" s="20">
        <f t="shared" si="1"/>
        <v>-63.496892500000513</v>
      </c>
      <c r="F6" s="6">
        <f t="shared" ref="F6:F15" si="4">F5+G6</f>
        <v>1300</v>
      </c>
      <c r="G6" s="7">
        <f>$F$3*($M$4+$M$2)</f>
        <v>115</v>
      </c>
      <c r="H6" s="8">
        <f t="shared" si="0"/>
        <v>1243</v>
      </c>
      <c r="I6" s="20">
        <f t="shared" si="2"/>
        <v>-88.000000000000455</v>
      </c>
      <c r="J6" s="23">
        <f>(1+$M$2)^3*$B$3</f>
        <v>1331.0000000000005</v>
      </c>
    </row>
    <row r="7" spans="1:17" x14ac:dyDescent="0.2">
      <c r="A7" s="10" t="s">
        <v>3</v>
      </c>
      <c r="B7" s="11">
        <f>B6+C7</f>
        <v>1483.22958625</v>
      </c>
      <c r="C7" s="12">
        <f t="shared" si="3"/>
        <v>152.97883625</v>
      </c>
      <c r="D7" s="13">
        <f>1000+(B7-1000)*0.81</f>
        <v>1391.4159648625</v>
      </c>
      <c r="E7" s="20">
        <f t="shared" si="1"/>
        <v>-72.684035137500359</v>
      </c>
      <c r="F7" s="11">
        <f t="shared" si="4"/>
        <v>1415</v>
      </c>
      <c r="G7" s="12">
        <f>$F$3*($M$4+$M$2)</f>
        <v>115</v>
      </c>
      <c r="H7" s="13">
        <f t="shared" si="0"/>
        <v>1336.15</v>
      </c>
      <c r="I7" s="20">
        <f t="shared" si="2"/>
        <v>-127.95000000000027</v>
      </c>
      <c r="J7" s="23">
        <f>(1+$M$2)^4*$B$3</f>
        <v>1464.1000000000004</v>
      </c>
      <c r="L7" s="18"/>
      <c r="M7" s="18"/>
      <c r="N7" s="18"/>
    </row>
    <row r="8" spans="1:17" x14ac:dyDescent="0.2">
      <c r="A8" s="9" t="s">
        <v>4</v>
      </c>
      <c r="B8" s="6">
        <f>B7+C8</f>
        <v>1653.8009886687501</v>
      </c>
      <c r="C8" s="7">
        <f t="shared" si="3"/>
        <v>170.57140241875001</v>
      </c>
      <c r="D8" s="8">
        <f>1000+(B8-1000)*0.81</f>
        <v>1529.5788008216875</v>
      </c>
      <c r="E8" s="20">
        <f t="shared" si="1"/>
        <v>-80.931199178312909</v>
      </c>
      <c r="F8" s="6">
        <f t="shared" si="4"/>
        <v>1530</v>
      </c>
      <c r="G8" s="7">
        <f>$F$3*($M$4+$M$2)</f>
        <v>115</v>
      </c>
      <c r="H8" s="8">
        <f t="shared" si="0"/>
        <v>1429.3</v>
      </c>
      <c r="I8" s="20">
        <f t="shared" si="2"/>
        <v>-181.21000000000049</v>
      </c>
      <c r="J8" s="23">
        <f>(1+$M$2)^5*$B$3</f>
        <v>1610.5100000000004</v>
      </c>
    </row>
    <row r="9" spans="1:17" x14ac:dyDescent="0.2">
      <c r="A9" s="9" t="s">
        <v>5</v>
      </c>
      <c r="B9" s="6">
        <f>B8+C9</f>
        <v>1843.9881023656562</v>
      </c>
      <c r="C9" s="7">
        <f t="shared" si="3"/>
        <v>190.18711369690627</v>
      </c>
      <c r="D9" s="8">
        <f>1000+(B9-1000)*0.81</f>
        <v>1683.6303629161816</v>
      </c>
      <c r="E9" s="20">
        <f t="shared" si="1"/>
        <v>-87.930637083819192</v>
      </c>
      <c r="F9" s="6">
        <f t="shared" si="4"/>
        <v>1645</v>
      </c>
      <c r="G9" s="7">
        <f>$F$3*($M$4+$M$2)</f>
        <v>115</v>
      </c>
      <c r="H9" s="8">
        <f t="shared" si="0"/>
        <v>1522.45</v>
      </c>
      <c r="I9" s="20">
        <f t="shared" si="2"/>
        <v>-249.11100000000079</v>
      </c>
      <c r="J9" s="23">
        <f>(1+$M$2)^6*$B$3</f>
        <v>1771.5610000000008</v>
      </c>
    </row>
    <row r="10" spans="1:17" x14ac:dyDescent="0.2">
      <c r="A10" s="9" t="s">
        <v>6</v>
      </c>
      <c r="B10" s="6">
        <f>B9+C10</f>
        <v>2056.0467341377066</v>
      </c>
      <c r="C10" s="7">
        <f t="shared" si="3"/>
        <v>212.05863177205049</v>
      </c>
      <c r="D10" s="8">
        <f>1000+(B10-1000)*0.81</f>
        <v>1855.3978546515423</v>
      </c>
      <c r="E10" s="20">
        <f t="shared" si="1"/>
        <v>-93.319245348458935</v>
      </c>
      <c r="F10" s="6">
        <f t="shared" si="4"/>
        <v>1760</v>
      </c>
      <c r="G10" s="7">
        <f>$F$3*($M$4+$M$2)</f>
        <v>115</v>
      </c>
      <c r="H10" s="8">
        <f t="shared" si="0"/>
        <v>1615.6</v>
      </c>
      <c r="I10" s="20">
        <f t="shared" si="2"/>
        <v>-333.1171000000013</v>
      </c>
      <c r="J10" s="23">
        <f>(1+$M$2)^7*$B$3</f>
        <v>1948.7171000000012</v>
      </c>
    </row>
    <row r="11" spans="1:17" x14ac:dyDescent="0.2">
      <c r="A11" s="9" t="s">
        <v>7</v>
      </c>
      <c r="B11" s="6">
        <f>B10+C11</f>
        <v>2292.4921085635428</v>
      </c>
      <c r="C11" s="7">
        <f t="shared" si="3"/>
        <v>236.44537442583626</v>
      </c>
      <c r="D11" s="8">
        <f>1000+(B11-1000)*0.81</f>
        <v>2046.9186079364697</v>
      </c>
      <c r="E11" s="20">
        <f t="shared" si="1"/>
        <v>-96.670202063531406</v>
      </c>
      <c r="F11" s="6">
        <f t="shared" si="4"/>
        <v>1875</v>
      </c>
      <c r="G11" s="7">
        <f>$F$3*($M$4+$M$2)</f>
        <v>115</v>
      </c>
      <c r="H11" s="8">
        <f t="shared" si="0"/>
        <v>1708.75</v>
      </c>
      <c r="I11" s="20">
        <f t="shared" si="2"/>
        <v>-434.8388100000011</v>
      </c>
      <c r="J11" s="23">
        <f>(1+$M$2)^8*$B$3</f>
        <v>2143.5888100000011</v>
      </c>
    </row>
    <row r="12" spans="1:17" x14ac:dyDescent="0.2">
      <c r="A12" s="9" t="s">
        <v>8</v>
      </c>
      <c r="B12" s="6">
        <f>B11+C12</f>
        <v>2556.1287010483502</v>
      </c>
      <c r="C12" s="7">
        <f t="shared" si="3"/>
        <v>263.63659248480747</v>
      </c>
      <c r="D12" s="8">
        <f>1000+(B12-1000)*0.81</f>
        <v>2260.4642478491637</v>
      </c>
      <c r="E12" s="20">
        <f t="shared" si="1"/>
        <v>-97.483443150837957</v>
      </c>
      <c r="F12" s="6">
        <f t="shared" si="4"/>
        <v>1990</v>
      </c>
      <c r="G12" s="7">
        <f>$F$3*($M$4+$M$2)</f>
        <v>115</v>
      </c>
      <c r="H12" s="8">
        <f t="shared" si="0"/>
        <v>1801.9</v>
      </c>
      <c r="I12" s="20">
        <f t="shared" si="2"/>
        <v>-556.04769100000158</v>
      </c>
      <c r="J12" s="23">
        <f>(1+$M$2)^9*$B$3</f>
        <v>2357.9476910000017</v>
      </c>
    </row>
    <row r="13" spans="1:17" x14ac:dyDescent="0.2">
      <c r="A13" s="10" t="s">
        <v>9</v>
      </c>
      <c r="B13" s="11">
        <f>B12+C13</f>
        <v>2850.0835016689107</v>
      </c>
      <c r="C13" s="12">
        <f t="shared" si="3"/>
        <v>293.95480062056026</v>
      </c>
      <c r="D13" s="13">
        <f>1000+(B13-1000)*0.81</f>
        <v>2498.5676363518178</v>
      </c>
      <c r="E13" s="20">
        <f t="shared" si="1"/>
        <v>-95.174823748184281</v>
      </c>
      <c r="F13" s="11">
        <f t="shared" si="4"/>
        <v>2105</v>
      </c>
      <c r="G13" s="12">
        <f>$F$3*($M$4+$M$2)</f>
        <v>115</v>
      </c>
      <c r="H13" s="13">
        <f t="shared" si="0"/>
        <v>1895.0500000000002</v>
      </c>
      <c r="I13" s="20">
        <f t="shared" si="2"/>
        <v>-698.69246010000188</v>
      </c>
      <c r="J13" s="23">
        <f>(1+$M$2)^10*$B$3</f>
        <v>2593.7424601000021</v>
      </c>
    </row>
    <row r="14" spans="1:17" x14ac:dyDescent="0.2">
      <c r="A14" s="9" t="s">
        <v>10</v>
      </c>
      <c r="B14" s="6">
        <f>B13+C14</f>
        <v>3177.8431043608352</v>
      </c>
      <c r="C14" s="7">
        <f t="shared" si="3"/>
        <v>327.75960269192473</v>
      </c>
      <c r="D14" s="8">
        <f>1000+(B14-1000)*0.81</f>
        <v>2764.0529145322766</v>
      </c>
      <c r="E14" s="20">
        <f t="shared" si="1"/>
        <v>-89.063791577725624</v>
      </c>
      <c r="F14" s="6">
        <f t="shared" si="4"/>
        <v>2220</v>
      </c>
      <c r="G14" s="7">
        <f>$F$3*($M$4+$M$2)</f>
        <v>115</v>
      </c>
      <c r="H14" s="8">
        <f t="shared" si="0"/>
        <v>1988.2</v>
      </c>
      <c r="I14" s="20">
        <f t="shared" si="2"/>
        <v>-864.91670611000222</v>
      </c>
      <c r="J14" s="23">
        <f>(1+$M$2)^11*$B$3</f>
        <v>2853.1167061100023</v>
      </c>
    </row>
    <row r="15" spans="1:17" x14ac:dyDescent="0.2">
      <c r="A15" s="14" t="s">
        <v>11</v>
      </c>
      <c r="B15" s="15">
        <f>B14+C15</f>
        <v>3543.2950613623311</v>
      </c>
      <c r="C15" s="16">
        <f t="shared" si="3"/>
        <v>365.45195700149605</v>
      </c>
      <c r="D15" s="17">
        <f>1000+(B15-1000)*0.81</f>
        <v>3060.0689997034883</v>
      </c>
      <c r="E15" s="21">
        <f t="shared" si="1"/>
        <v>-78.359377017514362</v>
      </c>
      <c r="F15" s="15">
        <f t="shared" si="4"/>
        <v>2335</v>
      </c>
      <c r="G15" s="16">
        <f>$F$3*($M$4+$M$2)</f>
        <v>115</v>
      </c>
      <c r="H15" s="17">
        <f t="shared" si="0"/>
        <v>2081.3500000000004</v>
      </c>
      <c r="I15" s="21">
        <f t="shared" si="2"/>
        <v>-1057.0783767210023</v>
      </c>
      <c r="J15" s="24">
        <f>(1+$M$2)^12*$B$3</f>
        <v>3138.4283767210027</v>
      </c>
    </row>
    <row r="16" spans="1:17" x14ac:dyDescent="0.2">
      <c r="D16" s="1">
        <f>1000+(B16-1000)*0.81</f>
        <v>190</v>
      </c>
    </row>
    <row r="17" spans="4:4" x14ac:dyDescent="0.2">
      <c r="D17" s="1">
        <f>1000+(B17-1000)*0.81</f>
        <v>190</v>
      </c>
    </row>
  </sheetData>
  <mergeCells count="2">
    <mergeCell ref="B1:D1"/>
    <mergeCell ref="F1:H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5C2A-677F-4322-8FBF-5E3C996ACAD6}">
  <dimension ref="A1:F35"/>
  <sheetViews>
    <sheetView tabSelected="1" topLeftCell="A27" zoomScale="85" zoomScaleNormal="85" workbookViewId="0">
      <selection activeCell="D13" sqref="D13"/>
    </sheetView>
  </sheetViews>
  <sheetFormatPr defaultRowHeight="12.75" x14ac:dyDescent="0.2"/>
  <cols>
    <col min="3" max="3" width="10.5703125" bestFit="1" customWidth="1"/>
    <col min="4" max="4" width="61.42578125" customWidth="1"/>
    <col min="5" max="5" width="84.42578125" customWidth="1"/>
  </cols>
  <sheetData>
    <row r="1" spans="1:6" ht="19.5" x14ac:dyDescent="0.2">
      <c r="A1" s="46"/>
    </row>
    <row r="2" spans="1:6" ht="19.5" x14ac:dyDescent="0.2">
      <c r="A2" s="46"/>
      <c r="D2" t="s">
        <v>73</v>
      </c>
    </row>
    <row r="5" spans="1:6" x14ac:dyDescent="0.2">
      <c r="D5" t="s">
        <v>31</v>
      </c>
      <c r="E5" t="s">
        <v>32</v>
      </c>
      <c r="F5" t="s">
        <v>63</v>
      </c>
    </row>
    <row r="6" spans="1:6" x14ac:dyDescent="0.2">
      <c r="C6" t="s">
        <v>55</v>
      </c>
      <c r="D6" t="s">
        <v>56</v>
      </c>
      <c r="E6" t="s">
        <v>59</v>
      </c>
      <c r="F6" t="s">
        <v>64</v>
      </c>
    </row>
    <row r="7" spans="1:6" x14ac:dyDescent="0.2">
      <c r="C7" t="s">
        <v>33</v>
      </c>
      <c r="D7">
        <v>26019</v>
      </c>
      <c r="E7">
        <v>10407.6</v>
      </c>
      <c r="F7" t="s">
        <v>67</v>
      </c>
    </row>
    <row r="8" spans="1:6" x14ac:dyDescent="0.2">
      <c r="C8" t="s">
        <v>34</v>
      </c>
      <c r="D8" t="s">
        <v>35</v>
      </c>
      <c r="E8" t="s">
        <v>35</v>
      </c>
      <c r="F8" t="s">
        <v>69</v>
      </c>
    </row>
    <row r="9" spans="1:6" x14ac:dyDescent="0.2">
      <c r="C9" t="s">
        <v>36</v>
      </c>
      <c r="D9" t="s">
        <v>37</v>
      </c>
      <c r="E9" t="s">
        <v>57</v>
      </c>
    </row>
    <row r="10" spans="1:6" x14ac:dyDescent="0.2">
      <c r="C10" t="s">
        <v>47</v>
      </c>
      <c r="D10" t="s">
        <v>48</v>
      </c>
      <c r="E10" t="s">
        <v>62</v>
      </c>
      <c r="F10" t="s">
        <v>65</v>
      </c>
    </row>
    <row r="11" spans="1:6" x14ac:dyDescent="0.2">
      <c r="D11" t="s">
        <v>49</v>
      </c>
      <c r="F11" t="s">
        <v>66</v>
      </c>
    </row>
    <row r="12" spans="1:6" x14ac:dyDescent="0.2">
      <c r="D12" t="s">
        <v>50</v>
      </c>
      <c r="F12" t="s">
        <v>68</v>
      </c>
    </row>
    <row r="13" spans="1:6" x14ac:dyDescent="0.2">
      <c r="D13" t="s">
        <v>51</v>
      </c>
      <c r="F13" t="s">
        <v>72</v>
      </c>
    </row>
    <row r="14" spans="1:6" x14ac:dyDescent="0.2">
      <c r="D14" t="s">
        <v>52</v>
      </c>
    </row>
    <row r="15" spans="1:6" ht="38.25" x14ac:dyDescent="0.2">
      <c r="C15" t="s">
        <v>54</v>
      </c>
      <c r="D15" s="49" t="s">
        <v>53</v>
      </c>
      <c r="E15" t="s">
        <v>58</v>
      </c>
      <c r="F15" s="50" t="s">
        <v>53</v>
      </c>
    </row>
    <row r="16" spans="1:6" x14ac:dyDescent="0.2">
      <c r="E16" t="s">
        <v>60</v>
      </c>
    </row>
    <row r="17" spans="4:6" ht="19.5" x14ac:dyDescent="0.4">
      <c r="D17" t="s">
        <v>71</v>
      </c>
      <c r="E17" s="45" t="s">
        <v>61</v>
      </c>
    </row>
    <row r="18" spans="4:6" x14ac:dyDescent="0.2">
      <c r="F18" t="s">
        <v>70</v>
      </c>
    </row>
    <row r="19" spans="4:6" x14ac:dyDescent="0.2">
      <c r="F19" t="s">
        <v>74</v>
      </c>
    </row>
    <row r="23" spans="4:6" x14ac:dyDescent="0.2">
      <c r="D23">
        <f>1.05^10</f>
        <v>1.6288946267774416</v>
      </c>
      <c r="E23">
        <f>D23*83220</f>
        <v>135556.6108404187</v>
      </c>
    </row>
    <row r="24" spans="4:6" x14ac:dyDescent="0.2">
      <c r="E24">
        <f>83220+(E23-83220)*0.68</f>
        <v>118808.89537148472</v>
      </c>
    </row>
    <row r="30" spans="4:6" x14ac:dyDescent="0.2">
      <c r="D30" t="s">
        <v>75</v>
      </c>
      <c r="E30" s="51" t="s">
        <v>80</v>
      </c>
    </row>
    <row r="31" spans="4:6" x14ac:dyDescent="0.2">
      <c r="D31" t="s">
        <v>76</v>
      </c>
    </row>
    <row r="32" spans="4:6" x14ac:dyDescent="0.2">
      <c r="D32" t="s">
        <v>77</v>
      </c>
    </row>
    <row r="33" spans="4:4" x14ac:dyDescent="0.2">
      <c r="D33" t="s">
        <v>78</v>
      </c>
    </row>
    <row r="35" spans="4:4" x14ac:dyDescent="0.2">
      <c r="D35" t="s">
        <v>79</v>
      </c>
    </row>
  </sheetData>
  <hyperlinks>
    <hyperlink ref="E30" r:id="rId1" xr:uid="{DDC83443-277F-4A66-A387-DA428409614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38DC-BAD2-4EDF-A846-7C34F079C248}">
  <dimension ref="A1:L25"/>
  <sheetViews>
    <sheetView topLeftCell="A10" workbookViewId="0">
      <selection activeCell="L4" sqref="L4"/>
    </sheetView>
  </sheetViews>
  <sheetFormatPr defaultRowHeight="12.75" x14ac:dyDescent="0.2"/>
  <cols>
    <col min="1" max="1" width="4.85546875" bestFit="1" customWidth="1"/>
    <col min="2" max="2" width="11.28515625" style="1" bestFit="1" customWidth="1"/>
    <col min="3" max="3" width="15" style="1" bestFit="1" customWidth="1"/>
    <col min="4" max="4" width="17.5703125" style="1" bestFit="1" customWidth="1"/>
    <col min="5" max="5" width="10.28515625" bestFit="1" customWidth="1"/>
    <col min="7" max="7" width="11.28515625" style="1" bestFit="1" customWidth="1"/>
    <col min="8" max="8" width="15" bestFit="1" customWidth="1"/>
    <col min="9" max="9" width="17.5703125" bestFit="1" customWidth="1"/>
    <col min="10" max="10" width="10.28515625" bestFit="1" customWidth="1"/>
    <col min="11" max="11" width="15.85546875" bestFit="1" customWidth="1"/>
  </cols>
  <sheetData>
    <row r="1" spans="1:12" x14ac:dyDescent="0.2">
      <c r="A1" t="s">
        <v>45</v>
      </c>
      <c r="B1" s="1" t="s">
        <v>38</v>
      </c>
      <c r="C1" s="1" t="s">
        <v>43</v>
      </c>
      <c r="D1" s="1" t="s">
        <v>44</v>
      </c>
      <c r="E1" s="1" t="s">
        <v>36</v>
      </c>
      <c r="G1" s="1" t="s">
        <v>38</v>
      </c>
      <c r="H1" s="1" t="s">
        <v>43</v>
      </c>
      <c r="I1" s="1" t="s">
        <v>44</v>
      </c>
      <c r="J1" s="1" t="s">
        <v>36</v>
      </c>
    </row>
    <row r="2" spans="1:12" x14ac:dyDescent="0.2">
      <c r="A2">
        <v>1</v>
      </c>
      <c r="B2" s="1">
        <f>$L$2</f>
        <v>10000</v>
      </c>
      <c r="C2" s="1">
        <f>B2*$L$4*0.81</f>
        <v>405</v>
      </c>
      <c r="D2" s="1">
        <f>B2+SUM($C$2:C2)</f>
        <v>10405</v>
      </c>
      <c r="E2" s="2">
        <f>B2*$L$4*0.19</f>
        <v>95</v>
      </c>
      <c r="G2" s="1">
        <f>$L$2</f>
        <v>10000</v>
      </c>
      <c r="H2" s="1">
        <f>G2*$L$4</f>
        <v>500</v>
      </c>
      <c r="I2" s="1">
        <f>G2+SUM($H$2:H2)</f>
        <v>10500</v>
      </c>
      <c r="J2" s="1">
        <v>0</v>
      </c>
      <c r="K2" t="s">
        <v>42</v>
      </c>
      <c r="L2">
        <v>10000</v>
      </c>
    </row>
    <row r="3" spans="1:12" x14ac:dyDescent="0.2">
      <c r="A3">
        <v>2</v>
      </c>
      <c r="B3" s="1">
        <f>B2+$L$3</f>
        <v>35000</v>
      </c>
      <c r="C3" s="1">
        <f>D2*$L$4*0.81</f>
        <v>421.40250000000003</v>
      </c>
      <c r="D3" s="1">
        <f>B3+SUM($C$2:C3)</f>
        <v>35826.402499999997</v>
      </c>
      <c r="E3" s="2">
        <f t="shared" ref="E3:E21" si="0">B3*$L$4*0.19</f>
        <v>332.5</v>
      </c>
      <c r="G3" s="1">
        <f>G2+$L$3</f>
        <v>35000</v>
      </c>
      <c r="H3" s="1">
        <f>I2*$L$4</f>
        <v>525</v>
      </c>
      <c r="I3" s="1">
        <f>G3+SUM($H$2:H3)</f>
        <v>36025</v>
      </c>
      <c r="J3" s="1">
        <v>0</v>
      </c>
      <c r="K3" t="s">
        <v>39</v>
      </c>
      <c r="L3">
        <v>25000</v>
      </c>
    </row>
    <row r="4" spans="1:12" x14ac:dyDescent="0.2">
      <c r="A4">
        <v>3</v>
      </c>
      <c r="B4" s="1">
        <f t="shared" ref="B4:B21" si="1">B3+$L$3</f>
        <v>60000</v>
      </c>
      <c r="C4" s="1">
        <f>D3*$L$4*0.81</f>
        <v>1450.9693012500002</v>
      </c>
      <c r="D4" s="1">
        <f>B4+SUM($C$2:C4)</f>
        <v>62277.371801250003</v>
      </c>
      <c r="E4" s="2">
        <f t="shared" si="0"/>
        <v>570</v>
      </c>
      <c r="G4" s="1">
        <f t="shared" ref="G4:G21" si="2">G3+$L$3</f>
        <v>60000</v>
      </c>
      <c r="H4" s="1">
        <f t="shared" ref="H4:H21" si="3">I3*$L$4</f>
        <v>1801.25</v>
      </c>
      <c r="I4" s="1">
        <f>G4+SUM($H$2:H4)</f>
        <v>62826.25</v>
      </c>
      <c r="J4" s="1">
        <v>0</v>
      </c>
      <c r="K4" t="s">
        <v>40</v>
      </c>
      <c r="L4">
        <v>0.05</v>
      </c>
    </row>
    <row r="5" spans="1:12" x14ac:dyDescent="0.2">
      <c r="A5">
        <v>4</v>
      </c>
      <c r="B5" s="1">
        <f t="shared" si="1"/>
        <v>85000</v>
      </c>
      <c r="C5" s="1">
        <f>D4*$L$4*0.81</f>
        <v>2522.2335579506257</v>
      </c>
      <c r="D5" s="1">
        <f>B5+SUM($C$2:C5)</f>
        <v>89799.605359200621</v>
      </c>
      <c r="E5" s="2">
        <f t="shared" si="0"/>
        <v>807.5</v>
      </c>
      <c r="G5" s="1">
        <f t="shared" si="2"/>
        <v>85000</v>
      </c>
      <c r="H5" s="1">
        <f t="shared" si="3"/>
        <v>3141.3125</v>
      </c>
      <c r="I5" s="1">
        <f>G5+SUM($H$2:H5)</f>
        <v>90967.5625</v>
      </c>
      <c r="J5" s="1">
        <v>0</v>
      </c>
    </row>
    <row r="6" spans="1:12" x14ac:dyDescent="0.2">
      <c r="A6">
        <v>5</v>
      </c>
      <c r="B6" s="1">
        <f t="shared" si="1"/>
        <v>110000</v>
      </c>
      <c r="C6" s="1">
        <f>D5*$L$4*0.81</f>
        <v>3636.884017047626</v>
      </c>
      <c r="D6" s="1">
        <f>B6+SUM($C$2:C6)</f>
        <v>118436.48937624825</v>
      </c>
      <c r="E6" s="2">
        <f t="shared" si="0"/>
        <v>1045</v>
      </c>
      <c r="G6" s="1">
        <f t="shared" si="2"/>
        <v>110000</v>
      </c>
      <c r="H6" s="1">
        <f t="shared" si="3"/>
        <v>4548.3781250000002</v>
      </c>
      <c r="I6" s="1">
        <f>G6+SUM($H$2:H6)</f>
        <v>120515.940625</v>
      </c>
      <c r="J6" s="1">
        <v>0</v>
      </c>
    </row>
    <row r="7" spans="1:12" x14ac:dyDescent="0.2">
      <c r="A7">
        <v>6</v>
      </c>
      <c r="B7" s="1">
        <f t="shared" si="1"/>
        <v>135000</v>
      </c>
      <c r="C7" s="1">
        <f>D6*$L$4*0.81</f>
        <v>4796.6778197380554</v>
      </c>
      <c r="D7" s="1">
        <f>B7+SUM($C$2:C7)</f>
        <v>148233.16719598632</v>
      </c>
      <c r="E7" s="2">
        <f t="shared" si="0"/>
        <v>1282.5</v>
      </c>
      <c r="G7" s="1">
        <f t="shared" si="2"/>
        <v>135000</v>
      </c>
      <c r="H7" s="1">
        <f t="shared" si="3"/>
        <v>6025.7970312500001</v>
      </c>
      <c r="I7" s="1">
        <f>G7+SUM($H$2:H7)</f>
        <v>151541.73765625001</v>
      </c>
      <c r="J7" s="1">
        <v>0</v>
      </c>
    </row>
    <row r="8" spans="1:12" x14ac:dyDescent="0.2">
      <c r="A8">
        <v>7</v>
      </c>
      <c r="B8" s="1">
        <f t="shared" si="1"/>
        <v>160000</v>
      </c>
      <c r="C8" s="1">
        <f>D7*$L$4*0.81</f>
        <v>6003.4432714374461</v>
      </c>
      <c r="D8" s="1">
        <f>B8+SUM($C$2:C8)</f>
        <v>179236.61046742374</v>
      </c>
      <c r="E8" s="2">
        <f t="shared" si="0"/>
        <v>1520</v>
      </c>
      <c r="G8" s="1">
        <f t="shared" si="2"/>
        <v>160000</v>
      </c>
      <c r="H8" s="1">
        <f t="shared" si="3"/>
        <v>7577.0868828125012</v>
      </c>
      <c r="I8" s="1">
        <f>G8+SUM($H$2:H8)</f>
        <v>184118.82453906251</v>
      </c>
      <c r="J8" s="1">
        <v>0</v>
      </c>
    </row>
    <row r="9" spans="1:12" x14ac:dyDescent="0.2">
      <c r="A9">
        <v>8</v>
      </c>
      <c r="B9" s="1">
        <f t="shared" si="1"/>
        <v>185000</v>
      </c>
      <c r="C9" s="1">
        <f>D8*$L$4*0.81</f>
        <v>7259.0827239306618</v>
      </c>
      <c r="D9" s="1">
        <f>B9+SUM($C$2:C9)</f>
        <v>211495.69319135442</v>
      </c>
      <c r="E9" s="2">
        <f>B9*$L$4*0.19</f>
        <v>1757.5</v>
      </c>
      <c r="G9" s="1">
        <f t="shared" si="2"/>
        <v>185000</v>
      </c>
      <c r="H9" s="1">
        <f t="shared" si="3"/>
        <v>9205.9412269531258</v>
      </c>
      <c r="I9" s="1">
        <f>G9+SUM($H$2:H9)</f>
        <v>218324.76576601563</v>
      </c>
      <c r="J9" s="1">
        <v>0</v>
      </c>
    </row>
    <row r="10" spans="1:12" x14ac:dyDescent="0.2">
      <c r="A10">
        <v>9</v>
      </c>
      <c r="B10" s="1">
        <f t="shared" si="1"/>
        <v>210000</v>
      </c>
      <c r="C10" s="1">
        <f>D9*$L$4*0.81</f>
        <v>8565.575574249855</v>
      </c>
      <c r="D10" s="1">
        <f>B10+SUM($C$2:C10)</f>
        <v>245061.26876560427</v>
      </c>
      <c r="E10" s="2">
        <f t="shared" si="0"/>
        <v>1995</v>
      </c>
      <c r="G10" s="1">
        <f t="shared" si="2"/>
        <v>210000</v>
      </c>
      <c r="H10" s="1">
        <f t="shared" si="3"/>
        <v>10916.238288300781</v>
      </c>
      <c r="I10" s="1">
        <f>G10+SUM($H$2:H10)</f>
        <v>254241.00405431641</v>
      </c>
      <c r="J10" s="1">
        <v>0</v>
      </c>
    </row>
    <row r="11" spans="1:12" x14ac:dyDescent="0.2">
      <c r="A11">
        <v>10</v>
      </c>
      <c r="B11" s="1">
        <f t="shared" si="1"/>
        <v>235000</v>
      </c>
      <c r="C11" s="1">
        <f>D10*$L$4*0.81</f>
        <v>9924.981385006975</v>
      </c>
      <c r="D11" s="1">
        <f>B11+SUM($C$2:C11)</f>
        <v>279986.25015061127</v>
      </c>
      <c r="E11" s="2">
        <f t="shared" si="0"/>
        <v>2232.5</v>
      </c>
      <c r="G11" s="1">
        <f t="shared" si="2"/>
        <v>235000</v>
      </c>
      <c r="H11" s="1">
        <f t="shared" si="3"/>
        <v>12712.050202715822</v>
      </c>
      <c r="I11" s="1">
        <f>G11+SUM($H$2:H11)</f>
        <v>291953.05425703223</v>
      </c>
      <c r="J11" s="1">
        <v>0</v>
      </c>
    </row>
    <row r="12" spans="1:12" x14ac:dyDescent="0.2">
      <c r="A12">
        <v>11</v>
      </c>
      <c r="B12" s="1">
        <f t="shared" si="1"/>
        <v>260000</v>
      </c>
      <c r="C12" s="1">
        <f>D11*$L$4*0.81</f>
        <v>11339.443131099759</v>
      </c>
      <c r="D12" s="1">
        <f>B12+SUM($C$2:C12)</f>
        <v>316325.69328171102</v>
      </c>
      <c r="E12" s="2">
        <f t="shared" si="0"/>
        <v>2470</v>
      </c>
      <c r="G12" s="1">
        <f t="shared" si="2"/>
        <v>260000</v>
      </c>
      <c r="H12" s="1">
        <f t="shared" si="3"/>
        <v>14597.652712851612</v>
      </c>
      <c r="I12" s="1">
        <f>G12+SUM($H$2:H12)</f>
        <v>331550.70696988387</v>
      </c>
      <c r="J12" s="1">
        <v>0</v>
      </c>
    </row>
    <row r="13" spans="1:12" x14ac:dyDescent="0.2">
      <c r="A13">
        <v>12</v>
      </c>
      <c r="B13" s="1">
        <f t="shared" si="1"/>
        <v>285000</v>
      </c>
      <c r="C13" s="1">
        <f>D12*$L$4*0.81</f>
        <v>12811.190577909298</v>
      </c>
      <c r="D13" s="1">
        <f>B13+SUM($C$2:C13)</f>
        <v>354136.88385962031</v>
      </c>
      <c r="E13" s="2">
        <f t="shared" si="0"/>
        <v>2707.5</v>
      </c>
      <c r="G13" s="1">
        <f t="shared" si="2"/>
        <v>285000</v>
      </c>
      <c r="H13" s="1">
        <f t="shared" si="3"/>
        <v>16577.535348494195</v>
      </c>
      <c r="I13" s="1">
        <f>G13+SUM($H$2:H13)</f>
        <v>373128.24231837806</v>
      </c>
      <c r="J13" s="1">
        <v>0</v>
      </c>
    </row>
    <row r="14" spans="1:12" x14ac:dyDescent="0.2">
      <c r="A14">
        <v>13</v>
      </c>
      <c r="B14" s="1">
        <f t="shared" si="1"/>
        <v>310000</v>
      </c>
      <c r="C14" s="1">
        <f>D13*$L$4*0.81</f>
        <v>14342.543796314625</v>
      </c>
      <c r="D14" s="1">
        <f>B14+SUM($C$2:C14)</f>
        <v>393479.42765593494</v>
      </c>
      <c r="E14" s="2">
        <f t="shared" si="0"/>
        <v>2945</v>
      </c>
      <c r="G14" s="1">
        <f t="shared" si="2"/>
        <v>310000</v>
      </c>
      <c r="H14" s="1">
        <f t="shared" si="3"/>
        <v>18656.412115918905</v>
      </c>
      <c r="I14" s="1">
        <f>G14+SUM($H$2:H14)</f>
        <v>416784.65443429694</v>
      </c>
      <c r="J14" s="1">
        <v>0</v>
      </c>
    </row>
    <row r="15" spans="1:12" x14ac:dyDescent="0.2">
      <c r="A15">
        <v>14</v>
      </c>
      <c r="B15" s="1">
        <f t="shared" si="1"/>
        <v>335000</v>
      </c>
      <c r="C15" s="1">
        <f>D14*$L$4*0.81</f>
        <v>15935.916820065368</v>
      </c>
      <c r="D15" s="1">
        <f>B15+SUM($C$2:C15)</f>
        <v>434415.34447600029</v>
      </c>
      <c r="E15" s="2">
        <f t="shared" si="0"/>
        <v>3182.5</v>
      </c>
      <c r="G15" s="1">
        <f t="shared" si="2"/>
        <v>335000</v>
      </c>
      <c r="H15" s="1">
        <f t="shared" si="3"/>
        <v>20839.232721714849</v>
      </c>
      <c r="I15" s="1">
        <f>G15+SUM($H$2:H15)</f>
        <v>462623.88715601177</v>
      </c>
      <c r="J15" s="1">
        <v>0</v>
      </c>
    </row>
    <row r="16" spans="1:12" x14ac:dyDescent="0.2">
      <c r="A16">
        <v>15</v>
      </c>
      <c r="B16" s="1">
        <f t="shared" si="1"/>
        <v>360000</v>
      </c>
      <c r="C16" s="1">
        <f>D15*$L$4*0.81</f>
        <v>17593.821451278014</v>
      </c>
      <c r="D16" s="1">
        <f>B16+SUM($C$2:C16)</f>
        <v>477009.16592727829</v>
      </c>
      <c r="E16" s="2">
        <f t="shared" si="0"/>
        <v>3420</v>
      </c>
      <c r="G16" s="1">
        <f t="shared" si="2"/>
        <v>360000</v>
      </c>
      <c r="H16" s="1">
        <f t="shared" si="3"/>
        <v>23131.194357800588</v>
      </c>
      <c r="I16" s="1">
        <f>G16+SUM($H$2:H16)</f>
        <v>510755.08151381242</v>
      </c>
      <c r="J16" s="1">
        <v>0</v>
      </c>
    </row>
    <row r="17" spans="1:10" x14ac:dyDescent="0.2">
      <c r="A17">
        <v>16</v>
      </c>
      <c r="B17" s="1">
        <f t="shared" si="1"/>
        <v>385000</v>
      </c>
      <c r="C17" s="1">
        <f>D16*$L$4*0.81</f>
        <v>19318.871220054771</v>
      </c>
      <c r="D17" s="1">
        <f>B17+SUM($C$2:C17)</f>
        <v>521328.03714733303</v>
      </c>
      <c r="E17" s="2">
        <f t="shared" si="0"/>
        <v>3657.5</v>
      </c>
      <c r="G17" s="1">
        <f t="shared" si="2"/>
        <v>385000</v>
      </c>
      <c r="H17" s="1">
        <f t="shared" si="3"/>
        <v>25537.754075690624</v>
      </c>
      <c r="I17" s="1">
        <f>G17+SUM($H$2:H17)</f>
        <v>561292.83558950294</v>
      </c>
      <c r="J17" s="1">
        <v>0</v>
      </c>
    </row>
    <row r="18" spans="1:10" x14ac:dyDescent="0.2">
      <c r="A18">
        <v>17</v>
      </c>
      <c r="B18" s="1">
        <f t="shared" si="1"/>
        <v>410000</v>
      </c>
      <c r="C18" s="1">
        <f>D17*$L$4*0.81</f>
        <v>21113.785504466992</v>
      </c>
      <c r="D18" s="1">
        <f>B18+SUM($C$2:C18)</f>
        <v>567441.8226518</v>
      </c>
      <c r="E18" s="2">
        <f t="shared" si="0"/>
        <v>3895</v>
      </c>
      <c r="G18" s="1">
        <f t="shared" si="2"/>
        <v>410000</v>
      </c>
      <c r="H18" s="1">
        <f t="shared" si="3"/>
        <v>28064.641779475147</v>
      </c>
      <c r="I18" s="1">
        <f>G18+SUM($H$2:H18)</f>
        <v>614357.47736897808</v>
      </c>
      <c r="J18" s="1">
        <v>0</v>
      </c>
    </row>
    <row r="19" spans="1:10" x14ac:dyDescent="0.2">
      <c r="A19">
        <v>18</v>
      </c>
      <c r="B19" s="1">
        <f t="shared" si="1"/>
        <v>435000</v>
      </c>
      <c r="C19" s="1">
        <f>D18*$L$4*0.81</f>
        <v>22981.393817397904</v>
      </c>
      <c r="D19" s="1">
        <f>B19+SUM($C$2:C19)</f>
        <v>615423.216469198</v>
      </c>
      <c r="E19" s="2">
        <f t="shared" si="0"/>
        <v>4132.5</v>
      </c>
      <c r="G19" s="1">
        <f t="shared" si="2"/>
        <v>435000</v>
      </c>
      <c r="H19" s="1">
        <f t="shared" si="3"/>
        <v>30717.873868448907</v>
      </c>
      <c r="I19" s="1">
        <f>G19+SUM($H$2:H19)</f>
        <v>670075.35123742698</v>
      </c>
      <c r="J19" s="1">
        <v>0</v>
      </c>
    </row>
    <row r="20" spans="1:10" x14ac:dyDescent="0.2">
      <c r="A20">
        <v>19</v>
      </c>
      <c r="B20" s="1">
        <f t="shared" si="1"/>
        <v>460000</v>
      </c>
      <c r="C20" s="1">
        <f>D19*$L$4*0.81</f>
        <v>24924.64026700252</v>
      </c>
      <c r="D20" s="1">
        <f>B20+SUM($C$2:C20)</f>
        <v>665347.85673620051</v>
      </c>
      <c r="E20" s="2">
        <f t="shared" si="0"/>
        <v>4370</v>
      </c>
      <c r="G20" s="1">
        <f t="shared" si="2"/>
        <v>460000</v>
      </c>
      <c r="H20" s="1">
        <f t="shared" si="3"/>
        <v>33503.767561871347</v>
      </c>
      <c r="I20" s="1">
        <f>G20+SUM($H$2:H20)</f>
        <v>728579.1187992983</v>
      </c>
      <c r="J20" s="1">
        <v>0</v>
      </c>
    </row>
    <row r="21" spans="1:10" x14ac:dyDescent="0.2">
      <c r="A21">
        <v>20</v>
      </c>
      <c r="B21" s="1">
        <f t="shared" si="1"/>
        <v>485000</v>
      </c>
      <c r="C21" s="1">
        <f>D20*$L$4*0.81</f>
        <v>26946.58819781612</v>
      </c>
      <c r="D21" s="1">
        <f>B21+SUM($C$2:C21)</f>
        <v>717294.44493401656</v>
      </c>
      <c r="E21" s="2">
        <f t="shared" si="0"/>
        <v>4607.5</v>
      </c>
      <c r="G21" s="1">
        <f t="shared" si="2"/>
        <v>485000</v>
      </c>
      <c r="H21" s="1">
        <f t="shared" si="3"/>
        <v>36428.955939964915</v>
      </c>
      <c r="I21" s="1">
        <f>G21+SUM($H$2:H21)</f>
        <v>790008.07473926328</v>
      </c>
      <c r="J21" s="1">
        <v>0</v>
      </c>
    </row>
    <row r="22" spans="1:10" x14ac:dyDescent="0.2">
      <c r="B22" s="47" t="s">
        <v>46</v>
      </c>
      <c r="C22" s="47">
        <f>SUM(C2:C21)</f>
        <v>232294.44493401662</v>
      </c>
      <c r="D22" s="47">
        <f>D21</f>
        <v>717294.44493401656</v>
      </c>
      <c r="E22" s="48">
        <f>SUM(E2:E21)</f>
        <v>47025</v>
      </c>
      <c r="G22" s="47" t="s">
        <v>46</v>
      </c>
      <c r="H22" s="48">
        <f>SUM(H2:H21)*0.81</f>
        <v>247056.54053880327</v>
      </c>
      <c r="I22" s="47">
        <f>I21-J22</f>
        <v>732056.54053880321</v>
      </c>
      <c r="J22" s="48">
        <f>SUM(H2:H21)*0.19</f>
        <v>57951.534200460024</v>
      </c>
    </row>
    <row r="23" spans="1:10" x14ac:dyDescent="0.2">
      <c r="H23" s="2">
        <f>H22-C22</f>
        <v>14762.095604786649</v>
      </c>
      <c r="I23" s="2">
        <f>I22-D22</f>
        <v>14762.095604786649</v>
      </c>
    </row>
    <row r="25" spans="1:10" x14ac:dyDescent="0.2">
      <c r="D25" s="1" t="s">
        <v>41</v>
      </c>
      <c r="I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 bonds</vt:lpstr>
      <vt:lpstr>tax planning</vt:lpstr>
      <vt:lpstr>IKE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Korol, Oleh</dc:creator>
  <cp:lastModifiedBy>Oleh Korol</cp:lastModifiedBy>
  <dcterms:created xsi:type="dcterms:W3CDTF">2025-01-13T14:38:31Z</dcterms:created>
  <dcterms:modified xsi:type="dcterms:W3CDTF">2025-01-14T14:26:16Z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c17ee5-d002-416f-a486-c5f1fad2d957_Enabled">
    <vt:lpwstr>true</vt:lpwstr>
  </property>
  <property fmtid="{D5CDD505-2E9C-101B-9397-08002B2CF9AE}" pid="3" name="MSIP_Label_5ec17ee5-d002-416f-a486-c5f1fad2d957_SetDate">
    <vt:lpwstr>2025-01-14T14:26:16Z</vt:lpwstr>
  </property>
  <property fmtid="{D5CDD505-2E9C-101B-9397-08002B2CF9AE}" pid="4" name="MSIP_Label_5ec17ee5-d002-416f-a486-c5f1fad2d957_Method">
    <vt:lpwstr>Privileged</vt:lpwstr>
  </property>
  <property fmtid="{D5CDD505-2E9C-101B-9397-08002B2CF9AE}" pid="5" name="MSIP_Label_5ec17ee5-d002-416f-a486-c5f1fad2d957_Name">
    <vt:lpwstr>Open</vt:lpwstr>
  </property>
  <property fmtid="{D5CDD505-2E9C-101B-9397-08002B2CF9AE}" pid="6" name="MSIP_Label_5ec17ee5-d002-416f-a486-c5f1fad2d957_SiteId">
    <vt:lpwstr>8beccd60-0be6-4025-8e24-ca9ae679e1f4</vt:lpwstr>
  </property>
  <property fmtid="{D5CDD505-2E9C-101B-9397-08002B2CF9AE}" pid="7" name="MSIP_Label_5ec17ee5-d002-416f-a486-c5f1fad2d957_ActionId">
    <vt:lpwstr>1d80695a-e3d6-41aa-a983-afca1bd332e8</vt:lpwstr>
  </property>
  <property fmtid="{D5CDD505-2E9C-101B-9397-08002B2CF9AE}" pid="8" name="MSIP_Label_5ec17ee5-d002-416f-a486-c5f1fad2d957_ContentBits">
    <vt:lpwstr>0</vt:lpwstr>
  </property>
</Properties>
</file>