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iv\Desktop\Engg\WINTER 2022\SENG438\A5\"/>
    </mc:Choice>
  </mc:AlternateContent>
  <xr:revisionPtr revIDLastSave="0" documentId="13_ncr:1_{38ADF951-4993-4380-B8A9-92EC16B8DC8D}" xr6:coauthVersionLast="47" xr6:coauthVersionMax="47" xr10:uidLastSave="{00000000-0000-0000-0000-000000000000}"/>
  <bookViews>
    <workbookView xWindow="-108" yWindow="-108" windowWidth="23256" windowHeight="12576" tabRatio="838" firstSheet="2" activeTab="3" xr2:uid="{00000000-000D-0000-FFFF-FFFF00000000}"/>
  </bookViews>
  <sheets>
    <sheet name="Mode d'emploi" sheetId="10" r:id="rId1"/>
    <sheet name="Project" sheetId="13" r:id="rId2"/>
    <sheet name="Risk Trade-Off Parameters" sheetId="6" r:id="rId3"/>
    <sheet name="Failure Data" sheetId="12" r:id="rId4"/>
    <sheet name="R-Demo-Chart" sheetId="3" r:id="rId5"/>
    <sheet name="Plot Data" sheetId="11" r:id="rId6"/>
    <sheet name="Change Log" sheetId="14" r:id="rId7"/>
    <sheet name="Notices" sheetId="8" r:id="rId8"/>
  </sheets>
  <definedNames>
    <definedName name="AcceptSlope">'Plot Data'!$C$41</definedName>
    <definedName name="AcceptYint">'Plot Data'!$E$39</definedName>
    <definedName name="FCmax">'Risk Trade-Off Parameters'!$C$13</definedName>
    <definedName name="FTmax">'Risk Trade-Off Parameters'!$C$14</definedName>
    <definedName name="RejectSlope">'Plot Data'!$C$34</definedName>
    <definedName name="RejectYint">'Plot Data'!$E$32</definedName>
    <definedName name="xmax" localSheetId="5">'Plot Data'!$B$7</definedName>
    <definedName name="xmax">'R-Demo-Chart'!#REF!</definedName>
    <definedName name="xmin" localSheetId="5">'Plot Data'!$B$6</definedName>
    <definedName name="xmin">'R-Demo-Chart'!#REF!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9" i="11" l="1"/>
  <c r="K10" i="11"/>
  <c r="G22" i="12"/>
  <c r="K9" i="11"/>
  <c r="P9" i="11" s="1"/>
  <c r="M98" i="11"/>
  <c r="M99" i="11"/>
  <c r="M100" i="11"/>
  <c r="M101" i="11"/>
  <c r="M102" i="11"/>
  <c r="M103" i="11"/>
  <c r="M104" i="11"/>
  <c r="M105" i="11"/>
  <c r="Q105" i="11"/>
  <c r="M106" i="11"/>
  <c r="M107" i="11"/>
  <c r="Q107" i="11"/>
  <c r="M108" i="11"/>
  <c r="P108" i="11"/>
  <c r="M109" i="11"/>
  <c r="M9" i="11"/>
  <c r="M10" i="11"/>
  <c r="M11" i="11"/>
  <c r="M12" i="11"/>
  <c r="M13" i="11"/>
  <c r="M14" i="11"/>
  <c r="M15" i="11"/>
  <c r="Q12" i="11"/>
  <c r="M16" i="11"/>
  <c r="M17" i="11"/>
  <c r="M18" i="11"/>
  <c r="M19" i="11"/>
  <c r="M20" i="11"/>
  <c r="Q20" i="11"/>
  <c r="M21" i="11"/>
  <c r="M22" i="11"/>
  <c r="Q22" i="11"/>
  <c r="M23" i="11"/>
  <c r="M24" i="11"/>
  <c r="M25" i="11"/>
  <c r="M26" i="11"/>
  <c r="M27" i="11"/>
  <c r="M28" i="11"/>
  <c r="M29" i="11"/>
  <c r="M30" i="11"/>
  <c r="M31" i="11"/>
  <c r="M32" i="11"/>
  <c r="Q32" i="11"/>
  <c r="M33" i="11"/>
  <c r="Q33" i="11"/>
  <c r="M34" i="11"/>
  <c r="Q34" i="11"/>
  <c r="M35" i="11"/>
  <c r="Q35" i="11"/>
  <c r="M36" i="11"/>
  <c r="Q36" i="11"/>
  <c r="M37" i="11"/>
  <c r="M38" i="11"/>
  <c r="M39" i="11"/>
  <c r="M40" i="11"/>
  <c r="M41" i="11"/>
  <c r="M42" i="11"/>
  <c r="M43" i="11"/>
  <c r="M44" i="11"/>
  <c r="Q44" i="11"/>
  <c r="M45" i="11"/>
  <c r="Q45" i="11"/>
  <c r="M46" i="11"/>
  <c r="Q46" i="11"/>
  <c r="M47" i="11"/>
  <c r="Q47" i="11"/>
  <c r="M48" i="11"/>
  <c r="Q48" i="11"/>
  <c r="M49" i="11"/>
  <c r="M50" i="11"/>
  <c r="M51" i="11"/>
  <c r="M52" i="11"/>
  <c r="Q52" i="11"/>
  <c r="M53" i="11"/>
  <c r="M54" i="11"/>
  <c r="M55" i="11"/>
  <c r="M56" i="11"/>
  <c r="M57" i="11"/>
  <c r="M58" i="11"/>
  <c r="Q58" i="11"/>
  <c r="M59" i="11"/>
  <c r="M60" i="11"/>
  <c r="M61" i="11"/>
  <c r="M62" i="11"/>
  <c r="M63" i="11"/>
  <c r="M64" i="11"/>
  <c r="Q64" i="11"/>
  <c r="M65" i="11"/>
  <c r="M66" i="11"/>
  <c r="M67" i="11"/>
  <c r="M68" i="11"/>
  <c r="M69" i="11"/>
  <c r="Q69" i="11"/>
  <c r="M70" i="11"/>
  <c r="Q70" i="11"/>
  <c r="M71" i="11"/>
  <c r="Q71" i="11"/>
  <c r="M72" i="11"/>
  <c r="Q72" i="11"/>
  <c r="M73" i="11"/>
  <c r="M74" i="11"/>
  <c r="M75" i="11"/>
  <c r="M76" i="11"/>
  <c r="Q76" i="11"/>
  <c r="M77" i="11"/>
  <c r="M78" i="11"/>
  <c r="M79" i="11"/>
  <c r="M80" i="11"/>
  <c r="M81" i="11"/>
  <c r="Q81" i="11"/>
  <c r="M82" i="11"/>
  <c r="M83" i="11"/>
  <c r="Q83" i="11"/>
  <c r="M84" i="11"/>
  <c r="Q84" i="11"/>
  <c r="M85" i="11"/>
  <c r="M86" i="11"/>
  <c r="M87" i="11"/>
  <c r="M88" i="11"/>
  <c r="Q88" i="11"/>
  <c r="M89" i="11"/>
  <c r="M90" i="11"/>
  <c r="M91" i="11"/>
  <c r="M92" i="11"/>
  <c r="M93" i="11"/>
  <c r="M94" i="11"/>
  <c r="Q94" i="11"/>
  <c r="M95" i="11"/>
  <c r="M96" i="11"/>
  <c r="M97" i="11"/>
  <c r="Q13" i="11"/>
  <c r="P27" i="11"/>
  <c r="P30" i="11"/>
  <c r="Q16" i="11"/>
  <c r="G13" i="12"/>
  <c r="G14" i="12"/>
  <c r="G18" i="12"/>
  <c r="G19" i="12"/>
  <c r="G21" i="12"/>
  <c r="G24" i="12"/>
  <c r="G25" i="12"/>
  <c r="G26" i="12"/>
  <c r="G28" i="12"/>
  <c r="G30" i="12"/>
  <c r="G31" i="12"/>
  <c r="G33" i="12"/>
  <c r="G35" i="12"/>
  <c r="G36" i="12"/>
  <c r="G37" i="12"/>
  <c r="G38" i="12"/>
  <c r="G42" i="12"/>
  <c r="G43" i="12"/>
  <c r="D4" i="11"/>
  <c r="D5" i="11"/>
  <c r="Q10" i="11"/>
  <c r="Q11" i="11"/>
  <c r="Q14" i="11"/>
  <c r="Q15" i="11"/>
  <c r="Q18" i="11"/>
  <c r="Q19" i="11"/>
  <c r="Q25" i="11"/>
  <c r="Q26" i="11"/>
  <c r="Q27" i="11"/>
  <c r="Q28" i="11"/>
  <c r="Q29" i="11"/>
  <c r="Q30" i="11"/>
  <c r="Q31" i="11"/>
  <c r="Q37" i="11"/>
  <c r="Q38" i="11"/>
  <c r="Q39" i="11"/>
  <c r="Q40" i="11"/>
  <c r="Q41" i="11"/>
  <c r="Q42" i="11"/>
  <c r="Q43" i="11"/>
  <c r="Q49" i="11"/>
  <c r="Q50" i="11"/>
  <c r="Q51" i="11"/>
  <c r="Q53" i="11"/>
  <c r="Q54" i="11"/>
  <c r="Q55" i="11"/>
  <c r="Q56" i="11"/>
  <c r="Q61" i="11"/>
  <c r="Q62" i="11"/>
  <c r="Q63" i="11"/>
  <c r="Q65" i="11"/>
  <c r="Q66" i="11"/>
  <c r="Q67" i="11"/>
  <c r="Q68" i="11"/>
  <c r="Q73" i="11"/>
  <c r="Q74" i="11"/>
  <c r="Q75" i="11"/>
  <c r="Q77" i="11"/>
  <c r="Q78" i="11"/>
  <c r="Q79" i="11"/>
  <c r="Q80" i="11"/>
  <c r="Q85" i="11"/>
  <c r="Q86" i="11"/>
  <c r="Q87" i="11"/>
  <c r="Q89" i="11"/>
  <c r="Q90" i="11"/>
  <c r="Q91" i="11"/>
  <c r="Q92" i="11"/>
  <c r="Q97" i="11"/>
  <c r="Q98" i="11"/>
  <c r="Q101" i="11"/>
  <c r="Q102" i="11"/>
  <c r="Q103" i="11"/>
  <c r="Q104" i="11"/>
  <c r="Q106" i="11"/>
  <c r="Q109" i="11"/>
  <c r="P64" i="11"/>
  <c r="P65" i="11"/>
  <c r="P77" i="11"/>
  <c r="P79" i="11"/>
  <c r="P97" i="11"/>
  <c r="O17" i="11"/>
  <c r="B4" i="11"/>
  <c r="K23" i="11"/>
  <c r="P23" i="11" s="1"/>
  <c r="K14" i="11"/>
  <c r="P14" i="11" s="1"/>
  <c r="K15" i="11"/>
  <c r="P15" i="11" s="1"/>
  <c r="K16" i="11"/>
  <c r="P16" i="11" s="1"/>
  <c r="K26" i="11"/>
  <c r="P26" i="11" s="1"/>
  <c r="K27" i="11"/>
  <c r="K28" i="11"/>
  <c r="P28" i="11" s="1"/>
  <c r="K38" i="11"/>
  <c r="P38" i="11" s="1"/>
  <c r="K39" i="11"/>
  <c r="P39" i="11" s="1"/>
  <c r="K40" i="11"/>
  <c r="P40" i="11" s="1"/>
  <c r="K50" i="11"/>
  <c r="P50" i="11" s="1"/>
  <c r="K51" i="11"/>
  <c r="P51" i="11" s="1"/>
  <c r="K52" i="11"/>
  <c r="K62" i="11"/>
  <c r="P62" i="11" s="1"/>
  <c r="K63" i="11"/>
  <c r="P63" i="11" s="1"/>
  <c r="K64" i="11"/>
  <c r="K74" i="11"/>
  <c r="P74" i="11" s="1"/>
  <c r="K75" i="11"/>
  <c r="P75" i="11" s="1"/>
  <c r="K76" i="11"/>
  <c r="P76" i="11" s="1"/>
  <c r="K86" i="11"/>
  <c r="P86" i="11" s="1"/>
  <c r="K87" i="11"/>
  <c r="P87" i="11" s="1"/>
  <c r="K88" i="11"/>
  <c r="P88" i="11" s="1"/>
  <c r="K98" i="11"/>
  <c r="P98" i="11" s="1"/>
  <c r="K99" i="11"/>
  <c r="P99" i="11" s="1"/>
  <c r="K100" i="11"/>
  <c r="P100" i="11" s="1"/>
  <c r="K11" i="11"/>
  <c r="P11" i="11" s="1"/>
  <c r="O10" i="11"/>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13" i="12"/>
  <c r="F19" i="12"/>
  <c r="F20" i="12"/>
  <c r="F21" i="12"/>
  <c r="F14" i="12"/>
  <c r="F15" i="12"/>
  <c r="F13" i="12"/>
  <c r="B92" i="11"/>
  <c r="B106" i="11"/>
  <c r="D6" i="12"/>
  <c r="B5" i="3"/>
  <c r="B3" i="3"/>
  <c r="D13" i="12"/>
  <c r="D14" i="12"/>
  <c r="D15" i="12"/>
  <c r="D16" i="12"/>
  <c r="D17" i="12"/>
  <c r="D18" i="12"/>
  <c r="F4" i="12"/>
  <c r="C6" i="6"/>
  <c r="C9" i="6"/>
  <c r="C7" i="6"/>
  <c r="C11" i="6"/>
  <c r="C5" i="6"/>
  <c r="E31" i="11"/>
  <c r="D33" i="11"/>
  <c r="E38" i="11"/>
  <c r="D40" i="11"/>
  <c r="E44" i="11"/>
  <c r="D45" i="11"/>
  <c r="E45" i="11"/>
  <c r="D47" i="11"/>
  <c r="D48" i="11"/>
  <c r="E48" i="11"/>
  <c r="D6" i="11"/>
  <c r="G9" i="11"/>
  <c r="H9" i="11"/>
  <c r="H10" i="11"/>
  <c r="H11" i="11"/>
  <c r="F18" i="11"/>
  <c r="F19" i="11"/>
  <c r="F20" i="11"/>
  <c r="F21" i="11"/>
  <c r="F22" i="11"/>
  <c r="G22" i="11"/>
  <c r="H22" i="11"/>
  <c r="F23" i="11"/>
  <c r="G23" i="11"/>
  <c r="H23" i="11"/>
  <c r="F24" i="11"/>
  <c r="G24" i="11"/>
  <c r="H24" i="11"/>
  <c r="F25" i="11"/>
  <c r="G25" i="11"/>
  <c r="H25" i="11"/>
  <c r="Q11" i="6"/>
  <c r="Q9" i="6"/>
  <c r="P11" i="6"/>
  <c r="P9" i="6"/>
  <c r="O11" i="6"/>
  <c r="O9" i="6"/>
  <c r="Q2" i="6"/>
  <c r="P2" i="6"/>
  <c r="O2" i="6"/>
  <c r="E9" i="6"/>
  <c r="E11" i="6"/>
  <c r="M2" i="6"/>
  <c r="L2" i="6"/>
  <c r="K2" i="6"/>
  <c r="J2" i="6"/>
  <c r="I2" i="6"/>
  <c r="H2" i="6"/>
  <c r="G2" i="6"/>
  <c r="F2" i="6"/>
  <c r="E2" i="6"/>
  <c r="M11" i="6"/>
  <c r="L11" i="6"/>
  <c r="K11" i="6"/>
  <c r="J11" i="6"/>
  <c r="I11" i="6"/>
  <c r="H11" i="6"/>
  <c r="G11" i="6"/>
  <c r="F11" i="6"/>
  <c r="M9" i="6"/>
  <c r="L9" i="6"/>
  <c r="K9" i="6"/>
  <c r="J9" i="6"/>
  <c r="I9" i="6"/>
  <c r="H9" i="6"/>
  <c r="G9" i="6"/>
  <c r="F9" i="6"/>
  <c r="Q100" i="11"/>
  <c r="Q99" i="11"/>
  <c r="Q108" i="11"/>
  <c r="Q9" i="11"/>
  <c r="P52" i="11"/>
  <c r="Q24" i="11"/>
  <c r="P83" i="11"/>
  <c r="Q23" i="11"/>
  <c r="Q96" i="11"/>
  <c r="Q60" i="11"/>
  <c r="Q95" i="11"/>
  <c r="Q59" i="11"/>
  <c r="Q21" i="11"/>
  <c r="Q82" i="11"/>
  <c r="Q93" i="11"/>
  <c r="Q57" i="11"/>
  <c r="P46" i="11"/>
  <c r="K81" i="11"/>
  <c r="P81" i="11" s="1"/>
  <c r="K33" i="11"/>
  <c r="P33" i="11" s="1"/>
  <c r="K104" i="11"/>
  <c r="P104" i="11" s="1"/>
  <c r="K92" i="11"/>
  <c r="P92" i="11" s="1"/>
  <c r="K80" i="11"/>
  <c r="P80" i="11" s="1"/>
  <c r="K68" i="11"/>
  <c r="P68" i="11" s="1"/>
  <c r="K56" i="11"/>
  <c r="P56" i="11" s="1"/>
  <c r="K44" i="11"/>
  <c r="P44" i="11" s="1"/>
  <c r="K32" i="11"/>
  <c r="P32" i="11" s="1"/>
  <c r="K20" i="11"/>
  <c r="P20" i="11" s="1"/>
  <c r="B13" i="11"/>
  <c r="G13" i="11" s="1"/>
  <c r="K94" i="11"/>
  <c r="P94" i="11" s="1"/>
  <c r="K82" i="11"/>
  <c r="P82" i="11" s="1"/>
  <c r="K70" i="11"/>
  <c r="P70" i="11" s="1"/>
  <c r="K58" i="11"/>
  <c r="P58" i="11" s="1"/>
  <c r="K22" i="11"/>
  <c r="P22" i="11" s="1"/>
  <c r="K105" i="11"/>
  <c r="P105" i="11" s="1"/>
  <c r="K69" i="11"/>
  <c r="P69" i="11" s="1"/>
  <c r="K45" i="11"/>
  <c r="P45" i="11" s="1"/>
  <c r="B11" i="11"/>
  <c r="F11" i="11"/>
  <c r="K103" i="11"/>
  <c r="P103" i="11" s="1"/>
  <c r="K91" i="11"/>
  <c r="P91" i="11" s="1"/>
  <c r="K79" i="11"/>
  <c r="K67" i="11"/>
  <c r="P67" i="11" s="1"/>
  <c r="K55" i="11"/>
  <c r="P55" i="11" s="1"/>
  <c r="K43" i="11"/>
  <c r="P43" i="11" s="1"/>
  <c r="K31" i="11"/>
  <c r="P31" i="11" s="1"/>
  <c r="K19" i="11"/>
  <c r="P19" i="11" s="1"/>
  <c r="K106" i="11"/>
  <c r="P106" i="11" s="1"/>
  <c r="K34" i="11"/>
  <c r="P34" i="11" s="1"/>
  <c r="B12" i="11"/>
  <c r="G12" i="11" s="1"/>
  <c r="F12" i="11"/>
  <c r="K93" i="11"/>
  <c r="P93" i="11" s="1"/>
  <c r="K57" i="11"/>
  <c r="P57" i="11" s="1"/>
  <c r="K102" i="11"/>
  <c r="P102" i="11" s="1"/>
  <c r="K90" i="11"/>
  <c r="P90" i="11" s="1"/>
  <c r="K78" i="11"/>
  <c r="P78" i="11" s="1"/>
  <c r="K66" i="11"/>
  <c r="P66" i="11" s="1"/>
  <c r="K54" i="11"/>
  <c r="P54" i="11" s="1"/>
  <c r="K42" i="11"/>
  <c r="P42" i="11" s="1"/>
  <c r="K30" i="11"/>
  <c r="K18" i="11"/>
  <c r="P18" i="11" s="1"/>
  <c r="K46" i="11"/>
  <c r="K21" i="11"/>
  <c r="P21" i="11" s="1"/>
  <c r="K101" i="11"/>
  <c r="P101" i="11" s="1"/>
  <c r="K89" i="11"/>
  <c r="P89" i="11" s="1"/>
  <c r="K77" i="11"/>
  <c r="K65" i="11"/>
  <c r="K53" i="11"/>
  <c r="P53" i="11" s="1"/>
  <c r="K41" i="11"/>
  <c r="P41" i="11" s="1"/>
  <c r="K29" i="11"/>
  <c r="P29" i="11" s="1"/>
  <c r="K17" i="11"/>
  <c r="P17" i="11" s="1"/>
  <c r="B15" i="11"/>
  <c r="G15" i="11" s="1"/>
  <c r="K109" i="11"/>
  <c r="P109" i="11" s="1"/>
  <c r="K97" i="11"/>
  <c r="K85" i="11"/>
  <c r="P85" i="11" s="1"/>
  <c r="K73" i="11"/>
  <c r="P73" i="11" s="1"/>
  <c r="K61" i="11"/>
  <c r="P61" i="11" s="1"/>
  <c r="K49" i="11"/>
  <c r="P49" i="11" s="1"/>
  <c r="K37" i="11"/>
  <c r="P37" i="11" s="1"/>
  <c r="K25" i="11"/>
  <c r="P25" i="11" s="1"/>
  <c r="K13" i="11"/>
  <c r="O13" i="11" s="1"/>
  <c r="B17" i="11"/>
  <c r="F17" i="11" s="1"/>
  <c r="K108" i="11"/>
  <c r="K96" i="11"/>
  <c r="P96" i="11" s="1"/>
  <c r="K84" i="11"/>
  <c r="P84" i="11" s="1"/>
  <c r="K72" i="11"/>
  <c r="P72" i="11" s="1"/>
  <c r="K60" i="11"/>
  <c r="P60" i="11" s="1"/>
  <c r="K48" i="11"/>
  <c r="P48" i="11" s="1"/>
  <c r="K36" i="11"/>
  <c r="P36" i="11" s="1"/>
  <c r="K24" i="11"/>
  <c r="P24" i="11" s="1"/>
  <c r="K12" i="11"/>
  <c r="O12" i="11" s="1"/>
  <c r="B16" i="11"/>
  <c r="F16" i="11"/>
  <c r="K107" i="11"/>
  <c r="P107" i="11" s="1"/>
  <c r="K95" i="11"/>
  <c r="P95" i="11" s="1"/>
  <c r="K83" i="11"/>
  <c r="K71" i="11"/>
  <c r="P71" i="11" s="1"/>
  <c r="K59" i="11"/>
  <c r="P59" i="11" s="1"/>
  <c r="K47" i="11"/>
  <c r="P47" i="11" s="1"/>
  <c r="K35" i="11"/>
  <c r="P35" i="11" s="1"/>
  <c r="B103" i="11"/>
  <c r="B102" i="11"/>
  <c r="B104" i="11"/>
  <c r="B101" i="11"/>
  <c r="B50" i="3"/>
  <c r="G12" i="12"/>
  <c r="B98" i="11"/>
  <c r="B97" i="11"/>
  <c r="B107" i="11"/>
  <c r="B94" i="11"/>
  <c r="F22" i="12"/>
  <c r="F16" i="12"/>
  <c r="F15" i="11"/>
  <c r="E33" i="11"/>
  <c r="D30" i="11"/>
  <c r="D31" i="11"/>
  <c r="E32" i="11"/>
  <c r="D37" i="11"/>
  <c r="D38" i="11"/>
  <c r="E39" i="11"/>
  <c r="E40" i="11"/>
  <c r="C41" i="11"/>
  <c r="B14" i="11"/>
  <c r="F14" i="11" s="1"/>
  <c r="G11" i="11"/>
  <c r="B10" i="11"/>
  <c r="G10" i="11" s="1"/>
  <c r="Q17" i="11"/>
  <c r="F23" i="12"/>
  <c r="F17" i="12"/>
  <c r="H76" i="11"/>
  <c r="H82" i="11"/>
  <c r="H88" i="11"/>
  <c r="H78" i="11"/>
  <c r="H84" i="11"/>
  <c r="H77" i="11"/>
  <c r="H83" i="11"/>
  <c r="H72" i="11"/>
  <c r="H73" i="11"/>
  <c r="H79" i="11"/>
  <c r="H85" i="11"/>
  <c r="H74" i="11"/>
  <c r="H80" i="11"/>
  <c r="H86" i="11"/>
  <c r="H75" i="11"/>
  <c r="H81" i="11"/>
  <c r="H87" i="11"/>
  <c r="C34" i="11"/>
  <c r="D64" i="11"/>
  <c r="D77" i="11"/>
  <c r="D83" i="11"/>
  <c r="D72" i="11"/>
  <c r="D78" i="11"/>
  <c r="D84" i="11"/>
  <c r="D73" i="11"/>
  <c r="D79" i="11"/>
  <c r="D85" i="11"/>
  <c r="D74" i="11"/>
  <c r="D80" i="11"/>
  <c r="D86" i="11"/>
  <c r="D76" i="11"/>
  <c r="D82" i="11"/>
  <c r="D75" i="11"/>
  <c r="D81" i="11"/>
  <c r="D87" i="11"/>
  <c r="D88" i="11"/>
  <c r="D18" i="11"/>
  <c r="D12" i="11"/>
  <c r="D14" i="11"/>
  <c r="H14" i="11"/>
  <c r="D16" i="11"/>
  <c r="H16" i="11"/>
  <c r="D19" i="11"/>
  <c r="H19" i="11"/>
  <c r="D17" i="11"/>
  <c r="H17" i="11"/>
  <c r="D13" i="11"/>
  <c r="H13" i="11"/>
  <c r="D15" i="11"/>
  <c r="D21" i="11"/>
  <c r="G21" i="11"/>
  <c r="D20" i="11"/>
  <c r="G20" i="11"/>
  <c r="F24" i="12"/>
  <c r="F18" i="12"/>
  <c r="G18" i="11"/>
  <c r="H18" i="11"/>
  <c r="D59" i="11"/>
  <c r="D53" i="11"/>
  <c r="H55" i="11"/>
  <c r="H61" i="11"/>
  <c r="H67" i="11"/>
  <c r="H57" i="11"/>
  <c r="H63" i="11"/>
  <c r="H56" i="11"/>
  <c r="H62" i="11"/>
  <c r="H68" i="11"/>
  <c r="H52" i="11"/>
  <c r="H58" i="11"/>
  <c r="H64" i="11"/>
  <c r="H53" i="11"/>
  <c r="H59" i="11"/>
  <c r="H65" i="11"/>
  <c r="H54" i="11"/>
  <c r="H60" i="11"/>
  <c r="H66" i="11"/>
  <c r="D67" i="11"/>
  <c r="D63" i="11"/>
  <c r="D66" i="11"/>
  <c r="D57" i="11"/>
  <c r="D52" i="11"/>
  <c r="D56" i="11"/>
  <c r="D65" i="11"/>
  <c r="H12" i="11"/>
  <c r="D60" i="11"/>
  <c r="D54" i="11"/>
  <c r="D68" i="11"/>
  <c r="H20" i="11"/>
  <c r="D58" i="11"/>
  <c r="D61" i="11"/>
  <c r="D62" i="11"/>
  <c r="D55" i="11"/>
  <c r="H21" i="11"/>
  <c r="H15" i="11"/>
  <c r="G16" i="11"/>
  <c r="G19" i="11"/>
  <c r="F25" i="12"/>
  <c r="F26" i="12"/>
  <c r="F27" i="12"/>
  <c r="F28" i="12"/>
  <c r="F29" i="12"/>
  <c r="F30" i="12"/>
  <c r="F31" i="12"/>
  <c r="F32" i="12"/>
  <c r="F33" i="12"/>
  <c r="F34" i="12"/>
  <c r="F35" i="12"/>
  <c r="F36" i="12"/>
  <c r="F37" i="12"/>
  <c r="F38" i="12"/>
  <c r="F39" i="12"/>
  <c r="F40" i="12"/>
  <c r="F41" i="12"/>
  <c r="F42" i="12"/>
  <c r="F43" i="12"/>
  <c r="B95" i="11" l="1"/>
  <c r="G32" i="12"/>
  <c r="G20" i="12"/>
  <c r="B99" i="11"/>
  <c r="B93" i="11"/>
  <c r="G41" i="12"/>
  <c r="G29" i="12"/>
  <c r="G17" i="12"/>
  <c r="G40" i="12"/>
  <c r="G16" i="12"/>
  <c r="B96" i="11"/>
  <c r="B100" i="11"/>
  <c r="G39" i="12"/>
  <c r="G27" i="12"/>
  <c r="G15" i="12"/>
  <c r="G23" i="12"/>
  <c r="D7" i="12"/>
  <c r="B105" i="11"/>
  <c r="G34" i="12"/>
  <c r="O9" i="11"/>
  <c r="O16" i="11"/>
  <c r="O15" i="11"/>
  <c r="O14" i="11"/>
  <c r="F13" i="11"/>
  <c r="O11" i="11"/>
  <c r="G17" i="11"/>
  <c r="P10" i="11"/>
  <c r="P12" i="11"/>
  <c r="P13" i="11"/>
  <c r="F10" i="11"/>
  <c r="G14"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Bob_Binder</author>
  </authors>
  <commentList>
    <comment ref="E1" authorId="0" shapeId="0" xr:uid="{00000000-0006-0000-0200-000001000000}">
      <text>
        <r>
          <rPr>
            <sz val="10"/>
            <color indexed="81"/>
            <rFont val="Tahoma"/>
            <family val="2"/>
          </rPr>
          <t>These scenarios are as defined in Musa, pp 435-449.</t>
        </r>
      </text>
    </comment>
    <comment ref="O1" authorId="0" shapeId="0" xr:uid="{00000000-0006-0000-0200-000002000000}">
      <text>
        <r>
          <rPr>
            <sz val="10"/>
            <color indexed="81"/>
            <rFont val="Tahoma"/>
            <family val="2"/>
          </rPr>
          <t xml:space="preserve">Add your own scenarios here. </t>
        </r>
      </text>
    </comment>
    <comment ref="C4" authorId="0" shapeId="0" xr:uid="{00000000-0006-0000-0200-000003000000}">
      <text>
        <r>
          <rPr>
            <sz val="10"/>
            <color indexed="81"/>
            <rFont val="Tahoma"/>
            <family val="2"/>
          </rPr>
          <t xml:space="preserve">Choose one of the preset risk scenarios (I - IX), or define your own. Copy that scenario's values ( </t>
        </r>
        <r>
          <rPr>
            <sz val="10"/>
            <color indexed="81"/>
            <rFont val="Arial"/>
            <family val="2"/>
          </rPr>
          <t xml:space="preserve">γ, α, β) </t>
        </r>
        <r>
          <rPr>
            <sz val="10"/>
            <color indexed="81"/>
            <rFont val="Tahoma"/>
            <family val="2"/>
          </rPr>
          <t xml:space="preserve">to this column.  The preview and Demo Chart regions will be automatically updated. 
</t>
        </r>
      </text>
    </comment>
    <comment ref="B9" authorId="0" shapeId="0" xr:uid="{00000000-0006-0000-0200-000004000000}">
      <text>
        <r>
          <rPr>
            <sz val="10"/>
            <color indexed="81"/>
            <rFont val="Tahoma"/>
            <family val="2"/>
          </rPr>
          <t>ln (beta / (1 - alpha))</t>
        </r>
      </text>
    </comment>
    <comment ref="B11" authorId="0" shapeId="0" xr:uid="{00000000-0006-0000-0200-000005000000}">
      <text>
        <r>
          <rPr>
            <b/>
            <sz val="10"/>
            <color indexed="81"/>
            <rFont val="Tahoma"/>
            <family val="2"/>
          </rPr>
          <t>l</t>
        </r>
        <r>
          <rPr>
            <sz val="10"/>
            <color indexed="81"/>
            <rFont val="Tahoma"/>
            <family val="2"/>
          </rPr>
          <t>n ( (1 - beta) / alpha))</t>
        </r>
      </text>
    </comment>
    <comment ref="C13" authorId="0" shapeId="0" xr:uid="{00000000-0006-0000-0200-000006000000}">
      <text>
        <r>
          <rPr>
            <sz val="10"/>
            <color indexed="81"/>
            <rFont val="Tahoma"/>
            <family val="2"/>
          </rPr>
          <t>This set the maximum number of failures that can be diagramed in this chart.
If you want to use a smaller/larger sample size, you'll have to modify the reject boundary plot and the RDC Preview graph.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Bob_Binder</author>
  </authors>
  <commentList>
    <comment ref="D11" authorId="0" shapeId="0" xr:uid="{00000000-0006-0000-0300-000001000000}">
      <text>
        <r>
          <rPr>
            <sz val="10"/>
            <color indexed="81"/>
            <rFont val="Tahoma"/>
            <family val="2"/>
          </rPr>
          <t>Enter a defect/bug/issue tracking number.  If this is recorded in a system with a Web interface, add the URL that will display the bug report.</t>
        </r>
      </text>
    </comment>
    <comment ref="E11" authorId="0" shapeId="0" xr:uid="{00000000-0006-0000-0300-000002000000}">
      <text>
        <r>
          <rPr>
            <b/>
            <sz val="10"/>
            <color indexed="81"/>
            <rFont val="Tahoma"/>
            <family val="2"/>
          </rPr>
          <t>You may enter zero when no failures have yet been observed.  Enter the cumulative count after the first failure (2, 3, …) . 
If you enter an inconsistent failure count, the cell will turn red.  The cell after the last entry is always red -- this is normal.</t>
        </r>
      </text>
    </comment>
    <comment ref="F11" authorId="0" shapeId="0" xr:uid="{00000000-0006-0000-0300-000003000000}">
      <text>
        <r>
          <rPr>
            <b/>
            <sz val="10"/>
            <color indexed="81"/>
            <rFont val="Tahoma"/>
            <family val="2"/>
          </rPr>
          <t>Enter the cumulative number of "natural" input event or time units for the observation.</t>
        </r>
      </text>
    </comment>
    <comment ref="G11" authorId="0" shapeId="0" xr:uid="{00000000-0006-0000-0300-000004000000}">
      <text>
        <r>
          <rPr>
            <sz val="10"/>
            <color indexed="81"/>
            <rFont val="Tahoma"/>
            <family val="2"/>
          </rPr>
          <t xml:space="preserve">This value is plotted on the x axis.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Bob_Binder</author>
  </authors>
  <commentList>
    <comment ref="D5" authorId="0" shapeId="0" xr:uid="{00000000-0006-0000-0500-000001000000}">
      <text>
        <r>
          <rPr>
            <b/>
            <sz val="10"/>
            <color indexed="81"/>
            <rFont val="Tahoma"/>
            <family val="2"/>
          </rPr>
          <t>Bob_Binder:</t>
        </r>
        <r>
          <rPr>
            <sz val="10"/>
            <color indexed="81"/>
            <rFont val="Tahoma"/>
            <family val="2"/>
          </rPr>
          <t xml:space="preserve">
y1 - m*x1 </t>
        </r>
      </text>
    </comment>
    <comment ref="F8" authorId="0" shapeId="0" xr:uid="{00000000-0006-0000-0500-000002000000}">
      <text>
        <r>
          <rPr>
            <sz val="10"/>
            <color indexed="81"/>
            <rFont val="Tahoma"/>
            <family val="2"/>
          </rPr>
          <t xml:space="preserve">This region is plotted above the line, so the values are inverted: plot value 13 = 16 - 3.  The corresponding y value is 3.
</t>
        </r>
      </text>
    </comment>
    <comment ref="B34" authorId="0" shapeId="0" xr:uid="{00000000-0006-0000-0500-000003000000}">
      <text>
        <r>
          <rPr>
            <sz val="10"/>
            <color indexed="81"/>
            <rFont val="Tahoma"/>
            <family val="2"/>
          </rPr>
          <t xml:space="preserve">(ymax - ymin)/(xmax-xmin)
</t>
        </r>
      </text>
    </comment>
    <comment ref="B41" authorId="0" shapeId="0" xr:uid="{00000000-0006-0000-0500-000004000000}">
      <text>
        <r>
          <rPr>
            <sz val="10"/>
            <color indexed="81"/>
            <rFont val="Tahoma"/>
            <family val="2"/>
          </rPr>
          <t xml:space="preserve">(ymax - ymin)/(xmax-xmin)
</t>
        </r>
      </text>
    </comment>
    <comment ref="G51" authorId="0" shapeId="0" xr:uid="{00000000-0006-0000-0500-000005000000}">
      <text>
        <r>
          <rPr>
            <sz val="10"/>
            <color indexed="81"/>
            <rFont val="Tahoma"/>
            <family val="2"/>
          </rPr>
          <t xml:space="preserve">This region is plotted above the line, so the values are inverted: plot value 13 = 16 - 3.  The corresponding y value is 3.
</t>
        </r>
      </text>
    </comment>
    <comment ref="G71" authorId="0" shapeId="0" xr:uid="{00000000-0006-0000-0500-000006000000}">
      <text>
        <r>
          <rPr>
            <sz val="10"/>
            <color indexed="81"/>
            <rFont val="Tahoma"/>
            <family val="2"/>
          </rPr>
          <t xml:space="preserve">This region is plotted above the line, so the values are inverted: plot value 13 = 16 - 3.  The corresponding y value is 3.
</t>
        </r>
      </text>
    </comment>
  </commentList>
</comments>
</file>

<file path=xl/sharedStrings.xml><?xml version="1.0" encoding="utf-8"?>
<sst xmlns="http://schemas.openxmlformats.org/spreadsheetml/2006/main" count="156" uniqueCount="138">
  <si>
    <t>Failure Time</t>
  </si>
  <si>
    <t>Y Value</t>
  </si>
  <si>
    <t>X Value</t>
  </si>
  <si>
    <t>m</t>
  </si>
  <si>
    <t>b</t>
  </si>
  <si>
    <t>Accept Region</t>
  </si>
  <si>
    <t>Reject Region</t>
  </si>
  <si>
    <t>Boundary</t>
  </si>
  <si>
    <t>xmin</t>
  </si>
  <si>
    <t>xmax</t>
  </si>
  <si>
    <t>R Ht</t>
  </si>
  <si>
    <t>C Ht</t>
  </si>
  <si>
    <t>A Ht</t>
  </si>
  <si>
    <t>A</t>
  </si>
  <si>
    <t>B</t>
  </si>
  <si>
    <t>Slope</t>
  </si>
  <si>
    <t>Discrimination Ratio γ</t>
  </si>
  <si>
    <t>Y intercept</t>
  </si>
  <si>
    <t>Musa's Equations</t>
  </si>
  <si>
    <t>Accept</t>
  </si>
  <si>
    <t>X intercept</t>
  </si>
  <si>
    <t>X Top</t>
  </si>
  <si>
    <t>Y Top</t>
  </si>
  <si>
    <t>Reject</t>
  </si>
  <si>
    <t>x</t>
  </si>
  <si>
    <t>y</t>
  </si>
  <si>
    <t xml:space="preserve">Your usage of the formulas contained in this spreadsheet (the "program" in the GNU General Public License "GPL") is governed by the GNU GPL. This program is free software: you can redistribute it and/or modify it under the terms of the GNU GPL as published by the Free Software Foundation, either version 3 of the License, or (at your option) any later version. </t>
  </si>
  <si>
    <t>Please note that GNU GPL requires you to include this notice if you distribute this spreadsheet or any derivative of it.</t>
  </si>
  <si>
    <t>This program is provided in the hope that it will be useful, but WITHOUT ANY WARRANTY; without even the implied warranty of  MERCHANTABILITY or FITNESS FOR A PARTICULAR PURPOSE.  See the GNU General Public License for more details.</t>
  </si>
  <si>
    <t xml:space="preserve">The full GNU General Public License may be viewed at </t>
  </si>
  <si>
    <t>http://www.gnu.org/licenses/gpl.html</t>
  </si>
  <si>
    <t>http://www.authorhouse.com/Bookstore/ItemDetail.aspx?bookid=26806</t>
  </si>
  <si>
    <t xml:space="preserve">Top </t>
  </si>
  <si>
    <t>Side</t>
  </si>
  <si>
    <t>Failure Count</t>
  </si>
  <si>
    <t>Normalized Failure Time</t>
  </si>
  <si>
    <t>Sample Maximum</t>
  </si>
  <si>
    <t xml:space="preserve">Reject Boundary Plot </t>
  </si>
  <si>
    <t>Accept Boundary Plot</t>
  </si>
  <si>
    <t>Catg</t>
  </si>
  <si>
    <t>Y</t>
  </si>
  <si>
    <t>User Defined Risk Profile</t>
  </si>
  <si>
    <t>Typical Risk Profiles</t>
  </si>
  <si>
    <t>Date</t>
  </si>
  <si>
    <t>Time</t>
  </si>
  <si>
    <t>Purpose</t>
  </si>
  <si>
    <t>How to Use</t>
  </si>
  <si>
    <t>Failure Intensity Objective</t>
  </si>
  <si>
    <t>Per Number of input events</t>
  </si>
  <si>
    <t>Input event description</t>
  </si>
  <si>
    <t>Unitary</t>
  </si>
  <si>
    <t>Event Counts for Unit Tick Marks</t>
  </si>
  <si>
    <t>Observed Failures</t>
  </si>
  <si>
    <t>call</t>
  </si>
  <si>
    <t>Scaled</t>
  </si>
  <si>
    <t>Tabs</t>
  </si>
  <si>
    <t>Informative</t>
  </si>
  <si>
    <t>Input</t>
  </si>
  <si>
    <t>Working</t>
  </si>
  <si>
    <t>Output</t>
  </si>
  <si>
    <t>Blue tabs show output results, computed from the user's input data</t>
  </si>
  <si>
    <t>Nominal FIO</t>
  </si>
  <si>
    <t>Unitary FIO</t>
  </si>
  <si>
    <r>
      <t xml:space="preserve">For an explanation of the risk parameters and interpretation of this chart, please see chapter 6, Guiding Test, in John Musa's </t>
    </r>
    <r>
      <rPr>
        <sz val="10"/>
        <rFont val="Arial"/>
        <family val="2"/>
      </rPr>
      <t>S</t>
    </r>
    <r>
      <rPr>
        <i/>
        <sz val="10"/>
        <rFont val="Arial"/>
        <family val="2"/>
      </rPr>
      <t>oftware Reliability Engineering: More Reliable Software Faster and Cheape</t>
    </r>
    <r>
      <rPr>
        <sz val="10"/>
        <rFont val="Arial"/>
        <family val="2"/>
      </rPr>
      <t>r</t>
    </r>
    <r>
      <rPr>
        <i/>
        <sz val="10"/>
        <rFont val="Arial"/>
        <family val="2"/>
      </rPr>
      <t xml:space="preserve"> </t>
    </r>
    <r>
      <rPr>
        <sz val="10"/>
        <rFont val="Arial"/>
        <family val="2"/>
      </rPr>
      <t>2nd Edition.</t>
    </r>
  </si>
  <si>
    <t>Open Source Software, Acceptable Use</t>
  </si>
  <si>
    <t>1.0</t>
  </si>
  <si>
    <t>Initial Release</t>
  </si>
  <si>
    <t>Define your Units</t>
  </si>
  <si>
    <t>Enter Your Failure Data</t>
  </si>
  <si>
    <t>Input Event When Observed</t>
  </si>
  <si>
    <r>
      <t xml:space="preserve">The event scale can also be given in time units.  See </t>
    </r>
    <r>
      <rPr>
        <i/>
        <sz val="10"/>
        <rFont val="Arial"/>
        <family val="2"/>
      </rPr>
      <t>Musa</t>
    </r>
    <r>
      <rPr>
        <sz val="10"/>
        <rFont val="Arial"/>
        <family val="2"/>
      </rPr>
      <t xml:space="preserve"> for a complete discussion.</t>
    </r>
  </si>
  <si>
    <r>
      <t xml:space="preserve">This spreadsheet provides a model to compare reliability observations with a reliability goal determined by risk parameters, known as a </t>
    </r>
    <r>
      <rPr>
        <b/>
        <sz val="10"/>
        <rFont val="Arial"/>
        <family val="2"/>
      </rPr>
      <t>Reliability Demonstration Chart</t>
    </r>
    <r>
      <rPr>
        <sz val="10"/>
        <rFont val="Arial"/>
        <family val="2"/>
      </rPr>
      <t>.</t>
    </r>
  </si>
  <si>
    <t>The tabs are colored coded.</t>
  </si>
  <si>
    <t>In the Failure Data tab, lower gold cells, enter the input event number (or time unit) when each failure is observed.  The RDC chart in the R-Demo-Chart will be automatically updated.</t>
  </si>
  <si>
    <t>Guide Test</t>
  </si>
  <si>
    <t xml:space="preserve">When the observed failure line crosses into the green region, this indicates your testing shows that the SUT will probably achieve its FIO in the field. </t>
  </si>
  <si>
    <t xml:space="preserve">When the observed failure line falls in yellow region, this indicates more testing is needed to provide an estimate of the SUT's reliability. </t>
  </si>
  <si>
    <t xml:space="preserve">When the observed failure line crosses into the red region, this indicates your testing shows that the SUT will probably not achieve its FIO in the field. </t>
  </si>
  <si>
    <t>Contact</t>
  </si>
  <si>
    <t>I welcome questions, suggestions, and comments.  Please visit the RDC site at Source Forge to submit your feedback.</t>
  </si>
  <si>
    <t>Set your Risk Parameters</t>
  </si>
  <si>
    <t>In the Failure Data tab, upper gold cells, enter your values for Maximum Acceptable Number of Failures, Per Number of input events, Input event description.</t>
  </si>
  <si>
    <t xml:space="preserve">In all cases, your risk parameters determine how much confidence is needed in these estimates. </t>
  </si>
  <si>
    <t>A Failure Intensity Objective (FIO) is the maximum acceptable number of failures during a period of field use. This is typically defined with "natural" units, such as number of input events. For example, a telecom system would have an FIO of no more than 4 failures per million calls.</t>
  </si>
  <si>
    <t>Developer's Risk α</t>
  </si>
  <si>
    <t>User's Risk β</t>
  </si>
  <si>
    <r>
      <t xml:space="preserve">The risk parameters determine the acceptable probability of an error in the estimate.  There are three parameters: alpha (the developer's risk), beta (the users' risk), and gamma.  Developer's risk is rejecting an acceptable system; the User's risk is releasing an unacceptable system. See </t>
    </r>
    <r>
      <rPr>
        <i/>
        <sz val="10"/>
        <rFont val="Arial"/>
        <family val="2"/>
      </rPr>
      <t xml:space="preserve">Musa, </t>
    </r>
    <r>
      <rPr>
        <sz val="10"/>
        <rFont val="Arial"/>
        <family val="2"/>
      </rPr>
      <t>chapter 6 for a complete discussion.</t>
    </r>
  </si>
  <si>
    <t>Data Protection</t>
  </si>
  <si>
    <t>All of the sheets in this workbook are protected, but no password is required.  The protection prevents inadvertent changes to the basic formulas, and limits your input to the above. To change any protected cell, simply go to Tools.Protection.Unprotect Sheet.</t>
  </si>
  <si>
    <t>The documentation, formulas, and formatting in this spreadsheet are Copyright 2009, Robert V. Binder.</t>
  </si>
  <si>
    <t>Project Name</t>
  </si>
  <si>
    <t>Tracking Link/ID</t>
  </si>
  <si>
    <t>SUT Name</t>
  </si>
  <si>
    <t xml:space="preserve">SUT Version </t>
  </si>
  <si>
    <t>Example</t>
  </si>
  <si>
    <t>Demo</t>
  </si>
  <si>
    <t>Enter Descriptive data</t>
  </si>
  <si>
    <t>Optionally, you may also enter the date and time the failure was observed, and Id and/or a link to a tracking system.</t>
  </si>
  <si>
    <t>Risk Profile</t>
  </si>
  <si>
    <t>Optional Input</t>
  </si>
  <si>
    <t>Gold colored tabs and cells indicate required user input.</t>
  </si>
  <si>
    <t>Aqua tabs provide information about using this program.</t>
  </si>
  <si>
    <t>Cream colored tabs and cells indicate optional user input.</t>
  </si>
  <si>
    <t>Gray tabs are working data and formulas.  You should not change these unless you want to alter this program.</t>
  </si>
  <si>
    <t>Enter descriptive data in the Project tab. This is displayed on the output chart.</t>
  </si>
  <si>
    <t>https://sourceforge.net/projects/rdc/</t>
  </si>
  <si>
    <t>1. Go to R-Demo Chart</t>
  </si>
  <si>
    <t>2. Select the black data line</t>
  </si>
  <si>
    <t>3. Right click, then select Source Data from the popup</t>
  </si>
  <si>
    <t>4. Under Series, select Observed Failures</t>
  </si>
  <si>
    <t>6. Click OK</t>
  </si>
  <si>
    <t xml:space="preserve">As you add each new failure observation, you will have to update the data range for the observed line.  </t>
  </si>
  <si>
    <t>5. In the Y Values box, enter the cell for the last failure observation.  Be sure that the new range covers the first to last failure observation.</t>
  </si>
  <si>
    <t>This file is pre-set with example descriptions, failure data, and risk parameters. Replace this with your own data.</t>
  </si>
  <si>
    <t>No input data validation is provided in RDC 1.0, so if you input invalid data or revise formulas, results are unpredictable.</t>
  </si>
  <si>
    <t>Observation</t>
  </si>
  <si>
    <t>Cumulative Failure Count</t>
  </si>
  <si>
    <t>Normalized (Plotted) X Value</t>
  </si>
  <si>
    <t>An RDC provides an estimate of whether or not a system under test meets its Failure Intensity Objective, based on frequency of failures observed during testing.</t>
  </si>
  <si>
    <t>This program has nine built-in profiles, and allows three user-defined profiles. To define your risk profile, select the Risk Trade-Off Parameters tab, and then enter values into the gold cells for alpha, beta, and gamma.</t>
  </si>
  <si>
    <t>The effect of the risk parameters is to move the boundaries of the accept-reject regions.  Note that you can change the boundaries independently.</t>
  </si>
  <si>
    <t>As you change these values, you will immediately see the effect in the RDC preview chart, on this tab. The boundaries on the output chart are also automatically changed.</t>
  </si>
  <si>
    <t xml:space="preserve">You can enter a zero failure count for an event count. This could happen when initial test runs don't reveal any failures.  You can also enter multiple failures for a single event count.  </t>
  </si>
  <si>
    <t xml:space="preserve">If you enter an inconsistent failure count, the cell will turn red.  The cell after the last entry is always red -- this is normal. </t>
  </si>
  <si>
    <t xml:space="preserve">Maximum Acceptable Number of Failures </t>
  </si>
  <si>
    <t>Display trend line when no failures observed. Check failure counts, allow multiple failures in one observation.</t>
  </si>
  <si>
    <t xml:space="preserve">Version </t>
  </si>
  <si>
    <t>By</t>
  </si>
  <si>
    <t>Note</t>
  </si>
  <si>
    <t>Bob Binder</t>
  </si>
  <si>
    <t>T</t>
  </si>
  <si>
    <t>FC</t>
  </si>
  <si>
    <t>E</t>
  </si>
  <si>
    <t>F</t>
  </si>
  <si>
    <t>C</t>
  </si>
  <si>
    <t>Continue</t>
  </si>
  <si>
    <t>Data points on slope between R and Y</t>
  </si>
  <si>
    <t>Data points on slope between Y and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</si>
</sst>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h:mm;@"/>
    <numFmt numFmtId="167" formatCode="_(* #,##0_);_(* \(#,##0\);_(* &quot;-&quot;??_);_(@_)"/>
    <numFmt numFmtId="168" formatCode="yyyy\ mm\ dd"/>
    <numFmt numFmtId="169" formatCode="[$-409]d\-mmm\-yy;@"/>
  </numFmts>
  <fonts count="13" x14ac:knownFonts="1">
    <font>
      <sz val="10"/>
      <name val="Arial"/>
    </font>
    <font>
      <sz val="10"/>
      <name val="Arial"/>
      <family val="2"/>
    </font>
    <font>
      <b/>
      <i/>
      <sz val="10"/>
      <name val="Arial"/>
      <family val="2"/>
    </font>
    <font>
      <b/>
      <sz val="10"/>
      <name val="Arial"/>
      <family val="2"/>
    </font>
    <font>
      <sz val="8"/>
      <name val="Arial"/>
      <family val="2"/>
    </font>
    <font>
      <sz val="10"/>
      <color indexed="81"/>
      <name val="Tahoma"/>
      <family val="2"/>
    </font>
    <font>
      <b/>
      <sz val="10"/>
      <color indexed="81"/>
      <name val="Tahoma"/>
      <family val="2"/>
    </font>
    <font>
      <sz val="10"/>
      <name val="Arial"/>
      <family val="2"/>
    </font>
    <font>
      <u/>
      <sz val="10"/>
      <color indexed="12"/>
      <name val="Arial"/>
      <family val="2"/>
    </font>
    <font>
      <i/>
      <sz val="10"/>
      <name val="Arial"/>
      <family val="2"/>
    </font>
    <font>
      <b/>
      <sz val="10"/>
      <color indexed="9"/>
      <name val="Arial"/>
      <family val="2"/>
    </font>
    <font>
      <sz val="10"/>
      <color indexed="81"/>
      <name val="Arial"/>
      <family val="2"/>
    </font>
    <font>
      <sz val="14"/>
      <name val="Arial Black"/>
      <family val="2"/>
    </font>
  </fonts>
  <fills count="7">
    <fill>
      <patternFill patternType="none"/>
    </fill>
    <fill>
      <patternFill patternType="gray125"/>
    </fill>
    <fill>
      <patternFill patternType="solid">
        <fgColor indexed="15"/>
        <bgColor indexed="64"/>
      </patternFill>
    </fill>
    <fill>
      <patternFill patternType="solid">
        <fgColor indexed="51"/>
        <bgColor indexed="64"/>
      </patternFill>
    </fill>
    <fill>
      <patternFill patternType="solid">
        <fgColor indexed="48"/>
        <bgColor indexed="64"/>
      </patternFill>
    </fill>
    <fill>
      <patternFill patternType="solid">
        <fgColor indexed="22"/>
        <bgColor indexed="64"/>
      </patternFill>
    </fill>
    <fill>
      <patternFill patternType="solid">
        <fgColor indexed="43"/>
        <bgColor indexed="64"/>
      </patternFill>
    </fill>
  </fills>
  <borders count="2">
    <border>
      <left/>
      <right/>
      <top/>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cellStyleXfs>
  <cellXfs count="70">
    <xf numFmtId="0" fontId="0" fillId="0" borderId="0" xfId="0"/>
    <xf numFmtId="164" fontId="0" fillId="0" borderId="0" xfId="0" applyNumberFormat="1"/>
    <xf numFmtId="1" fontId="0" fillId="0" borderId="0" xfId="0" applyNumberFormat="1"/>
    <xf numFmtId="165" fontId="0" fillId="0" borderId="0" xfId="0" applyNumberFormat="1"/>
    <xf numFmtId="0" fontId="2" fillId="0" borderId="0" xfId="0" applyFont="1" applyAlignment="1">
      <alignment horizontal="right"/>
    </xf>
    <xf numFmtId="165" fontId="3" fillId="0" borderId="0" xfId="0" applyNumberFormat="1" applyFont="1"/>
    <xf numFmtId="0" fontId="3" fillId="0" borderId="0" xfId="0" applyFont="1"/>
    <xf numFmtId="165" fontId="3" fillId="0" borderId="0" xfId="0" applyNumberFormat="1" applyFont="1" applyAlignment="1">
      <alignment horizontal="right"/>
    </xf>
    <xf numFmtId="165" fontId="7" fillId="0" borderId="0" xfId="0" applyNumberFormat="1" applyFont="1"/>
    <xf numFmtId="0" fontId="3" fillId="0" borderId="0" xfId="0" applyFont="1" applyAlignment="1">
      <alignment horizontal="right"/>
    </xf>
    <xf numFmtId="0" fontId="0" fillId="0" borderId="0" xfId="0" applyAlignment="1">
      <alignment horizontal="right"/>
    </xf>
    <xf numFmtId="0" fontId="3" fillId="0" borderId="0" xfId="0" applyFont="1" applyAlignment="1">
      <alignment horizontal="center"/>
    </xf>
    <xf numFmtId="0" fontId="3" fillId="0" borderId="0" xfId="0" applyFont="1" applyAlignment="1">
      <alignment horizontal="left"/>
    </xf>
    <xf numFmtId="0" fontId="0" fillId="0" borderId="0" xfId="0" applyAlignment="1" applyProtection="1">
      <alignment wrapText="1"/>
    </xf>
    <xf numFmtId="0" fontId="8" fillId="0" borderId="0" xfId="2" applyAlignment="1" applyProtection="1">
      <alignment wrapText="1"/>
    </xf>
    <xf numFmtId="165" fontId="3" fillId="0" borderId="0" xfId="0" applyNumberFormat="1" applyFont="1" applyAlignment="1">
      <alignment horizontal="center"/>
    </xf>
    <xf numFmtId="0" fontId="0" fillId="0" borderId="0" xfId="0" applyAlignment="1">
      <alignment horizontal="left"/>
    </xf>
    <xf numFmtId="2" fontId="0" fillId="0" borderId="0" xfId="0" applyNumberFormat="1" applyAlignment="1">
      <alignment horizontal="left"/>
    </xf>
    <xf numFmtId="0" fontId="0" fillId="0" borderId="0" xfId="0" applyAlignment="1">
      <alignment wrapText="1"/>
    </xf>
    <xf numFmtId="0" fontId="8" fillId="0" borderId="0" xfId="2" applyAlignment="1" applyProtection="1"/>
    <xf numFmtId="0" fontId="0" fillId="0" borderId="0" xfId="0" applyAlignment="1"/>
    <xf numFmtId="0" fontId="3" fillId="0" borderId="0" xfId="0" applyFont="1" applyAlignment="1"/>
    <xf numFmtId="0" fontId="0" fillId="0" borderId="0" xfId="0" applyFill="1"/>
    <xf numFmtId="165" fontId="0" fillId="0" borderId="0" xfId="0" applyNumberFormat="1" applyFill="1"/>
    <xf numFmtId="0" fontId="8" fillId="0" borderId="0" xfId="2" applyFont="1" applyAlignment="1" applyProtection="1">
      <alignment wrapText="1"/>
    </xf>
    <xf numFmtId="0" fontId="0" fillId="0" borderId="0" xfId="0" applyFill="1" applyAlignment="1">
      <alignment wrapText="1"/>
    </xf>
    <xf numFmtId="0" fontId="9" fillId="0" borderId="0" xfId="0" applyFont="1" applyAlignment="1"/>
    <xf numFmtId="0" fontId="0" fillId="0" borderId="0" xfId="0" applyAlignment="1">
      <alignment vertical="top" wrapText="1"/>
    </xf>
    <xf numFmtId="0" fontId="3" fillId="2" borderId="0" xfId="0" applyFont="1" applyFill="1" applyAlignment="1">
      <alignment horizontal="center" vertical="top" wrapText="1"/>
    </xf>
    <xf numFmtId="0" fontId="3" fillId="3" borderId="0" xfId="0" applyFont="1" applyFill="1" applyAlignment="1">
      <alignment horizontal="center" vertical="top" wrapText="1"/>
    </xf>
    <xf numFmtId="0" fontId="10" fillId="4" borderId="0" xfId="0" applyFont="1" applyFill="1" applyAlignment="1">
      <alignment horizontal="center" vertical="top" wrapText="1"/>
    </xf>
    <xf numFmtId="0" fontId="3" fillId="5" borderId="0" xfId="0" applyFont="1" applyFill="1" applyAlignment="1">
      <alignment horizontal="center" vertical="top" wrapText="1"/>
    </xf>
    <xf numFmtId="0" fontId="3" fillId="0" borderId="0" xfId="0" applyFont="1" applyFill="1" applyAlignment="1">
      <alignment horizontal="center" vertical="top" wrapText="1"/>
    </xf>
    <xf numFmtId="0" fontId="0" fillId="3" borderId="0" xfId="0" applyFill="1" applyAlignment="1" applyProtection="1">
      <alignment horizontal="right"/>
      <protection locked="0"/>
    </xf>
    <xf numFmtId="3" fontId="0" fillId="3" borderId="0" xfId="0" applyNumberFormat="1" applyFill="1" applyAlignment="1" applyProtection="1">
      <alignment horizontal="right"/>
      <protection locked="0"/>
    </xf>
    <xf numFmtId="167" fontId="0" fillId="3" borderId="0" xfId="1" applyNumberFormat="1" applyFont="1" applyFill="1" applyProtection="1">
      <protection locked="0"/>
    </xf>
    <xf numFmtId="0" fontId="3" fillId="0" borderId="0" xfId="0" applyFont="1" applyProtection="1"/>
    <xf numFmtId="0" fontId="0" fillId="0" borderId="0" xfId="0" applyProtection="1"/>
    <xf numFmtId="0" fontId="0" fillId="0" borderId="0" xfId="0" applyAlignment="1" applyProtection="1">
      <alignment horizontal="left"/>
    </xf>
    <xf numFmtId="0" fontId="0" fillId="0" borderId="0" xfId="0" applyAlignment="1" applyProtection="1">
      <alignment horizontal="right"/>
    </xf>
    <xf numFmtId="167" fontId="0" fillId="0" borderId="0" xfId="1" applyNumberFormat="1" applyFont="1" applyAlignment="1" applyProtection="1">
      <alignment horizontal="right"/>
    </xf>
    <xf numFmtId="2" fontId="0" fillId="0" borderId="0" xfId="0" applyNumberFormat="1" applyProtection="1"/>
    <xf numFmtId="167" fontId="0" fillId="0" borderId="0" xfId="1" applyNumberFormat="1" applyFont="1" applyFill="1" applyProtection="1"/>
    <xf numFmtId="0" fontId="0" fillId="0" borderId="0" xfId="0" applyFill="1" applyProtection="1"/>
    <xf numFmtId="164" fontId="0" fillId="0" borderId="0" xfId="0" applyNumberFormat="1" applyProtection="1"/>
    <xf numFmtId="165" fontId="0" fillId="3" borderId="0" xfId="0" applyNumberFormat="1" applyFill="1" applyProtection="1">
      <protection locked="0"/>
    </xf>
    <xf numFmtId="165" fontId="0" fillId="6" borderId="0" xfId="0" applyNumberFormat="1" applyFill="1" applyProtection="1">
      <protection locked="0"/>
    </xf>
    <xf numFmtId="0" fontId="12" fillId="0" borderId="0" xfId="0" applyFont="1"/>
    <xf numFmtId="0" fontId="2" fillId="0" borderId="0" xfId="0" applyFont="1"/>
    <xf numFmtId="168" fontId="0" fillId="6" borderId="0" xfId="1" applyNumberFormat="1" applyFont="1" applyFill="1" applyProtection="1">
      <protection locked="0"/>
    </xf>
    <xf numFmtId="166" fontId="0" fillId="6" borderId="0" xfId="1" applyNumberFormat="1" applyFont="1" applyFill="1" applyProtection="1">
      <protection locked="0"/>
    </xf>
    <xf numFmtId="167" fontId="0" fillId="6" borderId="0" xfId="1" applyNumberFormat="1" applyFont="1" applyFill="1" applyProtection="1">
      <protection locked="0"/>
    </xf>
    <xf numFmtId="0" fontId="3" fillId="6" borderId="0" xfId="0" applyFont="1" applyFill="1" applyAlignment="1">
      <alignment horizontal="center" vertical="top" wrapText="1"/>
    </xf>
    <xf numFmtId="0" fontId="0" fillId="6" borderId="0" xfId="0" applyFill="1" applyAlignment="1" applyProtection="1">
      <alignment horizontal="left"/>
      <protection locked="0"/>
    </xf>
    <xf numFmtId="0" fontId="0" fillId="0" borderId="0" xfId="0" applyAlignment="1" applyProtection="1">
      <alignment vertical="top" wrapText="1"/>
    </xf>
    <xf numFmtId="0" fontId="3" fillId="0" borderId="0" xfId="0" applyFont="1" applyAlignment="1" applyProtection="1">
      <alignment horizontal="center" vertical="top" wrapText="1"/>
    </xf>
    <xf numFmtId="0" fontId="1" fillId="3" borderId="0" xfId="0" applyFont="1" applyFill="1" applyProtection="1"/>
    <xf numFmtId="165" fontId="0" fillId="0" borderId="0" xfId="0" applyNumberFormat="1" applyAlignment="1">
      <alignment horizontal="right"/>
    </xf>
    <xf numFmtId="3" fontId="0" fillId="0" borderId="0" xfId="1" applyNumberFormat="1" applyFont="1" applyProtection="1"/>
    <xf numFmtId="0" fontId="0" fillId="0" borderId="0" xfId="0" quotePrefix="1" applyAlignment="1">
      <alignment horizontal="right" vertical="top"/>
    </xf>
    <xf numFmtId="0" fontId="0" fillId="0" borderId="0" xfId="0" applyAlignment="1">
      <alignment vertical="top"/>
    </xf>
    <xf numFmtId="0" fontId="0" fillId="0" borderId="0" xfId="0" applyAlignment="1">
      <alignment horizontal="left" vertical="top"/>
    </xf>
    <xf numFmtId="169" fontId="0" fillId="0" borderId="0" xfId="0" applyNumberFormat="1" applyAlignment="1">
      <alignment vertical="top"/>
    </xf>
    <xf numFmtId="0" fontId="7" fillId="0" borderId="0" xfId="0" applyFont="1"/>
    <xf numFmtId="0" fontId="7" fillId="0" borderId="0" xfId="0" applyFont="1" applyAlignment="1">
      <alignment horizontal="right"/>
    </xf>
    <xf numFmtId="0" fontId="7" fillId="0" borderId="0" xfId="0" applyFont="1" applyProtection="1"/>
    <xf numFmtId="0" fontId="0" fillId="0" borderId="0" xfId="0" applyAlignment="1" applyProtection="1">
      <alignment wrapText="1"/>
    </xf>
    <xf numFmtId="0" fontId="0" fillId="0" borderId="0" xfId="0" applyAlignment="1">
      <alignment wrapText="1"/>
    </xf>
    <xf numFmtId="0" fontId="0" fillId="0" borderId="0" xfId="0" applyAlignment="1">
      <alignment vertical="top" wrapText="1"/>
    </xf>
    <xf numFmtId="0" fontId="0" fillId="0" borderId="1" xfId="0" applyBorder="1" applyAlignment="1">
      <alignment horizontal="center"/>
    </xf>
  </cellXfs>
  <cellStyles count="3">
    <cellStyle name="Comma" xfId="1" builtinId="3"/>
    <cellStyle name="Hyperlink" xfId="2" builtinId="8"/>
    <cellStyle name="Normal" xfId="0" builtinId="0"/>
  </cellStyles>
  <dxfs count="2">
    <dxf>
      <font>
        <b/>
        <i val="0"/>
        <condense val="0"/>
        <extend val="0"/>
      </font>
      <fill>
        <patternFill>
          <bgColor indexed="10"/>
        </patternFill>
      </fill>
    </dxf>
    <dxf>
      <font>
        <b/>
        <i val="0"/>
        <condense val="0"/>
        <extend val="0"/>
        <color auto="1"/>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en-CA"/>
              <a:t>RDC Preview</a:t>
            </a:r>
          </a:p>
        </c:rich>
      </c:tx>
      <c:layout>
        <c:manualLayout>
          <c:xMode val="edge"/>
          <c:yMode val="edge"/>
          <c:x val="0.45721637285760736"/>
          <c:y val="2.5862116362636713E-2"/>
        </c:manualLayout>
      </c:layout>
      <c:overlay val="0"/>
      <c:spPr>
        <a:noFill/>
        <a:ln w="25400">
          <a:noFill/>
        </a:ln>
      </c:spPr>
    </c:title>
    <c:autoTitleDeleted val="0"/>
    <c:plotArea>
      <c:layout>
        <c:manualLayout>
          <c:layoutTarget val="inner"/>
          <c:xMode val="edge"/>
          <c:yMode val="edge"/>
          <c:x val="6.3857040051584518E-2"/>
          <c:y val="9.6059113300492605E-2"/>
          <c:w val="0.91443281353869021"/>
          <c:h val="0.56280788177339902"/>
        </c:manualLayout>
      </c:layout>
      <c:scatterChart>
        <c:scatterStyle val="lineMarker"/>
        <c:varyColors val="0"/>
        <c:ser>
          <c:idx val="0"/>
          <c:order val="0"/>
          <c:tx>
            <c:v>Accept Boundary</c:v>
          </c:tx>
          <c:spPr>
            <a:ln w="25400">
              <a:solidFill>
                <a:srgbClr val="00FF00"/>
              </a:solidFill>
              <a:prstDash val="solid"/>
            </a:ln>
          </c:spPr>
          <c:marker>
            <c:symbol val="diamond"/>
            <c:size val="7"/>
            <c:spPr>
              <a:solidFill>
                <a:srgbClr val="000000"/>
              </a:solidFill>
              <a:ln>
                <a:solidFill>
                  <a:srgbClr val="00FF00"/>
                </a:solidFill>
                <a:prstDash val="solid"/>
              </a:ln>
            </c:spPr>
          </c:marker>
          <c:xVal>
            <c:numRef>
              <c:f>'Plot Data'!$D$37:$D$40</c:f>
              <c:numCache>
                <c:formatCode>0.000</c:formatCode>
                <c:ptCount val="4"/>
                <c:pt idx="0">
                  <c:v>2.1972245773362191</c:v>
                </c:pt>
                <c:pt idx="1">
                  <c:v>13.287579466295345</c:v>
                </c:pt>
                <c:pt idx="2">
                  <c:v>0</c:v>
                </c:pt>
                <c:pt idx="3">
                  <c:v>16</c:v>
                </c:pt>
              </c:numCache>
            </c:numRef>
          </c:xVal>
          <c:yVal>
            <c:numRef>
              <c:f>'Plot Data'!$E$37:$E$40</c:f>
              <c:numCache>
                <c:formatCode>0.000</c:formatCode>
                <c:ptCount val="4"/>
                <c:pt idx="0">
                  <c:v>0</c:v>
                </c:pt>
                <c:pt idx="1">
                  <c:v>16</c:v>
                </c:pt>
                <c:pt idx="2">
                  <c:v>-3.1699250014423122</c:v>
                </c:pt>
                <c:pt idx="3">
                  <c:v>19.913195652781106</c:v>
                </c:pt>
              </c:numCache>
            </c:numRef>
          </c:yVal>
          <c:smooth val="0"/>
          <c:extLst>
            <c:ext xmlns:c16="http://schemas.microsoft.com/office/drawing/2014/chart" uri="{C3380CC4-5D6E-409C-BE32-E72D297353CC}">
              <c16:uniqueId val="{00000000-CAE4-472C-A1C8-BFCEE3E10E39}"/>
            </c:ext>
          </c:extLst>
        </c:ser>
        <c:ser>
          <c:idx val="1"/>
          <c:order val="1"/>
          <c:tx>
            <c:v>Reject Boundary</c:v>
          </c:tx>
          <c:spPr>
            <a:ln w="25400">
              <a:solidFill>
                <a:srgbClr val="FF0000"/>
              </a:solidFill>
              <a:prstDash val="solid"/>
            </a:ln>
          </c:spPr>
          <c:marker>
            <c:symbol val="square"/>
            <c:size val="7"/>
            <c:spPr>
              <a:solidFill>
                <a:srgbClr val="000000"/>
              </a:solidFill>
              <a:ln>
                <a:solidFill>
                  <a:srgbClr val="FF0000"/>
                </a:solidFill>
                <a:prstDash val="solid"/>
              </a:ln>
            </c:spPr>
          </c:marker>
          <c:xVal>
            <c:numRef>
              <c:f>'Plot Data'!$D$30:$D$33</c:f>
              <c:numCache>
                <c:formatCode>0.000</c:formatCode>
                <c:ptCount val="4"/>
                <c:pt idx="0">
                  <c:v>-2.1972245773362196</c:v>
                </c:pt>
                <c:pt idx="1">
                  <c:v>8.8931303116229046</c:v>
                </c:pt>
                <c:pt idx="2">
                  <c:v>0</c:v>
                </c:pt>
                <c:pt idx="3">
                  <c:v>16</c:v>
                </c:pt>
              </c:numCache>
            </c:numRef>
          </c:xVal>
          <c:yVal>
            <c:numRef>
              <c:f>'Plot Data'!$E$30:$E$33</c:f>
              <c:numCache>
                <c:formatCode>0.000</c:formatCode>
                <c:ptCount val="4"/>
                <c:pt idx="0">
                  <c:v>0</c:v>
                </c:pt>
                <c:pt idx="1">
                  <c:v>16</c:v>
                </c:pt>
                <c:pt idx="2">
                  <c:v>3.1699250014423126</c:v>
                </c:pt>
                <c:pt idx="3">
                  <c:v>26.253045655665726</c:v>
                </c:pt>
              </c:numCache>
            </c:numRef>
          </c:yVal>
          <c:smooth val="0"/>
          <c:extLst>
            <c:ext xmlns:c16="http://schemas.microsoft.com/office/drawing/2014/chart" uri="{C3380CC4-5D6E-409C-BE32-E72D297353CC}">
              <c16:uniqueId val="{00000001-CAE4-472C-A1C8-BFCEE3E10E39}"/>
            </c:ext>
          </c:extLst>
        </c:ser>
        <c:ser>
          <c:idx val="2"/>
          <c:order val="2"/>
          <c:tx>
            <c:v>Failure Count Bound</c:v>
          </c:tx>
          <c:spPr>
            <a:ln w="38100">
              <a:solidFill>
                <a:srgbClr val="0000FF"/>
              </a:solidFill>
              <a:prstDash val="sysDash"/>
            </a:ln>
          </c:spPr>
          <c:marker>
            <c:symbol val="none"/>
          </c:marker>
          <c:xVal>
            <c:numRef>
              <c:f>'Plot Data'!$D$44:$D$45</c:f>
              <c:numCache>
                <c:formatCode>General</c:formatCode>
                <c:ptCount val="2"/>
                <c:pt idx="0">
                  <c:v>0</c:v>
                </c:pt>
                <c:pt idx="1">
                  <c:v>16</c:v>
                </c:pt>
              </c:numCache>
            </c:numRef>
          </c:xVal>
          <c:yVal>
            <c:numRef>
              <c:f>'Plot Data'!$E$44:$E$45</c:f>
              <c:numCache>
                <c:formatCode>General</c:formatCode>
                <c:ptCount val="2"/>
                <c:pt idx="0">
                  <c:v>16</c:v>
                </c:pt>
                <c:pt idx="1">
                  <c:v>16</c:v>
                </c:pt>
              </c:numCache>
            </c:numRef>
          </c:yVal>
          <c:smooth val="0"/>
          <c:extLst>
            <c:ext xmlns:c16="http://schemas.microsoft.com/office/drawing/2014/chart" uri="{C3380CC4-5D6E-409C-BE32-E72D297353CC}">
              <c16:uniqueId val="{00000002-CAE4-472C-A1C8-BFCEE3E10E39}"/>
            </c:ext>
          </c:extLst>
        </c:ser>
        <c:ser>
          <c:idx val="3"/>
          <c:order val="3"/>
          <c:tx>
            <c:v>Time Bound</c:v>
          </c:tx>
          <c:spPr>
            <a:ln w="38100">
              <a:solidFill>
                <a:srgbClr val="0000FF"/>
              </a:solidFill>
              <a:prstDash val="lgDashDotDot"/>
            </a:ln>
          </c:spPr>
          <c:marker>
            <c:symbol val="none"/>
          </c:marker>
          <c:xVal>
            <c:numRef>
              <c:f>'Plot Data'!$D$47:$D$48</c:f>
              <c:numCache>
                <c:formatCode>General</c:formatCode>
                <c:ptCount val="2"/>
                <c:pt idx="0">
                  <c:v>16</c:v>
                </c:pt>
                <c:pt idx="1">
                  <c:v>16</c:v>
                </c:pt>
              </c:numCache>
            </c:numRef>
          </c:xVal>
          <c:yVal>
            <c:numRef>
              <c:f>'Plot Data'!$E$47:$E$48</c:f>
              <c:numCache>
                <c:formatCode>General</c:formatCode>
                <c:ptCount val="2"/>
                <c:pt idx="0">
                  <c:v>0</c:v>
                </c:pt>
                <c:pt idx="1">
                  <c:v>16</c:v>
                </c:pt>
              </c:numCache>
            </c:numRef>
          </c:yVal>
          <c:smooth val="0"/>
          <c:extLst>
            <c:ext xmlns:c16="http://schemas.microsoft.com/office/drawing/2014/chart" uri="{C3380CC4-5D6E-409C-BE32-E72D297353CC}">
              <c16:uniqueId val="{00000003-CAE4-472C-A1C8-BFCEE3E10E39}"/>
            </c:ext>
          </c:extLst>
        </c:ser>
        <c:dLbls>
          <c:showLegendKey val="0"/>
          <c:showVal val="0"/>
          <c:showCatName val="0"/>
          <c:showSerName val="0"/>
          <c:showPercent val="0"/>
          <c:showBubbleSize val="0"/>
        </c:dLbls>
        <c:axId val="808340176"/>
        <c:axId val="1"/>
      </c:scatterChart>
      <c:valAx>
        <c:axId val="808340176"/>
        <c:scaling>
          <c:orientation val="minMax"/>
          <c:max val="30"/>
          <c:min val="-5"/>
        </c:scaling>
        <c:delete val="0"/>
        <c:axPos val="b"/>
        <c:majorGridlines>
          <c:spPr>
            <a:ln w="3175">
              <a:solidFill>
                <a:srgbClr val="C0C0C0"/>
              </a:solidFill>
              <a:prstDash val="solid"/>
            </a:ln>
          </c:spPr>
        </c:majorGridlines>
        <c:minorGridlines>
          <c:spPr>
            <a:ln w="3175">
              <a:solidFill>
                <a:srgbClr val="C0C0C0"/>
              </a:solidFill>
              <a:prstDash val="solid"/>
            </a:ln>
          </c:spPr>
        </c:minorGridlines>
        <c:numFmt formatCode="0.0" sourceLinked="0"/>
        <c:majorTickMark val="out"/>
        <c:minorTickMark val="none"/>
        <c:tickLblPos val="low"/>
        <c:spPr>
          <a:ln w="25400">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At val="-1"/>
        <c:crossBetween val="midCat"/>
        <c:majorUnit val="2"/>
        <c:minorUnit val="1"/>
      </c:valAx>
      <c:valAx>
        <c:axId val="1"/>
        <c:scaling>
          <c:orientation val="minMax"/>
          <c:max val="30"/>
          <c:min val="-5"/>
        </c:scaling>
        <c:delete val="0"/>
        <c:axPos val="l"/>
        <c:majorGridlines>
          <c:spPr>
            <a:ln w="3175">
              <a:solidFill>
                <a:srgbClr val="969696"/>
              </a:solidFill>
              <a:prstDash val="solid"/>
            </a:ln>
          </c:spPr>
        </c:majorGridlines>
        <c:minorGridlines>
          <c:spPr>
            <a:ln w="3175">
              <a:solidFill>
                <a:srgbClr val="C0C0C0"/>
              </a:solidFill>
              <a:prstDash val="solid"/>
            </a:ln>
          </c:spPr>
        </c:minorGridlines>
        <c:numFmt formatCode="0" sourceLinked="0"/>
        <c:majorTickMark val="out"/>
        <c:minorTickMark val="out"/>
        <c:tickLblPos val="nextTo"/>
        <c:spPr>
          <a:ln w="25400">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808340176"/>
        <c:crosses val="autoZero"/>
        <c:crossBetween val="midCat"/>
        <c:majorUnit val="5"/>
        <c:minorUnit val="1"/>
      </c:valAx>
      <c:spPr>
        <a:noFill/>
        <a:ln w="3175">
          <a:solidFill>
            <a:srgbClr val="808080"/>
          </a:solidFill>
          <a:prstDash val="solid"/>
        </a:ln>
      </c:spPr>
    </c:plotArea>
    <c:legend>
      <c:legendPos val="r"/>
      <c:layout>
        <c:manualLayout>
          <c:xMode val="edge"/>
          <c:yMode val="edge"/>
          <c:x val="0.17128728570358226"/>
          <c:y val="0.70914791220283002"/>
          <c:w val="0.65950733357726588"/>
          <c:h val="2.4715610881063783E-2"/>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CA"/>
              <a:t>Reliability Demonstration Chart</a:t>
            </a:r>
          </a:p>
        </c:rich>
      </c:tx>
      <c:layout>
        <c:manualLayout>
          <c:xMode val="edge"/>
          <c:yMode val="edge"/>
          <c:x val="0.35462844488188972"/>
          <c:y val="2.718172529446844E-2"/>
        </c:manualLayout>
      </c:layout>
      <c:overlay val="0"/>
      <c:spPr>
        <a:noFill/>
        <a:ln w="25400">
          <a:noFill/>
        </a:ln>
      </c:spPr>
    </c:title>
    <c:autoTitleDeleted val="0"/>
    <c:plotArea>
      <c:layout>
        <c:manualLayout>
          <c:layoutTarget val="inner"/>
          <c:xMode val="edge"/>
          <c:yMode val="edge"/>
          <c:x val="8.2138200782268578E-2"/>
          <c:y val="0.11874122454681989"/>
          <c:w val="0.88135593220338981"/>
          <c:h val="0.74105969054521326"/>
        </c:manualLayout>
      </c:layout>
      <c:areaChart>
        <c:grouping val="stacked"/>
        <c:varyColors val="0"/>
        <c:ser>
          <c:idx val="0"/>
          <c:order val="0"/>
          <c:tx>
            <c:v>Accept</c:v>
          </c:tx>
          <c:spPr>
            <a:solidFill>
              <a:srgbClr val="00FF00"/>
            </a:solidFill>
            <a:ln w="12700">
              <a:solidFill>
                <a:srgbClr val="000000"/>
              </a:solidFill>
              <a:prstDash val="solid"/>
            </a:ln>
          </c:spPr>
          <c:cat>
            <c:numRef>
              <c:f>'Plot Data'!$J$9:$J$109</c:f>
              <c:numCache>
                <c:formatCode>0.0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'Plot Data'!$Q$9:$Q$109</c:f>
              <c:numCache>
                <c:formatCode>0.000</c:formatCode>
                <c:ptCount val="101"/>
                <c:pt idx="0">
                  <c:v>-7.2537313432835813</c:v>
                </c:pt>
                <c:pt idx="1">
                  <c:v>-6.0447761194029841</c:v>
                </c:pt>
                <c:pt idx="2">
                  <c:v>-4.8358208955223869</c:v>
                </c:pt>
                <c:pt idx="3">
                  <c:v>-3.6268656716417906</c:v>
                </c:pt>
                <c:pt idx="4">
                  <c:v>-2.4179104477611935</c:v>
                </c:pt>
                <c:pt idx="5">
                  <c:v>-1.2089552238805963</c:v>
                </c:pt>
                <c:pt idx="6">
                  <c:v>0</c:v>
                </c:pt>
                <c:pt idx="7">
                  <c:v>1.2089552238805972</c:v>
                </c:pt>
                <c:pt idx="8">
                  <c:v>2.4179104477611943</c:v>
                </c:pt>
                <c:pt idx="9">
                  <c:v>3.6268656716417915</c:v>
                </c:pt>
                <c:pt idx="10">
                  <c:v>4.8358208955223887</c:v>
                </c:pt>
                <c:pt idx="11">
                  <c:v>6.0447761194029859</c:v>
                </c:pt>
                <c:pt idx="12">
                  <c:v>7.2537313432835813</c:v>
                </c:pt>
                <c:pt idx="13">
                  <c:v>8.4626865671641784</c:v>
                </c:pt>
                <c:pt idx="14">
                  <c:v>9.6716417910447756</c:v>
                </c:pt>
                <c:pt idx="15">
                  <c:v>10.880597014925373</c:v>
                </c:pt>
                <c:pt idx="16">
                  <c:v>12.08955223880597</c:v>
                </c:pt>
                <c:pt idx="17">
                  <c:v>13.298507462686567</c:v>
                </c:pt>
                <c:pt idx="18">
                  <c:v>14.507462686567164</c:v>
                </c:pt>
                <c:pt idx="19">
                  <c:v>15.716417910447761</c:v>
                </c:pt>
                <c:pt idx="20">
                  <c:v>16.92537313432836</c:v>
                </c:pt>
                <c:pt idx="21">
                  <c:v>18.134328358208954</c:v>
                </c:pt>
                <c:pt idx="22">
                  <c:v>19.343283582089555</c:v>
                </c:pt>
                <c:pt idx="23">
                  <c:v>20.552238805970148</c:v>
                </c:pt>
                <c:pt idx="24">
                  <c:v>21.761194029850742</c:v>
                </c:pt>
                <c:pt idx="25">
                  <c:v>22.970149253731343</c:v>
                </c:pt>
                <c:pt idx="26">
                  <c:v>24.179104477611936</c:v>
                </c:pt>
                <c:pt idx="27">
                  <c:v>25.388059701492537</c:v>
                </c:pt>
                <c:pt idx="28">
                  <c:v>26.597014925373131</c:v>
                </c:pt>
                <c:pt idx="29">
                  <c:v>27.805970149253731</c:v>
                </c:pt>
                <c:pt idx="30">
                  <c:v>29.014925373134325</c:v>
                </c:pt>
                <c:pt idx="31">
                  <c:v>30.223880597014926</c:v>
                </c:pt>
                <c:pt idx="32">
                  <c:v>31.432835820895519</c:v>
                </c:pt>
                <c:pt idx="33">
                  <c:v>32.641791044776113</c:v>
                </c:pt>
                <c:pt idx="34">
                  <c:v>33.850746268656714</c:v>
                </c:pt>
                <c:pt idx="35">
                  <c:v>35.059701492537307</c:v>
                </c:pt>
                <c:pt idx="36">
                  <c:v>36.268656716417908</c:v>
                </c:pt>
                <c:pt idx="37">
                  <c:v>37.477611940298502</c:v>
                </c:pt>
                <c:pt idx="38">
                  <c:v>38.686567164179102</c:v>
                </c:pt>
                <c:pt idx="39">
                  <c:v>39.895522388059696</c:v>
                </c:pt>
                <c:pt idx="40">
                  <c:v>41.104477611940297</c:v>
                </c:pt>
                <c:pt idx="41">
                  <c:v>42.31343283582089</c:v>
                </c:pt>
                <c:pt idx="42">
                  <c:v>43.522388059701491</c:v>
                </c:pt>
                <c:pt idx="43">
                  <c:v>44.731343283582085</c:v>
                </c:pt>
                <c:pt idx="44">
                  <c:v>45.940298507462686</c:v>
                </c:pt>
                <c:pt idx="45">
                  <c:v>47.149253731343279</c:v>
                </c:pt>
                <c:pt idx="46">
                  <c:v>48.35820895522388</c:v>
                </c:pt>
                <c:pt idx="47">
                  <c:v>49.567164179104473</c:v>
                </c:pt>
                <c:pt idx="48">
                  <c:v>50.776119402985067</c:v>
                </c:pt>
                <c:pt idx="49">
                  <c:v>51.985074626865668</c:v>
                </c:pt>
                <c:pt idx="50">
                  <c:v>53.194029850746261</c:v>
                </c:pt>
                <c:pt idx="51">
                  <c:v>54.402985074626862</c:v>
                </c:pt>
                <c:pt idx="52">
                  <c:v>55.611940298507456</c:v>
                </c:pt>
                <c:pt idx="53">
                  <c:v>56.820895522388049</c:v>
                </c:pt>
                <c:pt idx="54">
                  <c:v>58.029850746268657</c:v>
                </c:pt>
                <c:pt idx="55">
                  <c:v>59.238805970149251</c:v>
                </c:pt>
                <c:pt idx="56">
                  <c:v>60.447761194029844</c:v>
                </c:pt>
                <c:pt idx="57">
                  <c:v>61.656716417910438</c:v>
                </c:pt>
                <c:pt idx="58">
                  <c:v>62.865671641791046</c:v>
                </c:pt>
                <c:pt idx="59">
                  <c:v>64.074626865671647</c:v>
                </c:pt>
                <c:pt idx="60">
                  <c:v>65.28358208955224</c:v>
                </c:pt>
                <c:pt idx="61">
                  <c:v>66.492537313432834</c:v>
                </c:pt>
                <c:pt idx="62">
                  <c:v>67.701492537313442</c:v>
                </c:pt>
                <c:pt idx="63">
                  <c:v>68.910447761194035</c:v>
                </c:pt>
                <c:pt idx="64">
                  <c:v>70.119402985074629</c:v>
                </c:pt>
                <c:pt idx="65">
                  <c:v>71.328358208955223</c:v>
                </c:pt>
                <c:pt idx="66">
                  <c:v>72.537313432835816</c:v>
                </c:pt>
                <c:pt idx="67">
                  <c:v>73.746268656716424</c:v>
                </c:pt>
                <c:pt idx="68">
                  <c:v>74.955223880597018</c:v>
                </c:pt>
                <c:pt idx="69">
                  <c:v>76.164179104477611</c:v>
                </c:pt>
                <c:pt idx="70">
                  <c:v>77.373134328358205</c:v>
                </c:pt>
                <c:pt idx="71">
                  <c:v>78.582089552238813</c:v>
                </c:pt>
                <c:pt idx="72">
                  <c:v>79.791044776119406</c:v>
                </c:pt>
                <c:pt idx="73">
                  <c:v>81</c:v>
                </c:pt>
                <c:pt idx="74">
                  <c:v>82.208955223880594</c:v>
                </c:pt>
                <c:pt idx="75">
                  <c:v>83.417910447761201</c:v>
                </c:pt>
                <c:pt idx="76">
                  <c:v>84.626865671641795</c:v>
                </c:pt>
                <c:pt idx="77">
                  <c:v>85.835820895522389</c:v>
                </c:pt>
                <c:pt idx="78">
                  <c:v>87.044776119402982</c:v>
                </c:pt>
                <c:pt idx="79">
                  <c:v>88.25373134328359</c:v>
                </c:pt>
                <c:pt idx="80">
                  <c:v>89.462686567164184</c:v>
                </c:pt>
                <c:pt idx="81">
                  <c:v>90.671641791044777</c:v>
                </c:pt>
                <c:pt idx="82">
                  <c:v>91.880597014925371</c:v>
                </c:pt>
                <c:pt idx="83">
                  <c:v>93.089552238805965</c:v>
                </c:pt>
                <c:pt idx="84">
                  <c:v>94.298507462686572</c:v>
                </c:pt>
                <c:pt idx="85">
                  <c:v>95.507462686567166</c:v>
                </c:pt>
                <c:pt idx="86">
                  <c:v>96.71641791044776</c:v>
                </c:pt>
                <c:pt idx="87">
                  <c:v>97.925373134328353</c:v>
                </c:pt>
                <c:pt idx="88">
                  <c:v>99.134328358208961</c:v>
                </c:pt>
                <c:pt idx="89">
                  <c:v>100.34328358208955</c:v>
                </c:pt>
                <c:pt idx="90">
                  <c:v>101.55223880597015</c:v>
                </c:pt>
                <c:pt idx="91">
                  <c:v>102.76119402985074</c:v>
                </c:pt>
                <c:pt idx="92">
                  <c:v>103.97014925373135</c:v>
                </c:pt>
                <c:pt idx="93">
                  <c:v>105.17910447761194</c:v>
                </c:pt>
                <c:pt idx="94">
                  <c:v>106.38805970149254</c:v>
                </c:pt>
                <c:pt idx="95">
                  <c:v>107.59701492537313</c:v>
                </c:pt>
                <c:pt idx="96">
                  <c:v>108.80597014925372</c:v>
                </c:pt>
                <c:pt idx="97">
                  <c:v>110.01492537313433</c:v>
                </c:pt>
                <c:pt idx="98">
                  <c:v>111.22388059701493</c:v>
                </c:pt>
                <c:pt idx="99">
                  <c:v>112.43283582089552</c:v>
                </c:pt>
                <c:pt idx="100">
                  <c:v>113.64179104477611</c:v>
                </c:pt>
              </c:numCache>
            </c:numRef>
          </c:val>
          <c:extLst>
            <c:ext xmlns:c16="http://schemas.microsoft.com/office/drawing/2014/chart" uri="{C3380CC4-5D6E-409C-BE32-E72D297353CC}">
              <c16:uniqueId val="{00000000-6E73-4C86-B338-C403FB40DD75}"/>
            </c:ext>
          </c:extLst>
        </c:ser>
        <c:ser>
          <c:idx val="1"/>
          <c:order val="1"/>
          <c:tx>
            <c:v>Continue Test</c:v>
          </c:tx>
          <c:spPr>
            <a:solidFill>
              <a:srgbClr val="FFFF00"/>
            </a:solidFill>
            <a:ln w="12700">
              <a:solidFill>
                <a:srgbClr val="000000"/>
              </a:solidFill>
              <a:prstDash val="solid"/>
            </a:ln>
          </c:spPr>
          <c:cat>
            <c:numRef>
              <c:f>'Plot Data'!$J$9:$J$109</c:f>
              <c:numCache>
                <c:formatCode>0.0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'Plot Data'!$P$9:$P$109</c:f>
              <c:numCache>
                <c:formatCode>0.000</c:formatCode>
                <c:ptCount val="101"/>
                <c:pt idx="0">
                  <c:v>26.253731343283583</c:v>
                </c:pt>
                <c:pt idx="1">
                  <c:v>26.253731343283583</c:v>
                </c:pt>
                <c:pt idx="2">
                  <c:v>26.253731343283583</c:v>
                </c:pt>
                <c:pt idx="3">
                  <c:v>26.253731343283583</c:v>
                </c:pt>
                <c:pt idx="4">
                  <c:v>26.253731343283583</c:v>
                </c:pt>
                <c:pt idx="5">
                  <c:v>26.253731343283583</c:v>
                </c:pt>
                <c:pt idx="6">
                  <c:v>26.253731343283583</c:v>
                </c:pt>
                <c:pt idx="7">
                  <c:v>26.253731343283579</c:v>
                </c:pt>
                <c:pt idx="8">
                  <c:v>26.253731343283583</c:v>
                </c:pt>
                <c:pt idx="9">
                  <c:v>26.253731343283579</c:v>
                </c:pt>
                <c:pt idx="10">
                  <c:v>26.253731343283583</c:v>
                </c:pt>
                <c:pt idx="11">
                  <c:v>26.253731343283579</c:v>
                </c:pt>
                <c:pt idx="12">
                  <c:v>26.253731343283583</c:v>
                </c:pt>
                <c:pt idx="13">
                  <c:v>26.253731343283583</c:v>
                </c:pt>
                <c:pt idx="14">
                  <c:v>26.253731343283576</c:v>
                </c:pt>
                <c:pt idx="15">
                  <c:v>26.253731343283583</c:v>
                </c:pt>
                <c:pt idx="16">
                  <c:v>26.253731343283583</c:v>
                </c:pt>
                <c:pt idx="17">
                  <c:v>26.253731343283583</c:v>
                </c:pt>
                <c:pt idx="18">
                  <c:v>26.253731343283576</c:v>
                </c:pt>
                <c:pt idx="19">
                  <c:v>26.253731343283583</c:v>
                </c:pt>
                <c:pt idx="20">
                  <c:v>26.253731343283583</c:v>
                </c:pt>
                <c:pt idx="21">
                  <c:v>26.253731343283583</c:v>
                </c:pt>
                <c:pt idx="22">
                  <c:v>26.253731343283576</c:v>
                </c:pt>
                <c:pt idx="23">
                  <c:v>26.253731343283583</c:v>
                </c:pt>
                <c:pt idx="24">
                  <c:v>26.253731343283583</c:v>
                </c:pt>
                <c:pt idx="25">
                  <c:v>26.253731343283583</c:v>
                </c:pt>
                <c:pt idx="26">
                  <c:v>26.253731343283583</c:v>
                </c:pt>
                <c:pt idx="27">
                  <c:v>26.253731343283583</c:v>
                </c:pt>
                <c:pt idx="28">
                  <c:v>26.253731343283583</c:v>
                </c:pt>
                <c:pt idx="29">
                  <c:v>26.253731343283583</c:v>
                </c:pt>
                <c:pt idx="30">
                  <c:v>26.253731343283583</c:v>
                </c:pt>
                <c:pt idx="31">
                  <c:v>26.253731343283583</c:v>
                </c:pt>
                <c:pt idx="32">
                  <c:v>26.253731343283583</c:v>
                </c:pt>
                <c:pt idx="33">
                  <c:v>26.253731343283583</c:v>
                </c:pt>
                <c:pt idx="34">
                  <c:v>26.253731343283583</c:v>
                </c:pt>
                <c:pt idx="35">
                  <c:v>26.253731343283583</c:v>
                </c:pt>
                <c:pt idx="36">
                  <c:v>26.253731343283583</c:v>
                </c:pt>
                <c:pt idx="37">
                  <c:v>26.253731343283583</c:v>
                </c:pt>
                <c:pt idx="38">
                  <c:v>26.253731343283583</c:v>
                </c:pt>
                <c:pt idx="39">
                  <c:v>26.253731343283583</c:v>
                </c:pt>
                <c:pt idx="40">
                  <c:v>26.25373134328359</c:v>
                </c:pt>
                <c:pt idx="41">
                  <c:v>26.25373134328359</c:v>
                </c:pt>
                <c:pt idx="42">
                  <c:v>26.253731343283583</c:v>
                </c:pt>
                <c:pt idx="43">
                  <c:v>26.253731343283583</c:v>
                </c:pt>
                <c:pt idx="44">
                  <c:v>26.253731343283576</c:v>
                </c:pt>
                <c:pt idx="45">
                  <c:v>26.253731343283576</c:v>
                </c:pt>
                <c:pt idx="46">
                  <c:v>26.253731343283583</c:v>
                </c:pt>
                <c:pt idx="47">
                  <c:v>26.253731343283583</c:v>
                </c:pt>
                <c:pt idx="48">
                  <c:v>26.253731343283583</c:v>
                </c:pt>
                <c:pt idx="49">
                  <c:v>26.25373134328359</c:v>
                </c:pt>
                <c:pt idx="50">
                  <c:v>26.25373134328359</c:v>
                </c:pt>
                <c:pt idx="51">
                  <c:v>26.253731343283583</c:v>
                </c:pt>
                <c:pt idx="52">
                  <c:v>26.253731343283583</c:v>
                </c:pt>
                <c:pt idx="53">
                  <c:v>26.253731343283583</c:v>
                </c:pt>
                <c:pt idx="54">
                  <c:v>26.253731343283583</c:v>
                </c:pt>
                <c:pt idx="55">
                  <c:v>26.253731343283583</c:v>
                </c:pt>
                <c:pt idx="56">
                  <c:v>26.253731343283583</c:v>
                </c:pt>
                <c:pt idx="57">
                  <c:v>26.253731343283583</c:v>
                </c:pt>
                <c:pt idx="58">
                  <c:v>26.253731343283583</c:v>
                </c:pt>
                <c:pt idx="59">
                  <c:v>26.253731343283576</c:v>
                </c:pt>
                <c:pt idx="60">
                  <c:v>26.253731343283576</c:v>
                </c:pt>
                <c:pt idx="61">
                  <c:v>26.253731343283576</c:v>
                </c:pt>
                <c:pt idx="62">
                  <c:v>26.253731343283576</c:v>
                </c:pt>
                <c:pt idx="63">
                  <c:v>26.253731343283576</c:v>
                </c:pt>
                <c:pt idx="64">
                  <c:v>26.253731343283576</c:v>
                </c:pt>
                <c:pt idx="65">
                  <c:v>26.253731343283576</c:v>
                </c:pt>
                <c:pt idx="66">
                  <c:v>26.253731343283576</c:v>
                </c:pt>
                <c:pt idx="67">
                  <c:v>26.253731343283576</c:v>
                </c:pt>
                <c:pt idx="68">
                  <c:v>26.253731343283576</c:v>
                </c:pt>
                <c:pt idx="69">
                  <c:v>26.253731343283576</c:v>
                </c:pt>
                <c:pt idx="70">
                  <c:v>26.253731343283576</c:v>
                </c:pt>
                <c:pt idx="71">
                  <c:v>26.253731343283576</c:v>
                </c:pt>
                <c:pt idx="72">
                  <c:v>26.253731343283576</c:v>
                </c:pt>
                <c:pt idx="73">
                  <c:v>26.253731343283576</c:v>
                </c:pt>
                <c:pt idx="74">
                  <c:v>26.253731343283576</c:v>
                </c:pt>
                <c:pt idx="75">
                  <c:v>26.253731343283576</c:v>
                </c:pt>
                <c:pt idx="76">
                  <c:v>26.253731343283576</c:v>
                </c:pt>
                <c:pt idx="77">
                  <c:v>26.253731343283576</c:v>
                </c:pt>
                <c:pt idx="78">
                  <c:v>26.253731343283576</c:v>
                </c:pt>
                <c:pt idx="79">
                  <c:v>26.253731343283576</c:v>
                </c:pt>
                <c:pt idx="80">
                  <c:v>26.253731343283576</c:v>
                </c:pt>
                <c:pt idx="81">
                  <c:v>26.253731343283576</c:v>
                </c:pt>
                <c:pt idx="82">
                  <c:v>26.253731343283576</c:v>
                </c:pt>
                <c:pt idx="83">
                  <c:v>26.253731343283576</c:v>
                </c:pt>
                <c:pt idx="84">
                  <c:v>26.253731343283576</c:v>
                </c:pt>
                <c:pt idx="85">
                  <c:v>26.253731343283576</c:v>
                </c:pt>
                <c:pt idx="86">
                  <c:v>26.253731343283576</c:v>
                </c:pt>
                <c:pt idx="87">
                  <c:v>26.253731343283576</c:v>
                </c:pt>
                <c:pt idx="88">
                  <c:v>26.253731343283576</c:v>
                </c:pt>
                <c:pt idx="89">
                  <c:v>26.253731343283576</c:v>
                </c:pt>
                <c:pt idx="90">
                  <c:v>26.253731343283576</c:v>
                </c:pt>
                <c:pt idx="91">
                  <c:v>26.253731343283562</c:v>
                </c:pt>
                <c:pt idx="92">
                  <c:v>26.253731343283576</c:v>
                </c:pt>
                <c:pt idx="93">
                  <c:v>26.253731343283576</c:v>
                </c:pt>
                <c:pt idx="94">
                  <c:v>26.253731343283576</c:v>
                </c:pt>
                <c:pt idx="95">
                  <c:v>26.253731343283576</c:v>
                </c:pt>
                <c:pt idx="96">
                  <c:v>26.253731343283576</c:v>
                </c:pt>
                <c:pt idx="97">
                  <c:v>26.25373134328359</c:v>
                </c:pt>
                <c:pt idx="98">
                  <c:v>26.25373134328359</c:v>
                </c:pt>
                <c:pt idx="99">
                  <c:v>26.25373134328359</c:v>
                </c:pt>
                <c:pt idx="100">
                  <c:v>26.25373134328359</c:v>
                </c:pt>
              </c:numCache>
            </c:numRef>
          </c:val>
          <c:extLst>
            <c:ext xmlns:c16="http://schemas.microsoft.com/office/drawing/2014/chart" uri="{C3380CC4-5D6E-409C-BE32-E72D297353CC}">
              <c16:uniqueId val="{00000001-6E73-4C86-B338-C403FB40DD75}"/>
            </c:ext>
          </c:extLst>
        </c:ser>
        <c:ser>
          <c:idx val="2"/>
          <c:order val="2"/>
          <c:tx>
            <c:v>Reject</c:v>
          </c:tx>
          <c:spPr>
            <a:solidFill>
              <a:srgbClr val="FF0000"/>
            </a:solidFill>
            <a:ln w="12700">
              <a:solidFill>
                <a:srgbClr val="000000"/>
              </a:solidFill>
              <a:prstDash val="solid"/>
            </a:ln>
          </c:spPr>
          <c:cat>
            <c:numRef>
              <c:f>'Plot Data'!$J$9:$J$109</c:f>
              <c:numCache>
                <c:formatCode>0.0</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'Plot Data'!$O$9:$O$109</c:f>
              <c:numCache>
                <c:formatCode>0.000</c:formatCode>
                <c:ptCount val="101"/>
                <c:pt idx="0">
                  <c:v>81</c:v>
                </c:pt>
                <c:pt idx="1">
                  <c:v>79.791044776119406</c:v>
                </c:pt>
                <c:pt idx="2">
                  <c:v>78.582089552238813</c:v>
                </c:pt>
                <c:pt idx="3">
                  <c:v>77.373134328358205</c:v>
                </c:pt>
                <c:pt idx="4">
                  <c:v>76.164179104477611</c:v>
                </c:pt>
                <c:pt idx="5">
                  <c:v>74.955223880597018</c:v>
                </c:pt>
                <c:pt idx="6">
                  <c:v>73.74626865671641</c:v>
                </c:pt>
                <c:pt idx="7">
                  <c:v>72.537313432835816</c:v>
                </c:pt>
                <c:pt idx="8">
                  <c:v>71.328358208955223</c:v>
                </c:pt>
                <c:pt idx="9">
                  <c:v>84</c:v>
                </c:pt>
                <c:pt idx="10">
                  <c:v>84</c:v>
                </c:pt>
                <c:pt idx="11">
                  <c:v>84</c:v>
                </c:pt>
                <c:pt idx="12">
                  <c:v>84</c:v>
                </c:pt>
                <c:pt idx="13">
                  <c:v>84</c:v>
                </c:pt>
                <c:pt idx="14">
                  <c:v>84</c:v>
                </c:pt>
                <c:pt idx="15">
                  <c:v>84</c:v>
                </c:pt>
                <c:pt idx="16">
                  <c:v>84</c:v>
                </c:pt>
                <c:pt idx="17">
                  <c:v>84</c:v>
                </c:pt>
                <c:pt idx="18">
                  <c:v>84</c:v>
                </c:pt>
                <c:pt idx="19">
                  <c:v>84</c:v>
                </c:pt>
                <c:pt idx="20">
                  <c:v>84</c:v>
                </c:pt>
                <c:pt idx="21">
                  <c:v>84</c:v>
                </c:pt>
                <c:pt idx="22">
                  <c:v>84</c:v>
                </c:pt>
                <c:pt idx="23">
                  <c:v>84</c:v>
                </c:pt>
                <c:pt idx="24">
                  <c:v>84</c:v>
                </c:pt>
                <c:pt idx="25">
                  <c:v>84</c:v>
                </c:pt>
                <c:pt idx="26">
                  <c:v>84</c:v>
                </c:pt>
                <c:pt idx="27">
                  <c:v>84</c:v>
                </c:pt>
                <c:pt idx="28">
                  <c:v>84</c:v>
                </c:pt>
                <c:pt idx="29">
                  <c:v>84</c:v>
                </c:pt>
                <c:pt idx="30">
                  <c:v>84</c:v>
                </c:pt>
                <c:pt idx="31">
                  <c:v>84</c:v>
                </c:pt>
                <c:pt idx="32">
                  <c:v>84</c:v>
                </c:pt>
                <c:pt idx="33">
                  <c:v>84</c:v>
                </c:pt>
                <c:pt idx="34">
                  <c:v>84</c:v>
                </c:pt>
                <c:pt idx="35">
                  <c:v>84</c:v>
                </c:pt>
                <c:pt idx="36">
                  <c:v>84</c:v>
                </c:pt>
                <c:pt idx="37">
                  <c:v>84</c:v>
                </c:pt>
                <c:pt idx="38">
                  <c:v>84</c:v>
                </c:pt>
                <c:pt idx="39">
                  <c:v>84</c:v>
                </c:pt>
                <c:pt idx="40">
                  <c:v>84</c:v>
                </c:pt>
                <c:pt idx="41">
                  <c:v>84</c:v>
                </c:pt>
                <c:pt idx="42">
                  <c:v>84</c:v>
                </c:pt>
                <c:pt idx="43">
                  <c:v>84</c:v>
                </c:pt>
                <c:pt idx="44">
                  <c:v>84</c:v>
                </c:pt>
                <c:pt idx="45">
                  <c:v>84</c:v>
                </c:pt>
                <c:pt idx="46">
                  <c:v>84</c:v>
                </c:pt>
                <c:pt idx="47">
                  <c:v>84</c:v>
                </c:pt>
                <c:pt idx="48">
                  <c:v>84</c:v>
                </c:pt>
                <c:pt idx="49">
                  <c:v>84</c:v>
                </c:pt>
                <c:pt idx="50">
                  <c:v>84</c:v>
                </c:pt>
                <c:pt idx="51">
                  <c:v>84</c:v>
                </c:pt>
                <c:pt idx="52">
                  <c:v>84</c:v>
                </c:pt>
                <c:pt idx="53">
                  <c:v>84</c:v>
                </c:pt>
                <c:pt idx="54">
                  <c:v>84</c:v>
                </c:pt>
                <c:pt idx="55">
                  <c:v>84</c:v>
                </c:pt>
                <c:pt idx="56">
                  <c:v>84</c:v>
                </c:pt>
                <c:pt idx="57">
                  <c:v>84</c:v>
                </c:pt>
                <c:pt idx="58">
                  <c:v>84</c:v>
                </c:pt>
                <c:pt idx="59">
                  <c:v>84</c:v>
                </c:pt>
                <c:pt idx="60">
                  <c:v>84</c:v>
                </c:pt>
                <c:pt idx="61">
                  <c:v>84</c:v>
                </c:pt>
                <c:pt idx="62">
                  <c:v>84</c:v>
                </c:pt>
                <c:pt idx="63">
                  <c:v>84</c:v>
                </c:pt>
                <c:pt idx="64">
                  <c:v>84</c:v>
                </c:pt>
                <c:pt idx="65">
                  <c:v>84</c:v>
                </c:pt>
                <c:pt idx="66">
                  <c:v>84</c:v>
                </c:pt>
                <c:pt idx="67">
                  <c:v>84</c:v>
                </c:pt>
                <c:pt idx="68">
                  <c:v>84</c:v>
                </c:pt>
                <c:pt idx="69">
                  <c:v>84</c:v>
                </c:pt>
                <c:pt idx="70">
                  <c:v>84</c:v>
                </c:pt>
                <c:pt idx="71">
                  <c:v>84</c:v>
                </c:pt>
                <c:pt idx="72">
                  <c:v>84</c:v>
                </c:pt>
                <c:pt idx="73">
                  <c:v>84</c:v>
                </c:pt>
                <c:pt idx="74">
                  <c:v>84</c:v>
                </c:pt>
                <c:pt idx="75">
                  <c:v>84</c:v>
                </c:pt>
                <c:pt idx="76">
                  <c:v>84</c:v>
                </c:pt>
                <c:pt idx="77">
                  <c:v>84</c:v>
                </c:pt>
                <c:pt idx="78">
                  <c:v>84</c:v>
                </c:pt>
                <c:pt idx="79">
                  <c:v>84</c:v>
                </c:pt>
                <c:pt idx="80">
                  <c:v>84</c:v>
                </c:pt>
                <c:pt idx="81">
                  <c:v>84</c:v>
                </c:pt>
                <c:pt idx="82">
                  <c:v>84</c:v>
                </c:pt>
                <c:pt idx="83">
                  <c:v>84</c:v>
                </c:pt>
                <c:pt idx="84">
                  <c:v>84</c:v>
                </c:pt>
                <c:pt idx="85">
                  <c:v>84</c:v>
                </c:pt>
                <c:pt idx="86">
                  <c:v>84</c:v>
                </c:pt>
                <c:pt idx="87">
                  <c:v>84</c:v>
                </c:pt>
                <c:pt idx="88">
                  <c:v>84</c:v>
                </c:pt>
                <c:pt idx="89">
                  <c:v>84</c:v>
                </c:pt>
                <c:pt idx="90">
                  <c:v>84</c:v>
                </c:pt>
                <c:pt idx="91">
                  <c:v>84</c:v>
                </c:pt>
                <c:pt idx="92">
                  <c:v>84</c:v>
                </c:pt>
                <c:pt idx="93">
                  <c:v>84</c:v>
                </c:pt>
                <c:pt idx="94">
                  <c:v>84</c:v>
                </c:pt>
                <c:pt idx="95">
                  <c:v>84</c:v>
                </c:pt>
                <c:pt idx="96">
                  <c:v>84</c:v>
                </c:pt>
                <c:pt idx="97">
                  <c:v>84</c:v>
                </c:pt>
                <c:pt idx="98">
                  <c:v>84</c:v>
                </c:pt>
                <c:pt idx="99">
                  <c:v>84</c:v>
                </c:pt>
                <c:pt idx="100">
                  <c:v>84</c:v>
                </c:pt>
              </c:numCache>
            </c:numRef>
          </c:val>
          <c:extLst>
            <c:ext xmlns:c16="http://schemas.microsoft.com/office/drawing/2014/chart" uri="{C3380CC4-5D6E-409C-BE32-E72D297353CC}">
              <c16:uniqueId val="{00000002-6E73-4C86-B338-C403FB40DD75}"/>
            </c:ext>
          </c:extLst>
        </c:ser>
        <c:dLbls>
          <c:showLegendKey val="0"/>
          <c:showVal val="0"/>
          <c:showCatName val="0"/>
          <c:showSerName val="0"/>
          <c:showPercent val="0"/>
          <c:showBubbleSize val="0"/>
        </c:dLbls>
        <c:axId val="808328112"/>
        <c:axId val="1"/>
      </c:areaChart>
      <c:scatterChart>
        <c:scatterStyle val="lineMarker"/>
        <c:varyColors val="0"/>
        <c:ser>
          <c:idx val="3"/>
          <c:order val="3"/>
          <c:tx>
            <c:v>Observed Failures</c:v>
          </c:tx>
          <c:spPr>
            <a:ln w="38100">
              <a:solidFill>
                <a:srgbClr val="000000"/>
              </a:solidFill>
              <a:prstDash val="solid"/>
            </a:ln>
          </c:spPr>
          <c:marker>
            <c:symbol val="diamond"/>
            <c:size val="9"/>
            <c:spPr>
              <a:solidFill>
                <a:srgbClr val="000000"/>
              </a:solidFill>
              <a:ln>
                <a:solidFill>
                  <a:srgbClr val="000000"/>
                </a:solidFill>
                <a:prstDash val="solid"/>
              </a:ln>
            </c:spPr>
          </c:marker>
          <c:xVal>
            <c:numRef>
              <c:f>'Failure Data'!$G$12:$G$43</c:f>
              <c:numCache>
                <c:formatCode>0.00</c:formatCode>
                <c:ptCount val="32"/>
                <c:pt idx="0">
                  <c:v>0</c:v>
                </c:pt>
                <c:pt idx="1">
                  <c:v>9.2307692307692313E-2</c:v>
                </c:pt>
                <c:pt idx="2">
                  <c:v>1.9384615384615385</c:v>
                </c:pt>
                <c:pt idx="3">
                  <c:v>2.2892307692307692</c:v>
                </c:pt>
                <c:pt idx="4">
                  <c:v>3.046153846153846</c:v>
                </c:pt>
                <c:pt idx="5">
                  <c:v>3.6369230769230767</c:v>
                </c:pt>
                <c:pt idx="6">
                  <c:v>4.7630769230769232</c:v>
                </c:pt>
                <c:pt idx="7">
                  <c:v>5.3538461538461535</c:v>
                </c:pt>
                <c:pt idx="8">
                  <c:v>8.7323076923076925</c:v>
                </c:pt>
                <c:pt idx="9">
                  <c:v>14.28923076923077</c:v>
                </c:pt>
                <c:pt idx="10">
                  <c:v>17.593846153846155</c:v>
                </c:pt>
                <c:pt idx="11">
                  <c:v>23.446153846153845</c:v>
                </c:pt>
                <c:pt idx="12">
                  <c:v>29.723076923076924</c:v>
                </c:pt>
                <c:pt idx="13">
                  <c:v>37.476923076923079</c:v>
                </c:pt>
                <c:pt idx="14">
                  <c:v>39.692307692307693</c:v>
                </c:pt>
                <c:pt idx="15">
                  <c:v>39.790338461538461</c:v>
                </c:pt>
                <c:pt idx="16">
                  <c:v>39.904615384615383</c:v>
                </c:pt>
                <c:pt idx="17">
                  <c:v>40.196307692307691</c:v>
                </c:pt>
                <c:pt idx="18">
                  <c:v>40.345846153846161</c:v>
                </c:pt>
                <c:pt idx="19">
                  <c:v>42.276923076923083</c:v>
                </c:pt>
                <c:pt idx="20">
                  <c:v>45.507692307692317</c:v>
                </c:pt>
                <c:pt idx="21">
                  <c:v>50.972307692307702</c:v>
                </c:pt>
                <c:pt idx="22">
                  <c:v>60.147692307692317</c:v>
                </c:pt>
                <c:pt idx="23">
                  <c:v>60.923076923076934</c:v>
                </c:pt>
                <c:pt idx="24">
                  <c:v>69.599999999999994</c:v>
                </c:pt>
                <c:pt idx="25">
                  <c:v>71.261538461538464</c:v>
                </c:pt>
                <c:pt idx="26">
                  <c:v>74.030769230769238</c:v>
                </c:pt>
                <c:pt idx="27">
                  <c:v>77.723076923076917</c:v>
                </c:pt>
                <c:pt idx="28">
                  <c:v>79.938461538461539</c:v>
                </c:pt>
                <c:pt idx="29">
                  <c:v>82.15384615384616</c:v>
                </c:pt>
                <c:pt idx="30">
                  <c:v>86.215384615384622</c:v>
                </c:pt>
                <c:pt idx="31">
                  <c:v>100.24615384615385</c:v>
                </c:pt>
              </c:numCache>
            </c:numRef>
          </c:xVal>
          <c:yVal>
            <c:numRef>
              <c:f>'Failure Data'!$E$12:$E$43</c:f>
              <c:numCache>
                <c:formatCode>General</c:formatCode>
                <c:ptCount val="32"/>
                <c:pt idx="0">
                  <c:v>0</c:v>
                </c:pt>
                <c:pt idx="1">
                  <c:v>2</c:v>
                </c:pt>
                <c:pt idx="2">
                  <c:v>13</c:v>
                </c:pt>
                <c:pt idx="3">
                  <c:v>15</c:v>
                </c:pt>
                <c:pt idx="4">
                  <c:v>19</c:v>
                </c:pt>
                <c:pt idx="5">
                  <c:v>22</c:v>
                </c:pt>
                <c:pt idx="6">
                  <c:v>23</c:v>
                </c:pt>
                <c:pt idx="7">
                  <c:v>24</c:v>
                </c:pt>
                <c:pt idx="8">
                  <c:v>26</c:v>
                </c:pt>
                <c:pt idx="9">
                  <c:v>30</c:v>
                </c:pt>
                <c:pt idx="10">
                  <c:v>30</c:v>
                </c:pt>
                <c:pt idx="11">
                  <c:v>34</c:v>
                </c:pt>
                <c:pt idx="12">
                  <c:v>35</c:v>
                </c:pt>
                <c:pt idx="13">
                  <c:v>38</c:v>
                </c:pt>
                <c:pt idx="14">
                  <c:v>38</c:v>
                </c:pt>
                <c:pt idx="15">
                  <c:v>39</c:v>
                </c:pt>
                <c:pt idx="16">
                  <c:v>40</c:v>
                </c:pt>
                <c:pt idx="17">
                  <c:v>42</c:v>
                </c:pt>
                <c:pt idx="18">
                  <c:v>43</c:v>
                </c:pt>
                <c:pt idx="19">
                  <c:v>51</c:v>
                </c:pt>
                <c:pt idx="20">
                  <c:v>60</c:v>
                </c:pt>
                <c:pt idx="21">
                  <c:v>66</c:v>
                </c:pt>
                <c:pt idx="22">
                  <c:v>73</c:v>
                </c:pt>
                <c:pt idx="23">
                  <c:v>77</c:v>
                </c:pt>
                <c:pt idx="24">
                  <c:v>80</c:v>
                </c:pt>
                <c:pt idx="25">
                  <c:v>80</c:v>
                </c:pt>
                <c:pt idx="26">
                  <c:v>84</c:v>
                </c:pt>
                <c:pt idx="27">
                  <c:v>85</c:v>
                </c:pt>
                <c:pt idx="28">
                  <c:v>85</c:v>
                </c:pt>
                <c:pt idx="29">
                  <c:v>87</c:v>
                </c:pt>
                <c:pt idx="30">
                  <c:v>89</c:v>
                </c:pt>
                <c:pt idx="31">
                  <c:v>92</c:v>
                </c:pt>
              </c:numCache>
            </c:numRef>
          </c:yVal>
          <c:smooth val="0"/>
          <c:extLst>
            <c:ext xmlns:c16="http://schemas.microsoft.com/office/drawing/2014/chart" uri="{C3380CC4-5D6E-409C-BE32-E72D297353CC}">
              <c16:uniqueId val="{00000003-6E73-4C86-B338-C403FB40DD75}"/>
            </c:ext>
          </c:extLst>
        </c:ser>
        <c:dLbls>
          <c:showLegendKey val="0"/>
          <c:showVal val="0"/>
          <c:showCatName val="0"/>
          <c:showSerName val="0"/>
          <c:showPercent val="0"/>
          <c:showBubbleSize val="0"/>
        </c:dLbls>
        <c:axId val="808328112"/>
        <c:axId val="1"/>
      </c:scatterChart>
      <c:catAx>
        <c:axId val="808328112"/>
        <c:scaling>
          <c:orientation val="minMax"/>
        </c:scaling>
        <c:delete val="0"/>
        <c:axPos val="b"/>
        <c:title>
          <c:tx>
            <c:rich>
              <a:bodyPr/>
              <a:lstStyle/>
              <a:p>
                <a:pPr>
                  <a:defRPr sz="825" b="1" i="0" u="none" strike="noStrike" baseline="0">
                    <a:solidFill>
                      <a:srgbClr val="000000"/>
                    </a:solidFill>
                    <a:latin typeface="Arial"/>
                    <a:ea typeface="Arial"/>
                    <a:cs typeface="Arial"/>
                  </a:defRPr>
                </a:pPr>
                <a:r>
                  <a:rPr lang="en-CA"/>
                  <a:t>Number of input events in normalized Usage Units</a:t>
                </a:r>
              </a:p>
            </c:rich>
          </c:tx>
          <c:layout>
            <c:manualLayout>
              <c:xMode val="edge"/>
              <c:yMode val="edge"/>
              <c:x val="0.34028680008748907"/>
              <c:y val="0.90701125456278897"/>
            </c:manualLayout>
          </c:layout>
          <c:overlay val="0"/>
          <c:spPr>
            <a:noFill/>
            <a:ln w="25400">
              <a:noFill/>
            </a:ln>
          </c:spPr>
        </c:title>
        <c:numFmt formatCode="0.0" sourceLinked="0"/>
        <c:majorTickMark val="out"/>
        <c:minorTickMark val="out"/>
        <c:tickLblPos val="nextTo"/>
        <c:spPr>
          <a:ln w="3175">
            <a:solidFill>
              <a:srgbClr val="000000"/>
            </a:solidFill>
            <a:prstDash val="solid"/>
          </a:ln>
        </c:spPr>
        <c:txPr>
          <a:bodyPr rot="0" vert="horz"/>
          <a:lstStyle/>
          <a:p>
            <a:pPr>
              <a:defRPr sz="825" b="0" i="0" u="none" strike="noStrike" baseline="0">
                <a:solidFill>
                  <a:srgbClr val="000000"/>
                </a:solidFill>
                <a:latin typeface="Arial Black"/>
                <a:ea typeface="Arial Black"/>
                <a:cs typeface="Arial Black"/>
              </a:defRPr>
            </a:pPr>
            <a:endParaRPr lang="en-US"/>
          </a:p>
        </c:txPr>
        <c:crossAx val="1"/>
        <c:crossesAt val="-1"/>
        <c:auto val="0"/>
        <c:lblAlgn val="ctr"/>
        <c:lblOffset val="100"/>
        <c:tickLblSkip val="10"/>
        <c:tickMarkSkip val="10"/>
        <c:noMultiLvlLbl val="0"/>
      </c:catAx>
      <c:valAx>
        <c:axId val="1"/>
        <c:scaling>
          <c:orientation val="minMax"/>
          <c:max val="100"/>
          <c:min val="-1"/>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en-CA"/>
                  <a:t>Failure Number</a:t>
                </a:r>
              </a:p>
            </c:rich>
          </c:tx>
          <c:layout>
            <c:manualLayout>
              <c:xMode val="edge"/>
              <c:yMode val="edge"/>
              <c:x val="2.0860536964129484E-2"/>
              <c:y val="0.42632390198692605"/>
            </c:manualLayout>
          </c:layout>
          <c:overlay val="0"/>
          <c:spPr>
            <a:noFill/>
            <a:ln w="25400">
              <a:noFill/>
            </a:ln>
          </c:spPr>
        </c:title>
        <c:numFmt formatCode="0" sourceLinked="0"/>
        <c:majorTickMark val="out"/>
        <c:minorTickMark val="out"/>
        <c:tickLblPos val="nextTo"/>
        <c:spPr>
          <a:ln w="3175">
            <a:solidFill>
              <a:srgbClr val="000000"/>
            </a:solidFill>
            <a:prstDash val="solid"/>
          </a:ln>
        </c:spPr>
        <c:txPr>
          <a:bodyPr rot="0" vert="horz"/>
          <a:lstStyle/>
          <a:p>
            <a:pPr>
              <a:defRPr sz="825" b="0" i="0" u="none" strike="noStrike" baseline="0">
                <a:solidFill>
                  <a:srgbClr val="000000"/>
                </a:solidFill>
                <a:latin typeface="Arial Black"/>
                <a:ea typeface="Arial Black"/>
                <a:cs typeface="Arial Black"/>
              </a:defRPr>
            </a:pPr>
            <a:endParaRPr lang="en-US"/>
          </a:p>
        </c:txPr>
        <c:crossAx val="808328112"/>
        <c:crosses val="autoZero"/>
        <c:crossBetween val="midCat"/>
        <c:minorUnit val="1"/>
      </c:valAx>
      <c:spPr>
        <a:solidFill>
          <a:srgbClr val="C0C0C0"/>
        </a:solidFill>
        <a:ln w="12700">
          <a:solidFill>
            <a:srgbClr val="808080"/>
          </a:solidFill>
          <a:prstDash val="solid"/>
        </a:ln>
      </c:spPr>
    </c:plotArea>
    <c:legend>
      <c:legendPos val="b"/>
      <c:layout>
        <c:manualLayout>
          <c:xMode val="edge"/>
          <c:yMode val="edge"/>
          <c:x val="0.22926038792840153"/>
          <c:y val="0.95467542602155064"/>
          <c:w val="0.58300605436996233"/>
          <c:h val="3.2080634246378865E-2"/>
        </c:manualLayout>
      </c:layout>
      <c:overlay val="0"/>
      <c:spPr>
        <a:solidFill>
          <a:srgbClr val="FFFFFF"/>
        </a:solidFill>
        <a:ln w="12700">
          <a:solidFill>
            <a:srgbClr val="000000"/>
          </a:solidFill>
          <a:prstDash val="solid"/>
        </a:ln>
      </c:spPr>
      <c:txPr>
        <a:bodyPr/>
        <a:lstStyle/>
        <a:p>
          <a:pPr>
            <a:defRPr sz="755" b="0" i="0" u="none" strike="noStrike" baseline="0">
              <a:solidFill>
                <a:srgbClr val="000000"/>
              </a:solidFill>
              <a:latin typeface="Arial Black"/>
              <a:ea typeface="Arial Black"/>
              <a:cs typeface="Arial Black"/>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17</xdr:col>
      <xdr:colOff>236220</xdr:colOff>
      <xdr:row>0</xdr:row>
      <xdr:rowOff>76200</xdr:rowOff>
    </xdr:from>
    <xdr:to>
      <xdr:col>29</xdr:col>
      <xdr:colOff>350520</xdr:colOff>
      <xdr:row>48</xdr:row>
      <xdr:rowOff>38100</xdr:rowOff>
    </xdr:to>
    <xdr:graphicFrame macro="">
      <xdr:nvGraphicFramePr>
        <xdr:cNvPr id="7210" name="Chart 10">
          <a:extLst>
            <a:ext uri="{FF2B5EF4-FFF2-40B4-BE49-F238E27FC236}">
              <a16:creationId xmlns:a16="http://schemas.microsoft.com/office/drawing/2014/main" id="{702A22D2-8623-47E2-BC1B-343B46007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13</xdr:col>
      <xdr:colOff>99060</xdr:colOff>
      <xdr:row>47</xdr:row>
      <xdr:rowOff>15240</xdr:rowOff>
    </xdr:to>
    <xdr:graphicFrame macro="">
      <xdr:nvGraphicFramePr>
        <xdr:cNvPr id="4114" name="Chart 2">
          <a:extLst>
            <a:ext uri="{FF2B5EF4-FFF2-40B4-BE49-F238E27FC236}">
              <a16:creationId xmlns:a16="http://schemas.microsoft.com/office/drawing/2014/main" id="{C43C28BC-16F7-4E17-955A-F9F75EE34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uthorhouse.com/Bookstore/ItemDetail.aspx?bookid=26806"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ourceforge.net/projects/rdc/" TargetMode="External"/><Relationship Id="rId1" Type="http://schemas.openxmlformats.org/officeDocument/2006/relationships/hyperlink" Target="http://www.gnu.org/licenses/gp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5"/>
  </sheetPr>
  <dimension ref="A1:C61"/>
  <sheetViews>
    <sheetView workbookViewId="0"/>
  </sheetViews>
  <sheetFormatPr defaultColWidth="9.109375" defaultRowHeight="13.2" x14ac:dyDescent="0.25"/>
  <cols>
    <col min="1" max="1" width="6" style="20" customWidth="1"/>
    <col min="2" max="2" width="12.109375" style="18" customWidth="1"/>
    <col min="3" max="3" width="81.33203125" style="18" customWidth="1"/>
    <col min="4" max="16384" width="9.109375" style="18"/>
  </cols>
  <sheetData>
    <row r="1" spans="1:3" x14ac:dyDescent="0.25">
      <c r="A1" s="21" t="s">
        <v>45</v>
      </c>
    </row>
    <row r="2" spans="1:3" ht="26.25" customHeight="1" x14ac:dyDescent="0.25">
      <c r="B2" s="66" t="s">
        <v>71</v>
      </c>
      <c r="C2" s="67"/>
    </row>
    <row r="3" spans="1:3" x14ac:dyDescent="0.25">
      <c r="B3" s="13"/>
    </row>
    <row r="4" spans="1:3" ht="27" customHeight="1" x14ac:dyDescent="0.25">
      <c r="B4" s="66" t="s">
        <v>63</v>
      </c>
      <c r="C4" s="67"/>
    </row>
    <row r="5" spans="1:3" x14ac:dyDescent="0.25">
      <c r="B5" s="19" t="s">
        <v>31</v>
      </c>
      <c r="C5" s="20"/>
    </row>
    <row r="6" spans="1:3" x14ac:dyDescent="0.25">
      <c r="C6" s="14"/>
    </row>
    <row r="7" spans="1:3" x14ac:dyDescent="0.25">
      <c r="A7" s="21" t="s">
        <v>55</v>
      </c>
      <c r="C7" s="14"/>
    </row>
    <row r="8" spans="1:3" x14ac:dyDescent="0.25">
      <c r="B8" s="66" t="s">
        <v>72</v>
      </c>
      <c r="C8" s="67"/>
    </row>
    <row r="9" spans="1:3" x14ac:dyDescent="0.25">
      <c r="B9" s="28" t="s">
        <v>56</v>
      </c>
      <c r="C9" s="27" t="s">
        <v>101</v>
      </c>
    </row>
    <row r="10" spans="1:3" x14ac:dyDescent="0.25">
      <c r="B10" s="29" t="s">
        <v>57</v>
      </c>
      <c r="C10" s="27" t="s">
        <v>100</v>
      </c>
    </row>
    <row r="11" spans="1:3" ht="26.4" x14ac:dyDescent="0.25">
      <c r="B11" s="52" t="s">
        <v>99</v>
      </c>
      <c r="C11" s="27" t="s">
        <v>102</v>
      </c>
    </row>
    <row r="12" spans="1:3" x14ac:dyDescent="0.25">
      <c r="B12" s="30" t="s">
        <v>59</v>
      </c>
      <c r="C12" s="27" t="s">
        <v>60</v>
      </c>
    </row>
    <row r="13" spans="1:3" ht="26.4" x14ac:dyDescent="0.25">
      <c r="B13" s="31" t="s">
        <v>58</v>
      </c>
      <c r="C13" s="27" t="s">
        <v>103</v>
      </c>
    </row>
    <row r="14" spans="1:3" x14ac:dyDescent="0.25">
      <c r="B14" s="32"/>
      <c r="C14" s="27"/>
    </row>
    <row r="15" spans="1:3" x14ac:dyDescent="0.25">
      <c r="B15" s="25"/>
      <c r="C15" s="24"/>
    </row>
    <row r="16" spans="1:3" x14ac:dyDescent="0.25">
      <c r="A16" s="21" t="s">
        <v>46</v>
      </c>
      <c r="C16" s="14"/>
    </row>
    <row r="17" spans="1:3" x14ac:dyDescent="0.25">
      <c r="A17" s="21"/>
      <c r="B17" s="68" t="s">
        <v>113</v>
      </c>
      <c r="C17" s="67"/>
    </row>
    <row r="18" spans="1:3" x14ac:dyDescent="0.25">
      <c r="A18" s="21"/>
      <c r="C18" s="14"/>
    </row>
    <row r="19" spans="1:3" x14ac:dyDescent="0.25">
      <c r="A19" s="21"/>
      <c r="C19" s="14"/>
    </row>
    <row r="20" spans="1:3" x14ac:dyDescent="0.25">
      <c r="A20" s="26">
        <v>1</v>
      </c>
      <c r="B20" s="26" t="s">
        <v>96</v>
      </c>
      <c r="C20" s="20"/>
    </row>
    <row r="21" spans="1:3" x14ac:dyDescent="0.25">
      <c r="A21" s="21"/>
      <c r="C21" s="18" t="s">
        <v>104</v>
      </c>
    </row>
    <row r="22" spans="1:3" x14ac:dyDescent="0.25">
      <c r="A22" s="21"/>
      <c r="C22" s="14"/>
    </row>
    <row r="23" spans="1:3" x14ac:dyDescent="0.25">
      <c r="A23" s="26">
        <v>2</v>
      </c>
      <c r="B23" s="26" t="s">
        <v>80</v>
      </c>
      <c r="C23" s="20"/>
    </row>
    <row r="24" spans="1:3" ht="26.4" x14ac:dyDescent="0.25">
      <c r="C24" s="18" t="s">
        <v>118</v>
      </c>
    </row>
    <row r="25" spans="1:3" ht="52.8" x14ac:dyDescent="0.25">
      <c r="C25" s="18" t="s">
        <v>86</v>
      </c>
    </row>
    <row r="26" spans="1:3" ht="39.6" x14ac:dyDescent="0.25">
      <c r="C26" s="18" t="s">
        <v>119</v>
      </c>
    </row>
    <row r="27" spans="1:3" ht="26.4" x14ac:dyDescent="0.25">
      <c r="C27" s="18" t="s">
        <v>120</v>
      </c>
    </row>
    <row r="28" spans="1:3" ht="26.4" x14ac:dyDescent="0.25">
      <c r="C28" s="18" t="s">
        <v>121</v>
      </c>
    </row>
    <row r="30" spans="1:3" x14ac:dyDescent="0.25">
      <c r="A30" s="26">
        <v>3</v>
      </c>
      <c r="B30" s="26" t="s">
        <v>67</v>
      </c>
      <c r="C30" s="26"/>
    </row>
    <row r="31" spans="1:3" ht="43.5" customHeight="1" x14ac:dyDescent="0.25">
      <c r="C31" s="18" t="s">
        <v>83</v>
      </c>
    </row>
    <row r="32" spans="1:3" x14ac:dyDescent="0.25">
      <c r="C32" s="18" t="s">
        <v>70</v>
      </c>
    </row>
    <row r="33" spans="1:3" ht="26.4" x14ac:dyDescent="0.25">
      <c r="C33" s="18" t="s">
        <v>81</v>
      </c>
    </row>
    <row r="35" spans="1:3" x14ac:dyDescent="0.25">
      <c r="A35" s="26">
        <v>4</v>
      </c>
      <c r="B35" s="26" t="s">
        <v>68</v>
      </c>
      <c r="C35" s="26"/>
    </row>
    <row r="36" spans="1:3" ht="26.4" x14ac:dyDescent="0.25">
      <c r="C36" s="18" t="s">
        <v>73</v>
      </c>
    </row>
    <row r="38" spans="1:3" ht="26.4" x14ac:dyDescent="0.25">
      <c r="C38" s="18" t="s">
        <v>97</v>
      </c>
    </row>
    <row r="40" spans="1:3" ht="26.4" x14ac:dyDescent="0.25">
      <c r="C40" s="18" t="s">
        <v>111</v>
      </c>
    </row>
    <row r="41" spans="1:3" x14ac:dyDescent="0.25">
      <c r="C41" s="18" t="s">
        <v>106</v>
      </c>
    </row>
    <row r="42" spans="1:3" x14ac:dyDescent="0.25">
      <c r="C42" s="18" t="s">
        <v>107</v>
      </c>
    </row>
    <row r="43" spans="1:3" x14ac:dyDescent="0.25">
      <c r="C43" s="18" t="s">
        <v>108</v>
      </c>
    </row>
    <row r="44" spans="1:3" x14ac:dyDescent="0.25">
      <c r="C44" s="18" t="s">
        <v>109</v>
      </c>
    </row>
    <row r="45" spans="1:3" ht="26.4" x14ac:dyDescent="0.25">
      <c r="C45" s="18" t="s">
        <v>112</v>
      </c>
    </row>
    <row r="46" spans="1:3" x14ac:dyDescent="0.25">
      <c r="C46" s="18" t="s">
        <v>110</v>
      </c>
    </row>
    <row r="48" spans="1:3" ht="26.4" x14ac:dyDescent="0.25">
      <c r="C48" s="18" t="s">
        <v>122</v>
      </c>
    </row>
    <row r="49" spans="1:3" ht="26.4" x14ac:dyDescent="0.25">
      <c r="C49" s="18" t="s">
        <v>123</v>
      </c>
    </row>
    <row r="52" spans="1:3" x14ac:dyDescent="0.25">
      <c r="A52" s="26">
        <v>5</v>
      </c>
      <c r="B52" s="26" t="s">
        <v>74</v>
      </c>
    </row>
    <row r="53" spans="1:3" ht="26.4" x14ac:dyDescent="0.25">
      <c r="C53" s="18" t="s">
        <v>75</v>
      </c>
    </row>
    <row r="54" spans="1:3" ht="26.4" x14ac:dyDescent="0.25">
      <c r="C54" s="18" t="s">
        <v>76</v>
      </c>
    </row>
    <row r="55" spans="1:3" ht="26.4" x14ac:dyDescent="0.25">
      <c r="C55" s="18" t="s">
        <v>77</v>
      </c>
    </row>
    <row r="56" spans="1:3" ht="13.5" customHeight="1" x14ac:dyDescent="0.25">
      <c r="C56" s="18" t="s">
        <v>82</v>
      </c>
    </row>
    <row r="58" spans="1:3" x14ac:dyDescent="0.25">
      <c r="A58" s="21" t="s">
        <v>87</v>
      </c>
    </row>
    <row r="59" spans="1:3" ht="39.6" x14ac:dyDescent="0.25">
      <c r="C59" s="18" t="s">
        <v>88</v>
      </c>
    </row>
    <row r="61" spans="1:3" ht="26.4" x14ac:dyDescent="0.25">
      <c r="C61" s="18" t="s">
        <v>114</v>
      </c>
    </row>
  </sheetData>
  <sheetProtection sheet="1" objects="1" scenarios="1" selectLockedCells="1" selectUnlockedCells="1"/>
  <mergeCells count="4">
    <mergeCell ref="B2:C2"/>
    <mergeCell ref="B4:C4"/>
    <mergeCell ref="B8:C8"/>
    <mergeCell ref="B17:C17"/>
  </mergeCells>
  <phoneticPr fontId="4" type="noConversion"/>
  <hyperlinks>
    <hyperlink ref="B5"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3"/>
  </sheetPr>
  <dimension ref="B2:C4"/>
  <sheetViews>
    <sheetView workbookViewId="0">
      <selection activeCell="C2" sqref="C2"/>
    </sheetView>
  </sheetViews>
  <sheetFormatPr defaultColWidth="27.6640625" defaultRowHeight="13.2" x14ac:dyDescent="0.25"/>
  <cols>
    <col min="1" max="1" width="3.33203125" customWidth="1"/>
    <col min="2" max="2" width="16.109375" customWidth="1"/>
    <col min="3" max="3" width="70.6640625" customWidth="1"/>
  </cols>
  <sheetData>
    <row r="2" spans="2:3" x14ac:dyDescent="0.25">
      <c r="B2" s="6" t="s">
        <v>90</v>
      </c>
      <c r="C2" s="53" t="s">
        <v>94</v>
      </c>
    </row>
    <row r="3" spans="2:3" x14ac:dyDescent="0.25">
      <c r="B3" s="6" t="s">
        <v>92</v>
      </c>
      <c r="C3" s="53" t="s">
        <v>95</v>
      </c>
    </row>
    <row r="4" spans="2:3" x14ac:dyDescent="0.25">
      <c r="B4" s="6" t="s">
        <v>93</v>
      </c>
      <c r="C4" s="53">
        <v>4.3</v>
      </c>
    </row>
  </sheetData>
  <sheetProtection sheet="1" objects="1" scenarios="1" selectLockedCells="1"/>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1"/>
  </sheetPr>
  <dimension ref="A1:Q15"/>
  <sheetViews>
    <sheetView workbookViewId="0">
      <selection activeCell="C5" sqref="C5"/>
    </sheetView>
  </sheetViews>
  <sheetFormatPr defaultRowHeight="13.2" x14ac:dyDescent="0.25"/>
  <cols>
    <col min="1" max="1" width="5.33203125" customWidth="1"/>
    <col min="2" max="2" width="21.33203125" customWidth="1"/>
    <col min="3" max="3" width="7.6640625" customWidth="1"/>
    <col min="4" max="4" width="7.33203125" customWidth="1"/>
    <col min="5" max="6" width="6.109375" bestFit="1" customWidth="1"/>
    <col min="7" max="7" width="6.5546875" bestFit="1" customWidth="1"/>
    <col min="8" max="13" width="6.109375" bestFit="1" customWidth="1"/>
    <col min="14" max="14" width="3.5546875" customWidth="1"/>
  </cols>
  <sheetData>
    <row r="1" spans="1:17" ht="13.8" thickBot="1" x14ac:dyDescent="0.3">
      <c r="E1" s="69" t="s">
        <v>42</v>
      </c>
      <c r="F1" s="69"/>
      <c r="G1" s="69"/>
      <c r="H1" s="69"/>
      <c r="I1" s="69"/>
      <c r="J1" s="69"/>
      <c r="K1" s="69"/>
      <c r="L1" s="69"/>
      <c r="M1" s="69"/>
      <c r="O1" s="69" t="s">
        <v>41</v>
      </c>
      <c r="P1" s="69"/>
      <c r="Q1" s="69"/>
    </row>
    <row r="2" spans="1:17" x14ac:dyDescent="0.25">
      <c r="E2" s="11" t="str">
        <f>ROMAN(1,0)</f>
        <v>I</v>
      </c>
      <c r="F2" s="11" t="str">
        <f>ROMAN(2,0)</f>
        <v>II</v>
      </c>
      <c r="G2" s="11" t="str">
        <f>ROMAN(3,0)</f>
        <v>III</v>
      </c>
      <c r="H2" s="11" t="str">
        <f>ROMAN(4,0)</f>
        <v>IV</v>
      </c>
      <c r="I2" s="11" t="str">
        <f>ROMAN(5,0)</f>
        <v>V</v>
      </c>
      <c r="J2" s="11" t="str">
        <f>ROMAN(6,0)</f>
        <v>VI</v>
      </c>
      <c r="K2" s="11" t="str">
        <f>ROMAN(7,0)</f>
        <v>VII</v>
      </c>
      <c r="L2" s="11" t="str">
        <f>ROMAN(8,0)</f>
        <v>VIII</v>
      </c>
      <c r="M2" s="11" t="str">
        <f>ROMAN(9,0)</f>
        <v>IX</v>
      </c>
      <c r="N2" s="11"/>
      <c r="O2" s="11" t="str">
        <f>ROMAN(10,0)</f>
        <v>X</v>
      </c>
      <c r="P2" s="11" t="str">
        <f>ROMAN(11,0)</f>
        <v>XI</v>
      </c>
      <c r="Q2" s="11" t="str">
        <f>ROMAN(12,0)</f>
        <v>XII</v>
      </c>
    </row>
    <row r="3" spans="1:17" x14ac:dyDescent="0.25">
      <c r="A3" s="48" t="s">
        <v>98</v>
      </c>
      <c r="E3" s="11"/>
      <c r="F3" s="11"/>
      <c r="G3" s="11"/>
      <c r="H3" s="11"/>
      <c r="I3" s="11"/>
      <c r="J3" s="11"/>
      <c r="K3" s="11"/>
      <c r="L3" s="11"/>
      <c r="M3" s="11"/>
      <c r="N3" s="11"/>
    </row>
    <row r="4" spans="1:17" x14ac:dyDescent="0.25">
      <c r="A4" s="6"/>
      <c r="E4" s="11"/>
      <c r="F4" s="11"/>
      <c r="G4" s="11"/>
      <c r="H4" s="11"/>
      <c r="I4" s="11"/>
      <c r="J4" s="11"/>
      <c r="K4" s="11"/>
      <c r="L4" s="11"/>
      <c r="M4" s="11"/>
      <c r="N4" s="11"/>
    </row>
    <row r="5" spans="1:17" x14ac:dyDescent="0.25">
      <c r="B5" s="9" t="s">
        <v>16</v>
      </c>
      <c r="C5" s="45">
        <f>E5</f>
        <v>2</v>
      </c>
      <c r="E5" s="3">
        <v>2</v>
      </c>
      <c r="F5" s="3">
        <v>2</v>
      </c>
      <c r="G5" s="3">
        <v>2</v>
      </c>
      <c r="H5" s="3">
        <v>2</v>
      </c>
      <c r="I5" s="3">
        <v>1.5</v>
      </c>
      <c r="J5" s="3">
        <v>1.5</v>
      </c>
      <c r="K5" s="3">
        <v>1.5</v>
      </c>
      <c r="L5" s="3">
        <v>1.5</v>
      </c>
      <c r="M5" s="3">
        <v>1.2</v>
      </c>
      <c r="O5" s="46">
        <v>2</v>
      </c>
      <c r="P5" s="46">
        <v>1.5</v>
      </c>
      <c r="Q5" s="46">
        <v>1.2</v>
      </c>
    </row>
    <row r="6" spans="1:17" x14ac:dyDescent="0.25">
      <c r="B6" s="9" t="s">
        <v>84</v>
      </c>
      <c r="C6" s="45">
        <f>E6</f>
        <v>0.1</v>
      </c>
      <c r="E6" s="3">
        <v>0.1</v>
      </c>
      <c r="F6" s="3">
        <v>0.05</v>
      </c>
      <c r="G6" s="3">
        <v>0.01</v>
      </c>
      <c r="H6" s="3">
        <v>1E-3</v>
      </c>
      <c r="I6" s="3">
        <v>0.1</v>
      </c>
      <c r="J6" s="3">
        <v>0.05</v>
      </c>
      <c r="K6" s="3">
        <v>0.01</v>
      </c>
      <c r="L6" s="3">
        <v>1E-3</v>
      </c>
      <c r="M6" s="3">
        <v>0.1</v>
      </c>
      <c r="O6" s="46">
        <v>0.1</v>
      </c>
      <c r="P6" s="46">
        <v>0.01</v>
      </c>
      <c r="Q6" s="46">
        <v>0.1</v>
      </c>
    </row>
    <row r="7" spans="1:17" x14ac:dyDescent="0.25">
      <c r="B7" s="9" t="s">
        <v>85</v>
      </c>
      <c r="C7" s="45">
        <f>E7</f>
        <v>0.1</v>
      </c>
      <c r="E7" s="3">
        <v>0.1</v>
      </c>
      <c r="F7" s="3">
        <v>0.05</v>
      </c>
      <c r="G7" s="3">
        <v>0.01</v>
      </c>
      <c r="H7" s="3">
        <v>1E-3</v>
      </c>
      <c r="I7" s="3">
        <v>0.1</v>
      </c>
      <c r="J7" s="3">
        <v>0.05</v>
      </c>
      <c r="K7" s="3">
        <v>0.01</v>
      </c>
      <c r="L7" s="3">
        <v>1E-3</v>
      </c>
      <c r="M7" s="3">
        <v>0.1</v>
      </c>
      <c r="O7" s="46">
        <v>0.1</v>
      </c>
      <c r="P7" s="46">
        <v>0.01</v>
      </c>
      <c r="Q7" s="46">
        <v>0.1</v>
      </c>
    </row>
    <row r="8" spans="1:17" x14ac:dyDescent="0.25">
      <c r="B8" s="9"/>
      <c r="C8" s="22"/>
      <c r="E8" s="3"/>
      <c r="F8" s="3"/>
      <c r="G8" s="3"/>
      <c r="H8" s="3"/>
      <c r="I8" s="3"/>
      <c r="J8" s="3"/>
      <c r="K8" s="3"/>
      <c r="L8" s="3"/>
      <c r="M8" s="3"/>
      <c r="O8" s="3"/>
      <c r="P8" s="3"/>
      <c r="Q8" s="3"/>
    </row>
    <row r="9" spans="1:17" x14ac:dyDescent="0.25">
      <c r="B9" s="9" t="s">
        <v>13</v>
      </c>
      <c r="C9" s="23">
        <f>LN(C7/(1-C6))</f>
        <v>-2.1972245773362191</v>
      </c>
      <c r="E9" s="3">
        <f t="shared" ref="E9:M9" si="0">LN(E7/(1-E6))</f>
        <v>-2.1972245773362191</v>
      </c>
      <c r="F9" s="3">
        <f t="shared" si="0"/>
        <v>-2.9444389791664403</v>
      </c>
      <c r="G9" s="3">
        <f t="shared" si="0"/>
        <v>-4.5951198501345898</v>
      </c>
      <c r="H9" s="3">
        <f t="shared" si="0"/>
        <v>-6.9067547786485539</v>
      </c>
      <c r="I9" s="3">
        <f t="shared" si="0"/>
        <v>-2.1972245773362191</v>
      </c>
      <c r="J9" s="3">
        <f t="shared" si="0"/>
        <v>-2.9444389791664403</v>
      </c>
      <c r="K9" s="3">
        <f t="shared" si="0"/>
        <v>-4.5951198501345898</v>
      </c>
      <c r="L9" s="3">
        <f t="shared" si="0"/>
        <v>-6.9067547786485539</v>
      </c>
      <c r="M9" s="3">
        <f t="shared" si="0"/>
        <v>-2.1972245773362191</v>
      </c>
      <c r="O9" s="3">
        <f>LN(O7/(1-O6))</f>
        <v>-2.1972245773362191</v>
      </c>
      <c r="P9" s="3">
        <f>LN(P7/(1-P6))</f>
        <v>-4.5951198501345898</v>
      </c>
      <c r="Q9" s="3">
        <f>LN(Q7/(1-Q6))</f>
        <v>-2.1972245773362191</v>
      </c>
    </row>
    <row r="10" spans="1:17" x14ac:dyDescent="0.25">
      <c r="B10" s="9"/>
      <c r="C10" s="22"/>
      <c r="E10" s="3"/>
      <c r="F10" s="3"/>
      <c r="G10" s="3"/>
      <c r="H10" s="3"/>
      <c r="I10" s="3"/>
      <c r="J10" s="3"/>
      <c r="K10" s="3"/>
      <c r="L10" s="3"/>
      <c r="M10" s="3"/>
      <c r="O10" s="3"/>
      <c r="P10" s="3"/>
      <c r="Q10" s="3"/>
    </row>
    <row r="11" spans="1:17" x14ac:dyDescent="0.25">
      <c r="B11" s="9" t="s">
        <v>14</v>
      </c>
      <c r="C11" s="3">
        <f>LN((1-C7)/C6)</f>
        <v>2.1972245773362196</v>
      </c>
      <c r="E11" s="3">
        <f t="shared" ref="E11:M11" si="1">LN((1-E7)/E6)</f>
        <v>2.1972245773362196</v>
      </c>
      <c r="F11" s="3">
        <f t="shared" si="1"/>
        <v>2.9444389791664403</v>
      </c>
      <c r="G11" s="3">
        <f t="shared" si="1"/>
        <v>4.5951198501345898</v>
      </c>
      <c r="H11" s="3">
        <f t="shared" si="1"/>
        <v>6.9067547786485539</v>
      </c>
      <c r="I11" s="3">
        <f t="shared" si="1"/>
        <v>2.1972245773362196</v>
      </c>
      <c r="J11" s="3">
        <f t="shared" si="1"/>
        <v>2.9444389791664403</v>
      </c>
      <c r="K11" s="3">
        <f t="shared" si="1"/>
        <v>4.5951198501345898</v>
      </c>
      <c r="L11" s="3">
        <f t="shared" si="1"/>
        <v>6.9067547786485539</v>
      </c>
      <c r="M11" s="3">
        <f t="shared" si="1"/>
        <v>2.1972245773362196</v>
      </c>
      <c r="O11" s="3">
        <f>LN((1-O7)/O6)</f>
        <v>2.1972245773362196</v>
      </c>
      <c r="P11" s="3">
        <f>LN((1-P7)/P6)</f>
        <v>4.5951198501345898</v>
      </c>
      <c r="Q11" s="3">
        <f>LN((1-Q7)/Q6)</f>
        <v>2.1972245773362196</v>
      </c>
    </row>
    <row r="12" spans="1:17" x14ac:dyDescent="0.25">
      <c r="A12" s="6" t="s">
        <v>36</v>
      </c>
      <c r="B12" s="12"/>
      <c r="C12" s="3"/>
      <c r="E12" s="3"/>
      <c r="F12" s="3"/>
      <c r="G12" s="3"/>
      <c r="H12" s="3"/>
      <c r="I12" s="3"/>
      <c r="J12" s="3"/>
      <c r="K12" s="3"/>
      <c r="L12" s="3"/>
    </row>
    <row r="13" spans="1:17" x14ac:dyDescent="0.25">
      <c r="B13" s="9" t="s">
        <v>34</v>
      </c>
      <c r="C13" s="22">
        <v>16</v>
      </c>
    </row>
    <row r="14" spans="1:17" x14ac:dyDescent="0.25">
      <c r="B14" s="9" t="s">
        <v>35</v>
      </c>
      <c r="C14" s="22">
        <v>16</v>
      </c>
    </row>
    <row r="15" spans="1:17" x14ac:dyDescent="0.25">
      <c r="B15" s="9"/>
      <c r="C15" s="9"/>
      <c r="D15" s="3"/>
      <c r="E15" s="3"/>
      <c r="F15" s="3"/>
      <c r="G15" s="3"/>
      <c r="H15" s="3"/>
      <c r="I15" s="3"/>
      <c r="J15" s="3"/>
      <c r="K15" s="3"/>
      <c r="L15" s="3"/>
    </row>
  </sheetData>
  <sheetProtection sheet="1" objects="1" scenarios="1" selectLockedCells="1"/>
  <protectedRanges>
    <protectedRange sqref="C12:C14 C10 C5:C8" name="Selected Risk Parameters"/>
  </protectedRanges>
  <mergeCells count="2">
    <mergeCell ref="E1:M1"/>
    <mergeCell ref="O1:Q1"/>
  </mergeCells>
  <phoneticPr fontId="4" type="noConversion"/>
  <pageMargins left="0.75" right="0.75" top="1" bottom="1" header="0.5" footer="0.5"/>
  <pageSetup orientation="portrait" r:id="rId1"/>
  <headerFooter alignWithMargins="0">
    <oddHeader>&amp;L&amp;"Arial Black,Regular"Reliability Demonstration Chart&amp;R&amp;"Arial Black,Regular"&amp;A</oddHeader>
    <oddFooter>&amp;L&amp;F&amp;C&amp;P of &amp;N&amp;R&amp;D</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1"/>
  </sheetPr>
  <dimension ref="A1:P43"/>
  <sheetViews>
    <sheetView tabSelected="1" workbookViewId="0">
      <selection activeCell="H7" sqref="H7"/>
    </sheetView>
  </sheetViews>
  <sheetFormatPr defaultColWidth="9.109375" defaultRowHeight="13.2" x14ac:dyDescent="0.25"/>
  <cols>
    <col min="1" max="1" width="12" style="37" customWidth="1"/>
    <col min="2" max="3" width="10.88671875" style="37" customWidth="1"/>
    <col min="4" max="4" width="13.88671875" style="37" customWidth="1"/>
    <col min="5" max="5" width="11.44140625" style="37" customWidth="1"/>
    <col min="6" max="6" width="15.109375" style="37" customWidth="1"/>
    <col min="7" max="7" width="13.5546875" style="37" customWidth="1"/>
    <col min="8" max="8" width="15.6640625" style="37" customWidth="1"/>
    <col min="9" max="11" width="9.109375" style="37"/>
    <col min="12" max="12" width="9.5546875" style="37" customWidth="1"/>
    <col min="13" max="15" width="9.109375" style="37"/>
    <col min="16" max="16" width="12.33203125" style="37" customWidth="1"/>
    <col min="17" max="16384" width="9.109375" style="37"/>
  </cols>
  <sheetData>
    <row r="1" spans="1:16" x14ac:dyDescent="0.25">
      <c r="A1" s="36" t="s">
        <v>47</v>
      </c>
      <c r="B1" s="36"/>
      <c r="E1" s="36" t="s">
        <v>54</v>
      </c>
      <c r="F1" s="36" t="s">
        <v>50</v>
      </c>
    </row>
    <row r="2" spans="1:16" x14ac:dyDescent="0.25">
      <c r="B2" s="38" t="s">
        <v>124</v>
      </c>
      <c r="E2" s="33">
        <v>100</v>
      </c>
      <c r="F2" s="39">
        <v>1</v>
      </c>
    </row>
    <row r="3" spans="1:16" x14ac:dyDescent="0.25">
      <c r="B3" s="38" t="s">
        <v>48</v>
      </c>
      <c r="E3" s="34">
        <v>230000</v>
      </c>
      <c r="F3" s="40">
        <v>1950</v>
      </c>
      <c r="H3" s="65"/>
    </row>
    <row r="4" spans="1:16" x14ac:dyDescent="0.25">
      <c r="B4" s="38" t="s">
        <v>49</v>
      </c>
      <c r="E4" s="33" t="s">
        <v>53</v>
      </c>
      <c r="F4" s="39" t="str">
        <f>E4</f>
        <v>call</v>
      </c>
    </row>
    <row r="5" spans="1:16" x14ac:dyDescent="0.25">
      <c r="C5" s="38"/>
      <c r="D5" s="38"/>
    </row>
    <row r="6" spans="1:16" x14ac:dyDescent="0.25">
      <c r="B6" s="38" t="s">
        <v>61</v>
      </c>
      <c r="D6" s="37" t="str">
        <f>CONCATENATE("The FIO is ",E2," failures per ",E3," ",E4,"s")</f>
        <v>The FIO is 100 failures per 230000 calls</v>
      </c>
    </row>
    <row r="7" spans="1:16" x14ac:dyDescent="0.25">
      <c r="B7" s="38" t="s">
        <v>62</v>
      </c>
      <c r="D7" s="37" t="str">
        <f>CONCATENATE("The FIO is ",F2," failure per ",F3," ",E4,"s")</f>
        <v>The FIO is 1 failure per 1950 calls</v>
      </c>
    </row>
    <row r="10" spans="1:16" x14ac:dyDescent="0.25">
      <c r="A10" s="36" t="s">
        <v>52</v>
      </c>
      <c r="B10" s="36"/>
    </row>
    <row r="11" spans="1:16" ht="39.6" x14ac:dyDescent="0.25">
      <c r="A11" s="55" t="s">
        <v>115</v>
      </c>
      <c r="B11" s="55" t="s">
        <v>43</v>
      </c>
      <c r="C11" s="55" t="s">
        <v>44</v>
      </c>
      <c r="D11" s="55" t="s">
        <v>91</v>
      </c>
      <c r="E11" s="55" t="s">
        <v>116</v>
      </c>
      <c r="F11" s="55" t="s">
        <v>69</v>
      </c>
      <c r="G11" s="55" t="s">
        <v>117</v>
      </c>
      <c r="H11" s="54"/>
    </row>
    <row r="12" spans="1:16" x14ac:dyDescent="0.25">
      <c r="A12" s="37">
        <v>1</v>
      </c>
      <c r="B12" s="49">
        <v>39814</v>
      </c>
      <c r="C12" s="50">
        <v>0.35416666666666669</v>
      </c>
      <c r="D12" s="51">
        <v>1234</v>
      </c>
      <c r="E12" s="56">
        <v>0</v>
      </c>
      <c r="F12" s="35">
        <v>0</v>
      </c>
      <c r="G12" s="41">
        <f t="shared" ref="G12:G43" si="0">+F12/F$3</f>
        <v>0</v>
      </c>
      <c r="K12" t="s">
        <v>130</v>
      </c>
      <c r="L12" t="s">
        <v>131</v>
      </c>
      <c r="M12" t="s">
        <v>132</v>
      </c>
      <c r="N12" t="s">
        <v>133</v>
      </c>
      <c r="O12" t="s">
        <v>134</v>
      </c>
      <c r="P12" s="42"/>
    </row>
    <row r="13" spans="1:16" x14ac:dyDescent="0.25">
      <c r="A13" s="37">
        <v>2</v>
      </c>
      <c r="B13" s="49">
        <v>39814</v>
      </c>
      <c r="C13" s="50">
        <v>0.61458333333333337</v>
      </c>
      <c r="D13" s="51">
        <f t="shared" ref="D13:D18" si="1">D12+5</f>
        <v>1239</v>
      </c>
      <c r="E13" s="56">
        <f>L13+E12</f>
        <v>2</v>
      </c>
      <c r="F13" s="35">
        <f>F12+3600*M13</f>
        <v>180</v>
      </c>
      <c r="G13" s="41">
        <f t="shared" si="0"/>
        <v>9.2307692307692313E-2</v>
      </c>
      <c r="K13">
        <v>1</v>
      </c>
      <c r="L13">
        <v>2</v>
      </c>
      <c r="M13">
        <v>0.05</v>
      </c>
      <c r="N13">
        <v>1.3</v>
      </c>
      <c r="O13">
        <v>0.5</v>
      </c>
      <c r="P13" s="42"/>
    </row>
    <row r="14" spans="1:16" x14ac:dyDescent="0.25">
      <c r="A14" s="37">
        <v>3</v>
      </c>
      <c r="B14" s="49">
        <v>39814</v>
      </c>
      <c r="C14" s="50">
        <v>0.50624999999999998</v>
      </c>
      <c r="D14" s="51">
        <f t="shared" si="1"/>
        <v>1244</v>
      </c>
      <c r="E14" s="56">
        <f t="shared" ref="E14:E43" si="2">L14+E13</f>
        <v>13</v>
      </c>
      <c r="F14" s="35">
        <f t="shared" ref="F14:F43" si="3">F13+3600*M14</f>
        <v>3780</v>
      </c>
      <c r="G14" s="41">
        <f t="shared" si="0"/>
        <v>1.9384615384615385</v>
      </c>
      <c r="K14">
        <v>2</v>
      </c>
      <c r="L14">
        <v>11</v>
      </c>
      <c r="M14">
        <v>1</v>
      </c>
      <c r="N14">
        <v>17.8</v>
      </c>
      <c r="O14">
        <v>2.8</v>
      </c>
      <c r="P14" s="42"/>
    </row>
    <row r="15" spans="1:16" x14ac:dyDescent="0.25">
      <c r="A15" s="37">
        <v>4</v>
      </c>
      <c r="B15" s="49">
        <v>39815</v>
      </c>
      <c r="C15" s="50">
        <v>0.25</v>
      </c>
      <c r="D15" s="51">
        <f t="shared" si="1"/>
        <v>1249</v>
      </c>
      <c r="E15" s="56">
        <f t="shared" si="2"/>
        <v>15</v>
      </c>
      <c r="F15" s="35">
        <f t="shared" si="3"/>
        <v>4464</v>
      </c>
      <c r="G15" s="41">
        <f t="shared" si="0"/>
        <v>2.2892307692307692</v>
      </c>
      <c r="K15">
        <v>3</v>
      </c>
      <c r="L15">
        <v>2</v>
      </c>
      <c r="M15">
        <v>0.19</v>
      </c>
      <c r="N15">
        <v>5</v>
      </c>
      <c r="O15">
        <v>1</v>
      </c>
      <c r="P15" s="43"/>
    </row>
    <row r="16" spans="1:16" x14ac:dyDescent="0.25">
      <c r="A16" s="37">
        <v>5</v>
      </c>
      <c r="B16" s="49">
        <v>39816</v>
      </c>
      <c r="C16" s="50">
        <v>0.48541666666666666</v>
      </c>
      <c r="D16" s="51">
        <f t="shared" si="1"/>
        <v>1254</v>
      </c>
      <c r="E16" s="56">
        <f t="shared" si="2"/>
        <v>19</v>
      </c>
      <c r="F16" s="35">
        <f t="shared" si="3"/>
        <v>5940</v>
      </c>
      <c r="G16" s="41">
        <f t="shared" si="0"/>
        <v>3.046153846153846</v>
      </c>
      <c r="K16">
        <v>4</v>
      </c>
      <c r="L16">
        <v>4</v>
      </c>
      <c r="M16">
        <v>0.41</v>
      </c>
      <c r="N16">
        <v>1.5</v>
      </c>
      <c r="O16">
        <v>0.5</v>
      </c>
    </row>
    <row r="17" spans="1:15" x14ac:dyDescent="0.25">
      <c r="A17" s="37">
        <v>6</v>
      </c>
      <c r="B17" s="49">
        <v>39818</v>
      </c>
      <c r="C17" s="50">
        <v>0.77013888888888893</v>
      </c>
      <c r="D17" s="51">
        <f t="shared" si="1"/>
        <v>1259</v>
      </c>
      <c r="E17" s="56">
        <f t="shared" si="2"/>
        <v>22</v>
      </c>
      <c r="F17" s="35">
        <f t="shared" si="3"/>
        <v>7092</v>
      </c>
      <c r="G17" s="41">
        <f t="shared" si="0"/>
        <v>3.6369230769230767</v>
      </c>
      <c r="K17">
        <v>5</v>
      </c>
      <c r="L17">
        <v>3</v>
      </c>
      <c r="M17">
        <v>0.32</v>
      </c>
      <c r="N17">
        <v>1.5</v>
      </c>
      <c r="O17">
        <v>0.5</v>
      </c>
    </row>
    <row r="18" spans="1:15" x14ac:dyDescent="0.25">
      <c r="A18" s="37">
        <v>7</v>
      </c>
      <c r="B18" s="49">
        <v>39818</v>
      </c>
      <c r="C18" s="50">
        <v>0.58194444444444449</v>
      </c>
      <c r="D18" s="51">
        <f t="shared" si="1"/>
        <v>1264</v>
      </c>
      <c r="E18" s="56">
        <f t="shared" si="2"/>
        <v>23</v>
      </c>
      <c r="F18" s="35">
        <f t="shared" si="3"/>
        <v>9288</v>
      </c>
      <c r="G18" s="41">
        <f t="shared" si="0"/>
        <v>4.7630769230769232</v>
      </c>
      <c r="K18">
        <v>6</v>
      </c>
      <c r="L18">
        <v>1</v>
      </c>
      <c r="M18">
        <v>0.61</v>
      </c>
      <c r="N18">
        <v>3</v>
      </c>
      <c r="O18">
        <v>1</v>
      </c>
    </row>
    <row r="19" spans="1:15" x14ac:dyDescent="0.25">
      <c r="A19" s="37">
        <v>8</v>
      </c>
      <c r="B19" s="49"/>
      <c r="C19" s="51"/>
      <c r="D19" s="51"/>
      <c r="E19" s="56">
        <f t="shared" si="2"/>
        <v>24</v>
      </c>
      <c r="F19" s="35">
        <f t="shared" si="3"/>
        <v>10440</v>
      </c>
      <c r="G19" s="41">
        <f t="shared" si="0"/>
        <v>5.3538461538461535</v>
      </c>
      <c r="K19">
        <v>7</v>
      </c>
      <c r="L19">
        <v>1</v>
      </c>
      <c r="M19">
        <v>0.32</v>
      </c>
      <c r="N19">
        <v>3</v>
      </c>
      <c r="O19">
        <v>0.5</v>
      </c>
    </row>
    <row r="20" spans="1:15" x14ac:dyDescent="0.25">
      <c r="A20" s="37">
        <v>9</v>
      </c>
      <c r="B20" s="49"/>
      <c r="C20" s="51"/>
      <c r="D20" s="51"/>
      <c r="E20" s="56">
        <f t="shared" si="2"/>
        <v>26</v>
      </c>
      <c r="F20" s="35">
        <f t="shared" si="3"/>
        <v>17028</v>
      </c>
      <c r="G20" s="41">
        <f t="shared" si="0"/>
        <v>8.7323076923076925</v>
      </c>
      <c r="K20">
        <v>8</v>
      </c>
      <c r="L20">
        <v>2</v>
      </c>
      <c r="M20">
        <v>1.83</v>
      </c>
      <c r="N20">
        <v>8</v>
      </c>
      <c r="O20">
        <v>2.5</v>
      </c>
    </row>
    <row r="21" spans="1:15" x14ac:dyDescent="0.25">
      <c r="A21" s="37">
        <v>10</v>
      </c>
      <c r="B21" s="49"/>
      <c r="C21" s="51"/>
      <c r="D21" s="51"/>
      <c r="E21" s="56">
        <f t="shared" si="2"/>
        <v>30</v>
      </c>
      <c r="F21" s="35">
        <f t="shared" si="3"/>
        <v>27864</v>
      </c>
      <c r="G21" s="41">
        <f t="shared" si="0"/>
        <v>14.28923076923077</v>
      </c>
      <c r="K21">
        <v>9</v>
      </c>
      <c r="L21">
        <v>4</v>
      </c>
      <c r="M21">
        <v>3.01</v>
      </c>
      <c r="N21">
        <v>30</v>
      </c>
      <c r="O21">
        <v>3</v>
      </c>
    </row>
    <row r="22" spans="1:15" x14ac:dyDescent="0.25">
      <c r="A22" s="37">
        <v>11</v>
      </c>
      <c r="B22" s="49"/>
      <c r="C22" s="51"/>
      <c r="D22" s="51"/>
      <c r="E22" s="56">
        <f t="shared" si="2"/>
        <v>30</v>
      </c>
      <c r="F22" s="35">
        <f t="shared" si="3"/>
        <v>34308</v>
      </c>
      <c r="G22" s="41">
        <f t="shared" si="0"/>
        <v>17.593846153846155</v>
      </c>
      <c r="K22">
        <v>10</v>
      </c>
      <c r="L22">
        <v>0</v>
      </c>
      <c r="M22">
        <v>1.79</v>
      </c>
      <c r="N22">
        <v>9</v>
      </c>
      <c r="O22">
        <v>3</v>
      </c>
    </row>
    <row r="23" spans="1:15" x14ac:dyDescent="0.25">
      <c r="A23" s="37">
        <v>12</v>
      </c>
      <c r="B23" s="49"/>
      <c r="C23" s="51"/>
      <c r="D23" s="51"/>
      <c r="E23" s="56">
        <f t="shared" si="2"/>
        <v>34</v>
      </c>
      <c r="F23" s="35">
        <f t="shared" si="3"/>
        <v>45720</v>
      </c>
      <c r="G23" s="41">
        <f t="shared" si="0"/>
        <v>23.446153846153845</v>
      </c>
      <c r="K23">
        <v>11</v>
      </c>
      <c r="L23">
        <v>4</v>
      </c>
      <c r="M23">
        <v>3.17</v>
      </c>
      <c r="N23">
        <v>25</v>
      </c>
      <c r="O23">
        <v>6</v>
      </c>
    </row>
    <row r="24" spans="1:15" x14ac:dyDescent="0.25">
      <c r="A24" s="37">
        <v>13</v>
      </c>
      <c r="B24" s="49"/>
      <c r="C24" s="51"/>
      <c r="D24" s="51"/>
      <c r="E24" s="56">
        <f t="shared" si="2"/>
        <v>35</v>
      </c>
      <c r="F24" s="35">
        <f t="shared" si="3"/>
        <v>57960</v>
      </c>
      <c r="G24" s="41">
        <f t="shared" si="0"/>
        <v>29.723076923076924</v>
      </c>
      <c r="K24">
        <v>12</v>
      </c>
      <c r="L24">
        <v>1</v>
      </c>
      <c r="M24">
        <v>3.4</v>
      </c>
      <c r="N24">
        <v>15</v>
      </c>
      <c r="O24">
        <v>4</v>
      </c>
    </row>
    <row r="25" spans="1:15" x14ac:dyDescent="0.25">
      <c r="A25" s="37">
        <v>14</v>
      </c>
      <c r="B25" s="49"/>
      <c r="C25" s="51"/>
      <c r="D25" s="51"/>
      <c r="E25" s="56">
        <f t="shared" si="2"/>
        <v>38</v>
      </c>
      <c r="F25" s="35">
        <f t="shared" si="3"/>
        <v>73080</v>
      </c>
      <c r="G25" s="41">
        <f t="shared" si="0"/>
        <v>37.476923076923079</v>
      </c>
      <c r="K25">
        <v>13</v>
      </c>
      <c r="L25">
        <v>3</v>
      </c>
      <c r="M25">
        <v>4.2</v>
      </c>
      <c r="N25">
        <v>15</v>
      </c>
      <c r="O25">
        <v>4</v>
      </c>
    </row>
    <row r="26" spans="1:15" x14ac:dyDescent="0.25">
      <c r="A26" s="37">
        <v>15</v>
      </c>
      <c r="B26" s="49"/>
      <c r="C26" s="51"/>
      <c r="D26" s="51"/>
      <c r="E26" s="56">
        <f t="shared" si="2"/>
        <v>38</v>
      </c>
      <c r="F26" s="35">
        <f t="shared" si="3"/>
        <v>77400</v>
      </c>
      <c r="G26" s="41">
        <f t="shared" si="0"/>
        <v>39.692307692307693</v>
      </c>
      <c r="K26">
        <v>14</v>
      </c>
      <c r="L26">
        <v>0</v>
      </c>
      <c r="M26">
        <v>1.2</v>
      </c>
      <c r="N26">
        <v>2</v>
      </c>
      <c r="O26">
        <v>1</v>
      </c>
    </row>
    <row r="27" spans="1:15" x14ac:dyDescent="0.25">
      <c r="A27" s="37">
        <v>16</v>
      </c>
      <c r="B27" s="49"/>
      <c r="C27" s="51"/>
      <c r="D27" s="51"/>
      <c r="E27" s="56">
        <f t="shared" si="2"/>
        <v>39</v>
      </c>
      <c r="F27" s="35">
        <f t="shared" si="3"/>
        <v>77591.16</v>
      </c>
      <c r="G27" s="41">
        <f t="shared" si="0"/>
        <v>39.790338461538461</v>
      </c>
      <c r="K27">
        <v>15</v>
      </c>
      <c r="L27">
        <v>1</v>
      </c>
      <c r="M27">
        <v>5.3100000000000001E-2</v>
      </c>
      <c r="N27">
        <v>4</v>
      </c>
      <c r="O27">
        <v>1</v>
      </c>
    </row>
    <row r="28" spans="1:15" x14ac:dyDescent="0.25">
      <c r="E28" s="56">
        <f t="shared" si="2"/>
        <v>40</v>
      </c>
      <c r="F28" s="35">
        <f t="shared" si="3"/>
        <v>77814</v>
      </c>
      <c r="G28" s="41">
        <f t="shared" si="0"/>
        <v>39.904615384615383</v>
      </c>
      <c r="K28">
        <v>16</v>
      </c>
      <c r="L28">
        <v>1</v>
      </c>
      <c r="M28">
        <v>6.1899999999999997E-2</v>
      </c>
      <c r="N28">
        <v>20</v>
      </c>
      <c r="O28">
        <v>0</v>
      </c>
    </row>
    <row r="29" spans="1:15" x14ac:dyDescent="0.25">
      <c r="E29" s="56">
        <f t="shared" si="2"/>
        <v>42</v>
      </c>
      <c r="F29" s="35">
        <f t="shared" si="3"/>
        <v>78382.8</v>
      </c>
      <c r="G29" s="41">
        <f t="shared" si="0"/>
        <v>40.196307692307691</v>
      </c>
      <c r="K29">
        <v>17</v>
      </c>
      <c r="L29">
        <v>2</v>
      </c>
      <c r="M29">
        <v>0.158</v>
      </c>
      <c r="N29">
        <v>1</v>
      </c>
      <c r="O29">
        <v>0.5</v>
      </c>
    </row>
    <row r="30" spans="1:15" x14ac:dyDescent="0.25">
      <c r="E30" s="56">
        <f t="shared" si="2"/>
        <v>43</v>
      </c>
      <c r="F30" s="35">
        <f t="shared" si="3"/>
        <v>78674.400000000009</v>
      </c>
      <c r="G30" s="41">
        <f t="shared" si="0"/>
        <v>40.345846153846161</v>
      </c>
      <c r="K30">
        <v>18</v>
      </c>
      <c r="L30">
        <v>1</v>
      </c>
      <c r="M30">
        <v>8.1000000000000003E-2</v>
      </c>
      <c r="N30">
        <v>1</v>
      </c>
      <c r="O30">
        <v>0.5</v>
      </c>
    </row>
    <row r="31" spans="1:15" x14ac:dyDescent="0.25">
      <c r="E31" s="56">
        <f t="shared" si="2"/>
        <v>51</v>
      </c>
      <c r="F31" s="35">
        <f t="shared" si="3"/>
        <v>82440.000000000015</v>
      </c>
      <c r="G31" s="41">
        <f t="shared" si="0"/>
        <v>42.276923076923083</v>
      </c>
      <c r="K31">
        <v>19</v>
      </c>
      <c r="L31">
        <v>8</v>
      </c>
      <c r="M31">
        <v>1.046</v>
      </c>
      <c r="N31">
        <v>32</v>
      </c>
      <c r="O31">
        <v>2</v>
      </c>
    </row>
    <row r="32" spans="1:15" x14ac:dyDescent="0.25">
      <c r="E32" s="56">
        <f t="shared" si="2"/>
        <v>60</v>
      </c>
      <c r="F32" s="35">
        <f t="shared" si="3"/>
        <v>88740.000000000015</v>
      </c>
      <c r="G32" s="41">
        <f t="shared" si="0"/>
        <v>45.507692307692317</v>
      </c>
      <c r="K32">
        <v>20</v>
      </c>
      <c r="L32">
        <v>9</v>
      </c>
      <c r="M32">
        <v>1.75</v>
      </c>
      <c r="N32">
        <v>32</v>
      </c>
      <c r="O32">
        <v>5</v>
      </c>
    </row>
    <row r="33" spans="5:15" x14ac:dyDescent="0.25">
      <c r="E33" s="56">
        <f t="shared" si="2"/>
        <v>66</v>
      </c>
      <c r="F33" s="35">
        <f t="shared" si="3"/>
        <v>99396.000000000015</v>
      </c>
      <c r="G33" s="41">
        <f t="shared" si="0"/>
        <v>50.972307692307702</v>
      </c>
      <c r="K33">
        <v>21</v>
      </c>
      <c r="L33">
        <v>6</v>
      </c>
      <c r="M33">
        <v>2.96</v>
      </c>
      <c r="N33">
        <v>24</v>
      </c>
      <c r="O33">
        <v>4.5</v>
      </c>
    </row>
    <row r="34" spans="5:15" x14ac:dyDescent="0.25">
      <c r="E34" s="56">
        <f t="shared" si="2"/>
        <v>73</v>
      </c>
      <c r="F34" s="35">
        <f t="shared" si="3"/>
        <v>117288.00000000001</v>
      </c>
      <c r="G34" s="41">
        <f t="shared" si="0"/>
        <v>60.147692307692317</v>
      </c>
      <c r="K34">
        <v>22</v>
      </c>
      <c r="L34">
        <v>7</v>
      </c>
      <c r="M34">
        <v>4.97</v>
      </c>
      <c r="N34">
        <v>24</v>
      </c>
      <c r="O34">
        <v>2.5</v>
      </c>
    </row>
    <row r="35" spans="5:15" x14ac:dyDescent="0.25">
      <c r="E35" s="56">
        <f t="shared" si="2"/>
        <v>77</v>
      </c>
      <c r="F35" s="35">
        <f t="shared" si="3"/>
        <v>118800.00000000001</v>
      </c>
      <c r="G35" s="41">
        <f t="shared" si="0"/>
        <v>60.923076923076934</v>
      </c>
      <c r="K35">
        <v>23</v>
      </c>
      <c r="L35">
        <v>4</v>
      </c>
      <c r="M35">
        <v>0.42</v>
      </c>
      <c r="N35">
        <v>24</v>
      </c>
      <c r="O35">
        <v>4</v>
      </c>
    </row>
    <row r="36" spans="5:15" x14ac:dyDescent="0.25">
      <c r="E36" s="56">
        <f t="shared" si="2"/>
        <v>80</v>
      </c>
      <c r="F36" s="35">
        <f t="shared" si="3"/>
        <v>135720</v>
      </c>
      <c r="G36" s="41">
        <f t="shared" si="0"/>
        <v>69.599999999999994</v>
      </c>
      <c r="K36">
        <v>24</v>
      </c>
      <c r="L36">
        <v>3</v>
      </c>
      <c r="M36">
        <v>4.7</v>
      </c>
      <c r="N36">
        <v>30</v>
      </c>
      <c r="O36">
        <v>2</v>
      </c>
    </row>
    <row r="37" spans="5:15" x14ac:dyDescent="0.25">
      <c r="E37" s="56">
        <f t="shared" si="2"/>
        <v>80</v>
      </c>
      <c r="F37" s="35">
        <f t="shared" si="3"/>
        <v>138960</v>
      </c>
      <c r="G37" s="41">
        <f t="shared" si="0"/>
        <v>71.261538461538464</v>
      </c>
      <c r="K37">
        <v>25</v>
      </c>
      <c r="L37">
        <v>0</v>
      </c>
      <c r="M37">
        <v>0.9</v>
      </c>
      <c r="N37">
        <v>0</v>
      </c>
      <c r="O37">
        <v>0</v>
      </c>
    </row>
    <row r="38" spans="5:15" x14ac:dyDescent="0.25">
      <c r="E38" s="56">
        <f t="shared" si="2"/>
        <v>84</v>
      </c>
      <c r="F38" s="35">
        <f t="shared" si="3"/>
        <v>144360</v>
      </c>
      <c r="G38" s="41">
        <f t="shared" si="0"/>
        <v>74.030769230769238</v>
      </c>
      <c r="K38">
        <v>26</v>
      </c>
      <c r="L38">
        <v>4</v>
      </c>
      <c r="M38">
        <v>1.5</v>
      </c>
      <c r="N38">
        <v>8</v>
      </c>
      <c r="O38">
        <v>4</v>
      </c>
    </row>
    <row r="39" spans="5:15" x14ac:dyDescent="0.25">
      <c r="E39" s="56">
        <f t="shared" si="2"/>
        <v>85</v>
      </c>
      <c r="F39" s="35">
        <f t="shared" si="3"/>
        <v>151560</v>
      </c>
      <c r="G39" s="41">
        <f t="shared" si="0"/>
        <v>77.723076923076917</v>
      </c>
      <c r="K39">
        <v>27</v>
      </c>
      <c r="L39">
        <v>1</v>
      </c>
      <c r="M39">
        <v>2</v>
      </c>
      <c r="N39">
        <v>8</v>
      </c>
      <c r="O39">
        <v>6</v>
      </c>
    </row>
    <row r="40" spans="5:15" x14ac:dyDescent="0.25">
      <c r="E40" s="56">
        <f t="shared" si="2"/>
        <v>85</v>
      </c>
      <c r="F40" s="35">
        <f t="shared" si="3"/>
        <v>155880</v>
      </c>
      <c r="G40" s="41">
        <f t="shared" si="0"/>
        <v>79.938461538461539</v>
      </c>
      <c r="K40">
        <v>28</v>
      </c>
      <c r="L40">
        <v>0</v>
      </c>
      <c r="M40">
        <v>1.2</v>
      </c>
      <c r="N40">
        <v>12</v>
      </c>
      <c r="O40">
        <v>4</v>
      </c>
    </row>
    <row r="41" spans="5:15" x14ac:dyDescent="0.25">
      <c r="E41" s="56">
        <f t="shared" si="2"/>
        <v>87</v>
      </c>
      <c r="F41" s="35">
        <f t="shared" si="3"/>
        <v>160200</v>
      </c>
      <c r="G41" s="41">
        <f t="shared" si="0"/>
        <v>82.15384615384616</v>
      </c>
      <c r="K41">
        <v>29</v>
      </c>
      <c r="L41">
        <v>2</v>
      </c>
      <c r="M41">
        <v>1.2</v>
      </c>
      <c r="N41">
        <v>20</v>
      </c>
      <c r="O41">
        <v>6</v>
      </c>
    </row>
    <row r="42" spans="5:15" x14ac:dyDescent="0.25">
      <c r="E42" s="56">
        <f t="shared" si="2"/>
        <v>89</v>
      </c>
      <c r="F42" s="35">
        <f t="shared" si="3"/>
        <v>168120</v>
      </c>
      <c r="G42" s="41">
        <f t="shared" si="0"/>
        <v>86.215384615384622</v>
      </c>
      <c r="K42">
        <v>30</v>
      </c>
      <c r="L42">
        <v>2</v>
      </c>
      <c r="M42">
        <v>2.2000000000000002</v>
      </c>
      <c r="N42">
        <v>32</v>
      </c>
      <c r="O42">
        <v>10</v>
      </c>
    </row>
    <row r="43" spans="5:15" x14ac:dyDescent="0.25">
      <c r="E43" s="56">
        <f t="shared" si="2"/>
        <v>92</v>
      </c>
      <c r="F43" s="35">
        <f t="shared" si="3"/>
        <v>195480</v>
      </c>
      <c r="G43" s="41">
        <f t="shared" si="0"/>
        <v>100.24615384615385</v>
      </c>
      <c r="K43">
        <v>31</v>
      </c>
      <c r="L43">
        <v>3</v>
      </c>
      <c r="M43">
        <v>7.6</v>
      </c>
      <c r="N43">
        <v>24</v>
      </c>
      <c r="O43">
        <v>8</v>
      </c>
    </row>
  </sheetData>
  <sheetProtection selectLockedCells="1"/>
  <protectedRanges>
    <protectedRange sqref="B12:D27 F12:F43" name="Failure Observations"/>
    <protectedRange sqref="E2:E4" name="FIO Parameters"/>
  </protectedRanges>
  <phoneticPr fontId="4" type="noConversion"/>
  <conditionalFormatting sqref="E12">
    <cfRule type="cellIs" dxfId="1" priority="1" stopIfTrue="1" operator="notBetween">
      <formula>0</formula>
      <formula>1</formula>
    </cfRule>
  </conditionalFormatting>
  <conditionalFormatting sqref="E13:E43">
    <cfRule type="cellIs" dxfId="0" priority="2" stopIfTrue="1" operator="lessThan">
      <formula>$E12</formula>
    </cfRule>
  </conditionalFormatting>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2"/>
    <pageSetUpPr fitToPage="1"/>
  </sheetPr>
  <dimension ref="A3:I50"/>
  <sheetViews>
    <sheetView topLeftCell="A5" zoomScale="70" zoomScaleNormal="70" workbookViewId="0">
      <selection activeCell="Q21" sqref="Q21"/>
    </sheetView>
  </sheetViews>
  <sheetFormatPr defaultRowHeight="13.2" x14ac:dyDescent="0.25"/>
  <cols>
    <col min="1" max="1" width="5.88671875" customWidth="1"/>
    <col min="2" max="2" width="9.44140625" customWidth="1"/>
    <col min="3" max="3" width="8.6640625" customWidth="1"/>
    <col min="5" max="5" width="9.33203125" customWidth="1"/>
    <col min="9" max="9" width="7.109375" customWidth="1"/>
  </cols>
  <sheetData>
    <row r="3" spans="1:9" ht="21" x14ac:dyDescent="0.5">
      <c r="B3" s="47" t="str">
        <f>CONCATENATE("Certification Testing Results for Project ", Project!C2, ", System ", Project!C3, " ",Project!C4)</f>
        <v>Certification Testing Results for Project Example, System Demo 4.3</v>
      </c>
    </row>
    <row r="4" spans="1:9" x14ac:dyDescent="0.25">
      <c r="A4" s="2"/>
      <c r="B4" s="3"/>
      <c r="D4" s="3"/>
    </row>
    <row r="5" spans="1:9" x14ac:dyDescent="0.25">
      <c r="A5" s="2"/>
      <c r="B5" s="5" t="str">
        <f>CONCATENATE("The FIO is ",'Failure Data'!E2," failures per ",'Failure Data'!E3," ",'Failure Data'!E4,"s")</f>
        <v>The FIO is 100 failures per 230000 calls</v>
      </c>
      <c r="D5" s="3"/>
    </row>
    <row r="6" spans="1:9" x14ac:dyDescent="0.25">
      <c r="A6" s="2"/>
      <c r="B6" s="3"/>
      <c r="D6" s="3"/>
    </row>
    <row r="7" spans="1:9" x14ac:dyDescent="0.25">
      <c r="A7" s="2"/>
      <c r="B7" s="3"/>
      <c r="D7" s="3"/>
    </row>
    <row r="8" spans="1:9" x14ac:dyDescent="0.25">
      <c r="A8" s="2"/>
      <c r="B8" s="3"/>
      <c r="D8" s="3"/>
      <c r="F8" s="10"/>
      <c r="G8" s="10"/>
      <c r="H8" s="10"/>
    </row>
    <row r="9" spans="1:9" x14ac:dyDescent="0.25">
      <c r="A9" s="2"/>
      <c r="B9" s="3"/>
      <c r="F9" s="3"/>
      <c r="G9" s="3"/>
      <c r="H9" s="3"/>
      <c r="I9" s="3"/>
    </row>
    <row r="10" spans="1:9" x14ac:dyDescent="0.25">
      <c r="A10" s="2"/>
      <c r="B10" s="3"/>
      <c r="F10" s="3"/>
      <c r="G10" s="3"/>
      <c r="H10" s="3"/>
      <c r="I10" s="3"/>
    </row>
    <row r="11" spans="1:9" x14ac:dyDescent="0.25">
      <c r="A11" s="2"/>
      <c r="F11" s="3"/>
      <c r="G11" s="3"/>
      <c r="H11" s="3"/>
      <c r="I11" s="3"/>
    </row>
    <row r="12" spans="1:9" x14ac:dyDescent="0.25">
      <c r="A12" s="2"/>
      <c r="F12" s="3"/>
      <c r="G12" s="3"/>
      <c r="H12" s="3"/>
      <c r="I12" s="3"/>
    </row>
    <row r="13" spans="1:9" x14ac:dyDescent="0.25">
      <c r="A13" s="2"/>
      <c r="F13" s="3"/>
      <c r="G13" s="3"/>
      <c r="H13" s="3"/>
      <c r="I13" s="3"/>
    </row>
    <row r="14" spans="1:9" x14ac:dyDescent="0.25">
      <c r="A14" s="2"/>
      <c r="F14" s="3"/>
      <c r="G14" s="3"/>
      <c r="H14" s="3"/>
      <c r="I14" s="3"/>
    </row>
    <row r="15" spans="1:9" x14ac:dyDescent="0.25">
      <c r="A15" s="2"/>
      <c r="F15" s="3"/>
      <c r="G15" s="3"/>
      <c r="H15" s="3"/>
      <c r="I15" s="3"/>
    </row>
    <row r="16" spans="1:9" x14ac:dyDescent="0.25">
      <c r="A16" s="2"/>
      <c r="F16" s="3"/>
      <c r="G16" s="3"/>
      <c r="H16" s="3"/>
      <c r="I16" s="3"/>
    </row>
    <row r="17" spans="1:9" x14ac:dyDescent="0.25">
      <c r="A17" s="2"/>
      <c r="F17" s="3"/>
      <c r="G17" s="3"/>
      <c r="H17" s="3"/>
      <c r="I17" s="3"/>
    </row>
    <row r="18" spans="1:9" x14ac:dyDescent="0.25">
      <c r="A18" s="2"/>
      <c r="F18" s="3"/>
      <c r="G18" s="3"/>
      <c r="H18" s="3"/>
      <c r="I18" s="3"/>
    </row>
    <row r="19" spans="1:9" x14ac:dyDescent="0.25">
      <c r="A19" s="2"/>
      <c r="F19" s="3"/>
      <c r="G19" s="3"/>
      <c r="H19" s="3"/>
      <c r="I19" s="3"/>
    </row>
    <row r="20" spans="1:9" x14ac:dyDescent="0.25">
      <c r="A20" s="1"/>
      <c r="B20" s="3"/>
      <c r="C20" s="3"/>
      <c r="D20" s="3"/>
      <c r="F20" s="3"/>
      <c r="G20" s="3"/>
      <c r="H20" s="3"/>
      <c r="I20" s="3"/>
    </row>
    <row r="21" spans="1:9" x14ac:dyDescent="0.25">
      <c r="A21" s="1"/>
      <c r="B21" s="3"/>
      <c r="C21" s="3"/>
      <c r="D21" s="3"/>
      <c r="F21" s="3"/>
      <c r="G21" s="3"/>
      <c r="H21" s="3"/>
      <c r="I21" s="3"/>
    </row>
    <row r="22" spans="1:9" x14ac:dyDescent="0.25">
      <c r="A22" s="1"/>
      <c r="B22" s="3"/>
      <c r="C22" s="3"/>
      <c r="D22" s="5"/>
      <c r="F22" s="3"/>
      <c r="G22" s="3"/>
      <c r="H22" s="3"/>
      <c r="I22" s="3"/>
    </row>
    <row r="23" spans="1:9" x14ac:dyDescent="0.25">
      <c r="A23" s="1"/>
      <c r="B23" s="3"/>
      <c r="C23" s="3"/>
      <c r="D23" s="3"/>
      <c r="F23" s="3"/>
      <c r="G23" s="3"/>
      <c r="H23" s="3"/>
      <c r="I23" s="3"/>
    </row>
    <row r="24" spans="1:9" x14ac:dyDescent="0.25">
      <c r="A24" s="1"/>
      <c r="B24" s="3"/>
      <c r="C24" s="3"/>
      <c r="D24" s="3"/>
      <c r="F24" s="3"/>
      <c r="G24" s="3"/>
      <c r="H24" s="3"/>
      <c r="I24" s="3"/>
    </row>
    <row r="25" spans="1:9" x14ac:dyDescent="0.25">
      <c r="A25" s="1"/>
      <c r="B25" s="3"/>
      <c r="C25" s="5"/>
      <c r="D25" s="3"/>
      <c r="F25" s="3"/>
      <c r="G25" s="3"/>
      <c r="H25" s="3"/>
      <c r="I25" s="3"/>
    </row>
    <row r="50" spans="2:2" x14ac:dyDescent="0.25">
      <c r="B50" s="36" t="str">
        <f>CONCATENATE("Each normalized usage unit equals ",'Failure Data'!F3," ",'Failure Data'!F4,"s")</f>
        <v>Each normalized usage unit equals 1950 calls</v>
      </c>
    </row>
  </sheetData>
  <sheetProtection selectLockedCells="1"/>
  <phoneticPr fontId="4" type="noConversion"/>
  <pageMargins left="0.75" right="0.75" top="1" bottom="1" header="0.5" footer="0.5"/>
  <pageSetup scale="74" orientation="portrait" r:id="rId1"/>
  <headerFooter alignWithMargins="0">
    <oddHeader>&amp;L&amp;"Arial Black,Regular"Reliability Demonstration Chart&amp;R&amp;"Arial Black,Regular"&amp;A</oddHeader>
    <oddFooter>&amp;L&amp;F&amp;C&amp;P of &amp;N&amp;R&amp;D</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55"/>
  </sheetPr>
  <dimension ref="A1:Q109"/>
  <sheetViews>
    <sheetView zoomScale="85" zoomScaleNormal="85" workbookViewId="0">
      <selection activeCell="G5" sqref="G5"/>
    </sheetView>
  </sheetViews>
  <sheetFormatPr defaultColWidth="6.6640625" defaultRowHeight="13.2" x14ac:dyDescent="0.25"/>
  <cols>
    <col min="1" max="1" width="6.6640625" customWidth="1"/>
    <col min="2" max="2" width="13.44140625" customWidth="1"/>
    <col min="3" max="3" width="6.6640625" customWidth="1"/>
    <col min="4" max="4" width="13.33203125" bestFit="1" customWidth="1"/>
    <col min="5" max="6" width="6.6640625" customWidth="1"/>
    <col min="7" max="7" width="8.6640625" customWidth="1"/>
    <col min="8" max="8" width="8.109375" customWidth="1"/>
    <col min="10" max="10" width="5.6640625" bestFit="1" customWidth="1"/>
    <col min="11" max="11" width="34.109375" bestFit="1" customWidth="1"/>
    <col min="13" max="13" width="34.33203125" bestFit="1" customWidth="1"/>
    <col min="16" max="16" width="8.33203125" bestFit="1" customWidth="1"/>
    <col min="17" max="17" width="7.6640625" bestFit="1" customWidth="1"/>
  </cols>
  <sheetData>
    <row r="1" spans="1:17" x14ac:dyDescent="0.25">
      <c r="B1" t="s">
        <v>6</v>
      </c>
      <c r="D1" t="s">
        <v>5</v>
      </c>
    </row>
    <row r="2" spans="1:17" x14ac:dyDescent="0.25">
      <c r="A2" t="s">
        <v>0</v>
      </c>
      <c r="B2" t="s">
        <v>7</v>
      </c>
      <c r="D2" t="s">
        <v>7</v>
      </c>
    </row>
    <row r="3" spans="1:17" x14ac:dyDescent="0.25">
      <c r="A3" t="s">
        <v>2</v>
      </c>
      <c r="B3" t="s">
        <v>1</v>
      </c>
      <c r="D3" t="s">
        <v>1</v>
      </c>
    </row>
    <row r="4" spans="1:17" x14ac:dyDescent="0.25">
      <c r="A4" s="4" t="s">
        <v>3</v>
      </c>
      <c r="B4" s="5">
        <f>(100-19)/67</f>
        <v>1.208955223880597</v>
      </c>
      <c r="C4" s="5"/>
      <c r="D4" s="5">
        <f>B4</f>
        <v>1.208955223880597</v>
      </c>
    </row>
    <row r="5" spans="1:17" x14ac:dyDescent="0.25">
      <c r="A5" s="4" t="s">
        <v>4</v>
      </c>
      <c r="B5" s="7">
        <v>19</v>
      </c>
      <c r="C5" s="6"/>
      <c r="D5" s="7">
        <f>0-(B4*A15)</f>
        <v>-7.2537313432835813</v>
      </c>
    </row>
    <row r="6" spans="1:17" x14ac:dyDescent="0.25">
      <c r="A6" s="4" t="s">
        <v>8</v>
      </c>
      <c r="B6" s="7">
        <v>0</v>
      </c>
      <c r="C6" s="6"/>
      <c r="D6" s="7">
        <f>xmin</f>
        <v>0</v>
      </c>
    </row>
    <row r="7" spans="1:17" x14ac:dyDescent="0.25">
      <c r="A7" s="4" t="s">
        <v>9</v>
      </c>
      <c r="B7" s="7">
        <v>100</v>
      </c>
      <c r="C7" s="6"/>
      <c r="D7" s="7">
        <v>100</v>
      </c>
    </row>
    <row r="8" spans="1:17" x14ac:dyDescent="0.25">
      <c r="A8" s="4"/>
      <c r="B8" s="6"/>
      <c r="C8" s="6"/>
      <c r="D8" s="7"/>
      <c r="F8" s="10" t="s">
        <v>10</v>
      </c>
      <c r="G8" s="10" t="s">
        <v>11</v>
      </c>
      <c r="H8" s="10" t="s">
        <v>12</v>
      </c>
      <c r="J8" s="64" t="s">
        <v>44</v>
      </c>
      <c r="K8" s="64" t="s">
        <v>136</v>
      </c>
      <c r="M8" s="63" t="s">
        <v>137</v>
      </c>
      <c r="O8" s="63" t="s">
        <v>23</v>
      </c>
      <c r="P8" s="63" t="s">
        <v>135</v>
      </c>
      <c r="Q8" s="63" t="s">
        <v>19</v>
      </c>
    </row>
    <row r="9" spans="1:17" x14ac:dyDescent="0.25">
      <c r="A9" s="1">
        <v>0</v>
      </c>
      <c r="B9" s="5">
        <v>3</v>
      </c>
      <c r="C9" s="8"/>
      <c r="D9" s="5">
        <v>0</v>
      </c>
      <c r="F9" s="3">
        <f>+xmax-B9</f>
        <v>97</v>
      </c>
      <c r="G9" s="3">
        <f t="shared" ref="G9:G25" si="0">+B9-D9</f>
        <v>3</v>
      </c>
      <c r="H9" s="3">
        <f t="shared" ref="H9:H25" si="1">D9</f>
        <v>0</v>
      </c>
      <c r="I9" s="3"/>
      <c r="J9" s="1">
        <v>0</v>
      </c>
      <c r="K9" s="3">
        <f>+(B$4*J9)+B$5</f>
        <v>19</v>
      </c>
      <c r="L9" s="8"/>
      <c r="M9" s="3">
        <f t="shared" ref="M9:M15" si="2">+(D$4*J9)+D$5</f>
        <v>-7.2537313432835813</v>
      </c>
      <c r="O9" s="3">
        <f t="shared" ref="O9:O17" si="3">+xmax-K9</f>
        <v>81</v>
      </c>
      <c r="P9" s="3">
        <f>+K9-M9</f>
        <v>26.253731343283583</v>
      </c>
      <c r="Q9" s="3">
        <f t="shared" ref="Q9:Q72" si="4">M9</f>
        <v>-7.2537313432835813</v>
      </c>
    </row>
    <row r="10" spans="1:17" x14ac:dyDescent="0.25">
      <c r="A10" s="1">
        <v>1</v>
      </c>
      <c r="B10" s="3">
        <f t="shared" ref="B10:B17" si="5">+(B$4*A10)+B$5</f>
        <v>20.208955223880597</v>
      </c>
      <c r="C10" s="8"/>
      <c r="D10" s="3">
        <v>0</v>
      </c>
      <c r="F10" s="3">
        <f t="shared" ref="F10:F25" si="6">+xmax-B10</f>
        <v>79.791044776119406</v>
      </c>
      <c r="G10" s="3">
        <f t="shared" si="0"/>
        <v>20.208955223880597</v>
      </c>
      <c r="H10" s="3">
        <f t="shared" si="1"/>
        <v>0</v>
      </c>
      <c r="I10" s="3"/>
      <c r="J10" s="1">
        <v>1</v>
      </c>
      <c r="K10" s="3">
        <f>+(B$4*J10)+B$5</f>
        <v>20.208955223880597</v>
      </c>
      <c r="L10" s="8"/>
      <c r="M10" s="3">
        <f t="shared" si="2"/>
        <v>-6.0447761194029841</v>
      </c>
      <c r="O10" s="3">
        <f t="shared" si="3"/>
        <v>79.791044776119406</v>
      </c>
      <c r="P10" s="3">
        <f t="shared" ref="P10:P73" si="7">+K10-M10</f>
        <v>26.253731343283583</v>
      </c>
      <c r="Q10" s="3">
        <f t="shared" si="4"/>
        <v>-6.0447761194029841</v>
      </c>
    </row>
    <row r="11" spans="1:17" x14ac:dyDescent="0.25">
      <c r="A11" s="1">
        <v>2</v>
      </c>
      <c r="B11" s="3">
        <f t="shared" si="5"/>
        <v>21.417910447761194</v>
      </c>
      <c r="C11" s="8"/>
      <c r="D11" s="5">
        <v>0</v>
      </c>
      <c r="F11" s="3">
        <f t="shared" si="6"/>
        <v>78.582089552238813</v>
      </c>
      <c r="G11" s="3">
        <f t="shared" si="0"/>
        <v>21.417910447761194</v>
      </c>
      <c r="H11" s="3">
        <f t="shared" si="1"/>
        <v>0</v>
      </c>
      <c r="I11" s="3"/>
      <c r="J11" s="1">
        <v>2</v>
      </c>
      <c r="K11" s="3">
        <f>+(B$4*J11)+B$5</f>
        <v>21.417910447761194</v>
      </c>
      <c r="L11" s="8"/>
      <c r="M11" s="3">
        <f t="shared" si="2"/>
        <v>-4.8358208955223869</v>
      </c>
      <c r="O11" s="3">
        <f t="shared" si="3"/>
        <v>78.582089552238813</v>
      </c>
      <c r="P11" s="3">
        <f t="shared" si="7"/>
        <v>26.253731343283583</v>
      </c>
      <c r="Q11" s="3">
        <f t="shared" si="4"/>
        <v>-4.8358208955223869</v>
      </c>
    </row>
    <row r="12" spans="1:17" x14ac:dyDescent="0.25">
      <c r="A12" s="1">
        <v>3</v>
      </c>
      <c r="B12" s="3">
        <f t="shared" si="5"/>
        <v>22.626865671641792</v>
      </c>
      <c r="C12" s="8"/>
      <c r="D12" s="3">
        <f t="shared" ref="D12:D21" si="8">+(D$4*A12)+D$5</f>
        <v>-3.6268656716417906</v>
      </c>
      <c r="F12" s="3">
        <f t="shared" si="6"/>
        <v>77.373134328358205</v>
      </c>
      <c r="G12" s="3">
        <f t="shared" si="0"/>
        <v>26.253731343283583</v>
      </c>
      <c r="H12" s="3">
        <f t="shared" si="1"/>
        <v>-3.6268656716417906</v>
      </c>
      <c r="I12" s="3"/>
      <c r="J12" s="1">
        <v>3</v>
      </c>
      <c r="K12" s="3">
        <f t="shared" ref="K12:K75" si="9">+(B$4*J12)+B$5</f>
        <v>22.626865671641792</v>
      </c>
      <c r="L12" s="8"/>
      <c r="M12" s="3">
        <f t="shared" si="2"/>
        <v>-3.6268656716417906</v>
      </c>
      <c r="O12" s="3">
        <f t="shared" si="3"/>
        <v>77.373134328358205</v>
      </c>
      <c r="P12" s="3">
        <f t="shared" si="7"/>
        <v>26.253731343283583</v>
      </c>
      <c r="Q12" s="3">
        <f t="shared" si="4"/>
        <v>-3.6268656716417906</v>
      </c>
    </row>
    <row r="13" spans="1:17" x14ac:dyDescent="0.25">
      <c r="A13" s="1">
        <v>4</v>
      </c>
      <c r="B13" s="3">
        <f t="shared" si="5"/>
        <v>23.835820895522389</v>
      </c>
      <c r="C13" s="8"/>
      <c r="D13" s="3">
        <f t="shared" si="8"/>
        <v>-2.4179104477611935</v>
      </c>
      <c r="F13" s="3">
        <f t="shared" si="6"/>
        <v>76.164179104477611</v>
      </c>
      <c r="G13" s="3">
        <f t="shared" si="0"/>
        <v>26.253731343283583</v>
      </c>
      <c r="H13" s="3">
        <f t="shared" si="1"/>
        <v>-2.4179104477611935</v>
      </c>
      <c r="I13" s="3"/>
      <c r="J13" s="1">
        <v>4</v>
      </c>
      <c r="K13" s="3">
        <f t="shared" si="9"/>
        <v>23.835820895522389</v>
      </c>
      <c r="L13" s="8"/>
      <c r="M13" s="3">
        <f t="shared" si="2"/>
        <v>-2.4179104477611935</v>
      </c>
      <c r="O13" s="3">
        <f t="shared" si="3"/>
        <v>76.164179104477611</v>
      </c>
      <c r="P13" s="3">
        <f t="shared" si="7"/>
        <v>26.253731343283583</v>
      </c>
      <c r="Q13" s="3">
        <f t="shared" si="4"/>
        <v>-2.4179104477611935</v>
      </c>
    </row>
    <row r="14" spans="1:17" x14ac:dyDescent="0.25">
      <c r="A14" s="1">
        <v>5</v>
      </c>
      <c r="B14" s="3">
        <f t="shared" si="5"/>
        <v>25.044776119402986</v>
      </c>
      <c r="C14" s="8"/>
      <c r="D14" s="3">
        <f t="shared" si="8"/>
        <v>-1.2089552238805963</v>
      </c>
      <c r="F14" s="3">
        <f t="shared" si="6"/>
        <v>74.955223880597018</v>
      </c>
      <c r="G14" s="3">
        <f t="shared" si="0"/>
        <v>26.253731343283583</v>
      </c>
      <c r="H14" s="3">
        <f t="shared" si="1"/>
        <v>-1.2089552238805963</v>
      </c>
      <c r="I14" s="3"/>
      <c r="J14" s="1">
        <v>5</v>
      </c>
      <c r="K14" s="3">
        <f t="shared" si="9"/>
        <v>25.044776119402986</v>
      </c>
      <c r="L14" s="8"/>
      <c r="M14" s="3">
        <f t="shared" si="2"/>
        <v>-1.2089552238805963</v>
      </c>
      <c r="O14" s="3">
        <f t="shared" si="3"/>
        <v>74.955223880597018</v>
      </c>
      <c r="P14" s="3">
        <f t="shared" si="7"/>
        <v>26.253731343283583</v>
      </c>
      <c r="Q14" s="3">
        <f t="shared" si="4"/>
        <v>-1.2089552238805963</v>
      </c>
    </row>
    <row r="15" spans="1:17" x14ac:dyDescent="0.25">
      <c r="A15" s="1">
        <v>6</v>
      </c>
      <c r="B15" s="3">
        <f t="shared" si="5"/>
        <v>26.253731343283583</v>
      </c>
      <c r="C15" s="8"/>
      <c r="D15" s="3">
        <f t="shared" si="8"/>
        <v>0</v>
      </c>
      <c r="F15" s="3">
        <f t="shared" si="6"/>
        <v>73.74626865671641</v>
      </c>
      <c r="G15" s="3">
        <f t="shared" si="0"/>
        <v>26.253731343283583</v>
      </c>
      <c r="H15" s="3">
        <f t="shared" si="1"/>
        <v>0</v>
      </c>
      <c r="I15" s="3"/>
      <c r="J15" s="1">
        <v>6</v>
      </c>
      <c r="K15" s="3">
        <f t="shared" si="9"/>
        <v>26.253731343283583</v>
      </c>
      <c r="L15" s="8"/>
      <c r="M15" s="3">
        <f t="shared" si="2"/>
        <v>0</v>
      </c>
      <c r="O15" s="3">
        <f t="shared" si="3"/>
        <v>73.74626865671641</v>
      </c>
      <c r="P15" s="3">
        <f t="shared" si="7"/>
        <v>26.253731343283583</v>
      </c>
      <c r="Q15" s="3">
        <f t="shared" si="4"/>
        <v>0</v>
      </c>
    </row>
    <row r="16" spans="1:17" x14ac:dyDescent="0.25">
      <c r="A16" s="1">
        <v>7</v>
      </c>
      <c r="B16" s="3">
        <f t="shared" si="5"/>
        <v>27.462686567164177</v>
      </c>
      <c r="C16" s="8"/>
      <c r="D16" s="3">
        <f t="shared" si="8"/>
        <v>1.2089552238805972</v>
      </c>
      <c r="F16" s="3">
        <f t="shared" si="6"/>
        <v>72.537313432835816</v>
      </c>
      <c r="G16" s="3">
        <f t="shared" si="0"/>
        <v>26.253731343283579</v>
      </c>
      <c r="H16" s="3">
        <f t="shared" si="1"/>
        <v>1.2089552238805972</v>
      </c>
      <c r="I16" s="3"/>
      <c r="J16" s="1">
        <v>7</v>
      </c>
      <c r="K16" s="3">
        <f t="shared" si="9"/>
        <v>27.462686567164177</v>
      </c>
      <c r="L16" s="8"/>
      <c r="M16" s="3">
        <f>+(D$4*J16)+D$5</f>
        <v>1.2089552238805972</v>
      </c>
      <c r="O16" s="3">
        <f t="shared" si="3"/>
        <v>72.537313432835816</v>
      </c>
      <c r="P16" s="3">
        <f t="shared" si="7"/>
        <v>26.253731343283579</v>
      </c>
      <c r="Q16" s="3">
        <f t="shared" si="4"/>
        <v>1.2089552238805972</v>
      </c>
    </row>
    <row r="17" spans="1:17" x14ac:dyDescent="0.25">
      <c r="A17" s="1">
        <v>8</v>
      </c>
      <c r="B17" s="3">
        <f t="shared" si="5"/>
        <v>28.671641791044777</v>
      </c>
      <c r="C17" s="8"/>
      <c r="D17" s="3">
        <f t="shared" si="8"/>
        <v>2.4179104477611943</v>
      </c>
      <c r="F17" s="3">
        <f t="shared" si="6"/>
        <v>71.328358208955223</v>
      </c>
      <c r="G17" s="3">
        <f t="shared" si="0"/>
        <v>26.253731343283583</v>
      </c>
      <c r="H17" s="3">
        <f t="shared" si="1"/>
        <v>2.4179104477611943</v>
      </c>
      <c r="I17" s="3"/>
      <c r="J17" s="1">
        <v>8</v>
      </c>
      <c r="K17" s="3">
        <f t="shared" si="9"/>
        <v>28.671641791044777</v>
      </c>
      <c r="L17" s="8"/>
      <c r="M17" s="3">
        <f t="shared" ref="M17:M80" si="10">+(D$4*J17)+D$5</f>
        <v>2.4179104477611943</v>
      </c>
      <c r="O17" s="3">
        <f t="shared" si="3"/>
        <v>71.328358208955223</v>
      </c>
      <c r="P17" s="3">
        <f t="shared" si="7"/>
        <v>26.253731343283583</v>
      </c>
      <c r="Q17" s="3">
        <f t="shared" si="4"/>
        <v>2.4179104477611943</v>
      </c>
    </row>
    <row r="18" spans="1:17" x14ac:dyDescent="0.25">
      <c r="A18" s="1">
        <v>9</v>
      </c>
      <c r="B18" s="5">
        <v>16</v>
      </c>
      <c r="C18" s="8"/>
      <c r="D18" s="3">
        <f t="shared" si="8"/>
        <v>3.6268656716417915</v>
      </c>
      <c r="F18" s="3">
        <f t="shared" si="6"/>
        <v>84</v>
      </c>
      <c r="G18" s="3">
        <f t="shared" si="0"/>
        <v>12.373134328358208</v>
      </c>
      <c r="H18" s="3">
        <f t="shared" si="1"/>
        <v>3.6268656716417915</v>
      </c>
      <c r="I18" s="3"/>
      <c r="J18" s="1">
        <v>9</v>
      </c>
      <c r="K18" s="3">
        <f t="shared" si="9"/>
        <v>29.880597014925371</v>
      </c>
      <c r="L18" s="8"/>
      <c r="M18" s="3">
        <f t="shared" si="10"/>
        <v>3.6268656716417915</v>
      </c>
      <c r="O18" s="3">
        <v>84</v>
      </c>
      <c r="P18" s="3">
        <f t="shared" si="7"/>
        <v>26.253731343283579</v>
      </c>
      <c r="Q18" s="3">
        <f t="shared" si="4"/>
        <v>3.6268656716417915</v>
      </c>
    </row>
    <row r="19" spans="1:17" x14ac:dyDescent="0.25">
      <c r="A19" s="1">
        <v>10</v>
      </c>
      <c r="B19" s="3">
        <v>16</v>
      </c>
      <c r="C19" s="3"/>
      <c r="D19" s="3">
        <f t="shared" si="8"/>
        <v>4.8358208955223887</v>
      </c>
      <c r="F19" s="3">
        <f t="shared" si="6"/>
        <v>84</v>
      </c>
      <c r="G19" s="3">
        <f t="shared" si="0"/>
        <v>11.164179104477611</v>
      </c>
      <c r="H19" s="3">
        <f t="shared" si="1"/>
        <v>4.8358208955223887</v>
      </c>
      <c r="I19" s="3"/>
      <c r="J19" s="1">
        <v>10</v>
      </c>
      <c r="K19" s="3">
        <f t="shared" si="9"/>
        <v>31.089552238805972</v>
      </c>
      <c r="L19" s="3"/>
      <c r="M19" s="3">
        <f t="shared" si="10"/>
        <v>4.8358208955223887</v>
      </c>
      <c r="O19" s="3">
        <v>84</v>
      </c>
      <c r="P19" s="3">
        <f t="shared" si="7"/>
        <v>26.253731343283583</v>
      </c>
      <c r="Q19" s="3">
        <f t="shared" si="4"/>
        <v>4.8358208955223887</v>
      </c>
    </row>
    <row r="20" spans="1:17" x14ac:dyDescent="0.25">
      <c r="A20" s="1">
        <v>11</v>
      </c>
      <c r="B20" s="3">
        <v>16</v>
      </c>
      <c r="C20" s="3"/>
      <c r="D20" s="3">
        <f t="shared" si="8"/>
        <v>6.0447761194029859</v>
      </c>
      <c r="F20" s="3">
        <f t="shared" si="6"/>
        <v>84</v>
      </c>
      <c r="G20" s="3">
        <f t="shared" si="0"/>
        <v>9.9552238805970141</v>
      </c>
      <c r="H20" s="3">
        <f t="shared" si="1"/>
        <v>6.0447761194029859</v>
      </c>
      <c r="I20" s="3"/>
      <c r="J20" s="1">
        <v>11</v>
      </c>
      <c r="K20" s="3">
        <f t="shared" si="9"/>
        <v>32.298507462686565</v>
      </c>
      <c r="L20" s="3"/>
      <c r="M20" s="3">
        <f t="shared" si="10"/>
        <v>6.0447761194029859</v>
      </c>
      <c r="O20" s="3">
        <v>84</v>
      </c>
      <c r="P20" s="3">
        <f t="shared" si="7"/>
        <v>26.253731343283579</v>
      </c>
      <c r="Q20" s="3">
        <f t="shared" si="4"/>
        <v>6.0447761194029859</v>
      </c>
    </row>
    <row r="21" spans="1:17" x14ac:dyDescent="0.25">
      <c r="A21" s="1">
        <v>12</v>
      </c>
      <c r="B21" s="3">
        <v>16</v>
      </c>
      <c r="C21" s="3"/>
      <c r="D21" s="3">
        <f t="shared" si="8"/>
        <v>7.2537313432835813</v>
      </c>
      <c r="F21" s="3">
        <f t="shared" si="6"/>
        <v>84</v>
      </c>
      <c r="G21" s="3">
        <f t="shared" si="0"/>
        <v>8.7462686567164187</v>
      </c>
      <c r="H21" s="3">
        <f t="shared" si="1"/>
        <v>7.2537313432835813</v>
      </c>
      <c r="I21" s="3"/>
      <c r="J21" s="1">
        <v>12</v>
      </c>
      <c r="K21" s="3">
        <f t="shared" si="9"/>
        <v>33.507462686567166</v>
      </c>
      <c r="L21" s="3"/>
      <c r="M21" s="3">
        <f t="shared" si="10"/>
        <v>7.2537313432835813</v>
      </c>
      <c r="O21" s="3">
        <v>84</v>
      </c>
      <c r="P21" s="3">
        <f t="shared" si="7"/>
        <v>26.253731343283583</v>
      </c>
      <c r="Q21" s="3">
        <f t="shared" si="4"/>
        <v>7.2537313432835813</v>
      </c>
    </row>
    <row r="22" spans="1:17" x14ac:dyDescent="0.25">
      <c r="A22" s="1">
        <v>13</v>
      </c>
      <c r="B22" s="3">
        <v>16</v>
      </c>
      <c r="C22" s="3"/>
      <c r="D22" s="5">
        <v>16</v>
      </c>
      <c r="F22" s="3">
        <f t="shared" si="6"/>
        <v>84</v>
      </c>
      <c r="G22" s="3">
        <f t="shared" si="0"/>
        <v>0</v>
      </c>
      <c r="H22" s="3">
        <f t="shared" si="1"/>
        <v>16</v>
      </c>
      <c r="I22" s="3"/>
      <c r="J22" s="1">
        <v>13</v>
      </c>
      <c r="K22" s="3">
        <f t="shared" si="9"/>
        <v>34.71641791044776</v>
      </c>
      <c r="L22" s="3"/>
      <c r="M22" s="3">
        <f t="shared" si="10"/>
        <v>8.4626865671641784</v>
      </c>
      <c r="O22" s="3">
        <v>84</v>
      </c>
      <c r="P22" s="3">
        <f t="shared" si="7"/>
        <v>26.253731343283583</v>
      </c>
      <c r="Q22" s="3">
        <f t="shared" si="4"/>
        <v>8.4626865671641784</v>
      </c>
    </row>
    <row r="23" spans="1:17" x14ac:dyDescent="0.25">
      <c r="A23" s="1">
        <v>14</v>
      </c>
      <c r="B23" s="3">
        <v>16</v>
      </c>
      <c r="C23" s="3"/>
      <c r="D23" s="3">
        <v>16</v>
      </c>
      <c r="F23" s="3">
        <f t="shared" si="6"/>
        <v>84</v>
      </c>
      <c r="G23" s="3">
        <f t="shared" si="0"/>
        <v>0</v>
      </c>
      <c r="H23" s="3">
        <f t="shared" si="1"/>
        <v>16</v>
      </c>
      <c r="I23" s="3"/>
      <c r="J23" s="1">
        <v>14</v>
      </c>
      <c r="K23" s="3">
        <f t="shared" si="9"/>
        <v>35.925373134328353</v>
      </c>
      <c r="L23" s="3"/>
      <c r="M23" s="3">
        <f t="shared" si="10"/>
        <v>9.6716417910447756</v>
      </c>
      <c r="O23" s="3">
        <v>84</v>
      </c>
      <c r="P23" s="3">
        <f t="shared" si="7"/>
        <v>26.253731343283576</v>
      </c>
      <c r="Q23" s="3">
        <f t="shared" si="4"/>
        <v>9.6716417910447756</v>
      </c>
    </row>
    <row r="24" spans="1:17" x14ac:dyDescent="0.25">
      <c r="A24" s="1">
        <v>15</v>
      </c>
      <c r="B24" s="3">
        <v>16</v>
      </c>
      <c r="C24" s="3"/>
      <c r="D24" s="3">
        <v>16</v>
      </c>
      <c r="F24" s="3">
        <f t="shared" si="6"/>
        <v>84</v>
      </c>
      <c r="G24" s="3">
        <f t="shared" si="0"/>
        <v>0</v>
      </c>
      <c r="H24" s="3">
        <f t="shared" si="1"/>
        <v>16</v>
      </c>
      <c r="I24" s="3"/>
      <c r="J24" s="1">
        <v>15</v>
      </c>
      <c r="K24" s="3">
        <f t="shared" si="9"/>
        <v>37.134328358208954</v>
      </c>
      <c r="L24" s="3"/>
      <c r="M24" s="3">
        <f t="shared" si="10"/>
        <v>10.880597014925373</v>
      </c>
      <c r="O24" s="3">
        <v>84</v>
      </c>
      <c r="P24" s="3">
        <f t="shared" si="7"/>
        <v>26.253731343283583</v>
      </c>
      <c r="Q24" s="3">
        <f t="shared" si="4"/>
        <v>10.880597014925373</v>
      </c>
    </row>
    <row r="25" spans="1:17" x14ac:dyDescent="0.25">
      <c r="A25" s="1">
        <v>16</v>
      </c>
      <c r="B25" s="3">
        <v>16</v>
      </c>
      <c r="C25" s="5"/>
      <c r="D25" s="3">
        <v>16</v>
      </c>
      <c r="F25" s="3">
        <f t="shared" si="6"/>
        <v>84</v>
      </c>
      <c r="G25" s="3">
        <f t="shared" si="0"/>
        <v>0</v>
      </c>
      <c r="H25" s="3">
        <f t="shared" si="1"/>
        <v>16</v>
      </c>
      <c r="I25" s="3"/>
      <c r="J25" s="1">
        <v>16</v>
      </c>
      <c r="K25" s="3">
        <f t="shared" si="9"/>
        <v>38.343283582089555</v>
      </c>
      <c r="L25" s="5"/>
      <c r="M25" s="3">
        <f t="shared" si="10"/>
        <v>12.08955223880597</v>
      </c>
      <c r="O25" s="3">
        <v>84</v>
      </c>
      <c r="P25" s="3">
        <f t="shared" si="7"/>
        <v>26.253731343283583</v>
      </c>
      <c r="Q25" s="3">
        <f t="shared" si="4"/>
        <v>12.08955223880597</v>
      </c>
    </row>
    <row r="26" spans="1:17" x14ac:dyDescent="0.25">
      <c r="J26" s="1">
        <v>17</v>
      </c>
      <c r="K26" s="3">
        <f t="shared" si="9"/>
        <v>39.552238805970148</v>
      </c>
      <c r="M26" s="3">
        <f t="shared" si="10"/>
        <v>13.298507462686567</v>
      </c>
      <c r="O26" s="3">
        <v>84</v>
      </c>
      <c r="P26" s="3">
        <f t="shared" si="7"/>
        <v>26.253731343283583</v>
      </c>
      <c r="Q26" s="3">
        <f t="shared" si="4"/>
        <v>13.298507462686567</v>
      </c>
    </row>
    <row r="27" spans="1:17" x14ac:dyDescent="0.25">
      <c r="J27" s="1">
        <v>18</v>
      </c>
      <c r="K27" s="3">
        <f t="shared" si="9"/>
        <v>40.761194029850742</v>
      </c>
      <c r="M27" s="3">
        <f t="shared" si="10"/>
        <v>14.507462686567164</v>
      </c>
      <c r="O27" s="3">
        <v>84</v>
      </c>
      <c r="P27" s="3">
        <f t="shared" si="7"/>
        <v>26.253731343283576</v>
      </c>
      <c r="Q27" s="3">
        <f t="shared" si="4"/>
        <v>14.507462686567164</v>
      </c>
    </row>
    <row r="28" spans="1:17" x14ac:dyDescent="0.25">
      <c r="A28" s="6" t="s">
        <v>18</v>
      </c>
      <c r="B28" s="9"/>
      <c r="C28" s="9"/>
      <c r="D28" s="3"/>
      <c r="E28" s="3"/>
      <c r="F28" s="3"/>
      <c r="G28" s="3"/>
      <c r="H28" s="3"/>
      <c r="I28" s="3"/>
      <c r="J28" s="1">
        <v>19</v>
      </c>
      <c r="K28" s="3">
        <f t="shared" si="9"/>
        <v>41.970149253731343</v>
      </c>
      <c r="L28" s="3"/>
      <c r="M28" s="3">
        <f t="shared" si="10"/>
        <v>15.716417910447761</v>
      </c>
      <c r="O28" s="3">
        <v>84</v>
      </c>
      <c r="P28" s="3">
        <f t="shared" si="7"/>
        <v>26.253731343283583</v>
      </c>
      <c r="Q28" s="3">
        <f t="shared" si="4"/>
        <v>15.716417910447761</v>
      </c>
    </row>
    <row r="29" spans="1:17" x14ac:dyDescent="0.25">
      <c r="A29" s="16"/>
      <c r="B29" s="12" t="s">
        <v>23</v>
      </c>
      <c r="D29" s="9"/>
      <c r="E29" s="3"/>
      <c r="F29" s="3"/>
      <c r="G29" s="3"/>
      <c r="H29" s="3"/>
      <c r="I29" s="3"/>
      <c r="J29" s="1">
        <v>20</v>
      </c>
      <c r="K29" s="3">
        <f t="shared" si="9"/>
        <v>43.179104477611943</v>
      </c>
      <c r="L29" s="3"/>
      <c r="M29" s="3">
        <f t="shared" si="10"/>
        <v>16.92537313432836</v>
      </c>
      <c r="O29" s="3">
        <v>84</v>
      </c>
      <c r="P29" s="3">
        <f t="shared" si="7"/>
        <v>26.253731343283583</v>
      </c>
      <c r="Q29" s="3">
        <f t="shared" si="4"/>
        <v>16.92537313432836</v>
      </c>
    </row>
    <row r="30" spans="1:17" x14ac:dyDescent="0.25">
      <c r="A30" s="16">
        <v>6.6</v>
      </c>
      <c r="B30" s="9" t="s">
        <v>20</v>
      </c>
      <c r="D30" s="3">
        <f>'Risk Trade-Off Parameters'!C11/(1-'Risk Trade-Off Parameters'!C5)</f>
        <v>-2.1972245773362196</v>
      </c>
      <c r="E30" s="3">
        <v>0</v>
      </c>
      <c r="F30" s="3"/>
      <c r="G30" s="3"/>
      <c r="H30" s="3"/>
      <c r="I30" s="3"/>
      <c r="J30" s="1">
        <v>21</v>
      </c>
      <c r="K30" s="3">
        <f t="shared" si="9"/>
        <v>44.388059701492537</v>
      </c>
      <c r="L30" s="3"/>
      <c r="M30" s="3">
        <f t="shared" si="10"/>
        <v>18.134328358208954</v>
      </c>
      <c r="O30" s="3">
        <v>84</v>
      </c>
      <c r="P30" s="3">
        <f t="shared" si="7"/>
        <v>26.253731343283583</v>
      </c>
      <c r="Q30" s="3">
        <f t="shared" si="4"/>
        <v>18.134328358208954</v>
      </c>
    </row>
    <row r="31" spans="1:17" x14ac:dyDescent="0.25">
      <c r="A31" s="16">
        <v>6.8</v>
      </c>
      <c r="B31" s="9" t="s">
        <v>21</v>
      </c>
      <c r="D31" s="3">
        <f>(('Risk Trade-Off Parameters'!C11-(16*LN('Risk Trade-Off Parameters'!C5)))/(1-'Risk Trade-Off Parameters'!C5))</f>
        <v>8.8931303116229046</v>
      </c>
      <c r="E31" s="3">
        <f>FTmax</f>
        <v>16</v>
      </c>
      <c r="F31" s="3"/>
      <c r="G31" s="3"/>
      <c r="H31" s="3"/>
      <c r="I31" s="3"/>
      <c r="J31" s="1">
        <v>22</v>
      </c>
      <c r="K31" s="3">
        <f t="shared" si="9"/>
        <v>45.597014925373131</v>
      </c>
      <c r="L31" s="3"/>
      <c r="M31" s="3">
        <f t="shared" si="10"/>
        <v>19.343283582089555</v>
      </c>
      <c r="O31" s="3">
        <v>84</v>
      </c>
      <c r="P31" s="3">
        <f t="shared" si="7"/>
        <v>26.253731343283576</v>
      </c>
      <c r="Q31" s="3">
        <f t="shared" si="4"/>
        <v>19.343283582089555</v>
      </c>
    </row>
    <row r="32" spans="1:17" x14ac:dyDescent="0.25">
      <c r="A32" s="17">
        <v>6.1</v>
      </c>
      <c r="B32" s="9" t="s">
        <v>17</v>
      </c>
      <c r="D32" s="3">
        <v>0</v>
      </c>
      <c r="E32" s="3">
        <f>'Risk Trade-Off Parameters'!C11/LN('Risk Trade-Off Parameters'!C5)</f>
        <v>3.1699250014423126</v>
      </c>
      <c r="F32" s="3"/>
      <c r="G32" s="3"/>
      <c r="H32" s="3"/>
      <c r="I32" s="3"/>
      <c r="J32" s="1">
        <v>23</v>
      </c>
      <c r="K32" s="3">
        <f t="shared" si="9"/>
        <v>46.805970149253731</v>
      </c>
      <c r="L32" s="3"/>
      <c r="M32" s="3">
        <f t="shared" si="10"/>
        <v>20.552238805970148</v>
      </c>
      <c r="O32" s="3">
        <v>84</v>
      </c>
      <c r="P32" s="3">
        <f t="shared" si="7"/>
        <v>26.253731343283583</v>
      </c>
      <c r="Q32" s="3">
        <f t="shared" si="4"/>
        <v>20.552238805970148</v>
      </c>
    </row>
    <row r="33" spans="1:17" x14ac:dyDescent="0.25">
      <c r="A33" s="16">
        <v>6.12</v>
      </c>
      <c r="B33" s="9" t="s">
        <v>22</v>
      </c>
      <c r="D33" s="3">
        <f>FTmax</f>
        <v>16</v>
      </c>
      <c r="E33" s="3">
        <f>('Risk Trade-Off Parameters'!C11-(16*(1-'Risk Trade-Off Parameters'!C5)))/LN('Risk Trade-Off Parameters'!C5)</f>
        <v>26.253045655665726</v>
      </c>
      <c r="F33" s="3"/>
      <c r="G33" s="3"/>
      <c r="H33" s="3"/>
      <c r="I33" s="3"/>
      <c r="J33" s="1">
        <v>24</v>
      </c>
      <c r="K33" s="3">
        <f t="shared" si="9"/>
        <v>48.014925373134325</v>
      </c>
      <c r="L33" s="3"/>
      <c r="M33" s="3">
        <f t="shared" si="10"/>
        <v>21.761194029850742</v>
      </c>
      <c r="O33" s="3">
        <v>84</v>
      </c>
      <c r="P33" s="3">
        <f t="shared" si="7"/>
        <v>26.253731343283583</v>
      </c>
      <c r="Q33" s="3">
        <f t="shared" si="4"/>
        <v>21.761194029850742</v>
      </c>
    </row>
    <row r="34" spans="1:17" x14ac:dyDescent="0.25">
      <c r="A34" s="16"/>
      <c r="B34" s="4" t="s">
        <v>15</v>
      </c>
      <c r="C34" s="3">
        <f>+(E33-E32)/(D33-D32)</f>
        <v>1.4426950408889634</v>
      </c>
      <c r="D34" s="3"/>
      <c r="E34" s="3"/>
      <c r="F34" s="3"/>
      <c r="G34" s="3"/>
      <c r="H34" s="3"/>
      <c r="I34" s="3"/>
      <c r="J34" s="1">
        <v>25</v>
      </c>
      <c r="K34" s="3">
        <f t="shared" si="9"/>
        <v>49.223880597014926</v>
      </c>
      <c r="L34" s="3"/>
      <c r="M34" s="3">
        <f t="shared" si="10"/>
        <v>22.970149253731343</v>
      </c>
      <c r="O34" s="3">
        <v>84</v>
      </c>
      <c r="P34" s="3">
        <f t="shared" si="7"/>
        <v>26.253731343283583</v>
      </c>
      <c r="Q34" s="3">
        <f t="shared" si="4"/>
        <v>22.970149253731343</v>
      </c>
    </row>
    <row r="35" spans="1:17" x14ac:dyDescent="0.25">
      <c r="A35" s="16"/>
      <c r="B35" s="4"/>
      <c r="C35" s="3"/>
      <c r="D35" s="3"/>
      <c r="E35" s="3"/>
      <c r="F35" s="3"/>
      <c r="G35" s="3"/>
      <c r="H35" s="3"/>
      <c r="I35" s="3"/>
      <c r="J35" s="1">
        <v>26</v>
      </c>
      <c r="K35" s="3">
        <f t="shared" si="9"/>
        <v>50.432835820895519</v>
      </c>
      <c r="L35" s="3"/>
      <c r="M35" s="3">
        <f t="shared" si="10"/>
        <v>24.179104477611936</v>
      </c>
      <c r="O35" s="3">
        <v>84</v>
      </c>
      <c r="P35" s="3">
        <f t="shared" si="7"/>
        <v>26.253731343283583</v>
      </c>
      <c r="Q35" s="3">
        <f t="shared" si="4"/>
        <v>24.179104477611936</v>
      </c>
    </row>
    <row r="36" spans="1:17" x14ac:dyDescent="0.25">
      <c r="B36" s="12" t="s">
        <v>19</v>
      </c>
      <c r="D36" s="11" t="s">
        <v>24</v>
      </c>
      <c r="E36" s="15" t="s">
        <v>25</v>
      </c>
      <c r="F36" s="3"/>
      <c r="G36" s="3"/>
      <c r="H36" s="3"/>
      <c r="I36" s="3"/>
      <c r="J36" s="1">
        <v>27</v>
      </c>
      <c r="K36" s="3">
        <f t="shared" si="9"/>
        <v>51.64179104477612</v>
      </c>
      <c r="L36" s="3"/>
      <c r="M36" s="3">
        <f t="shared" si="10"/>
        <v>25.388059701492537</v>
      </c>
      <c r="O36" s="3">
        <v>84</v>
      </c>
      <c r="P36" s="3">
        <f t="shared" si="7"/>
        <v>26.253731343283583</v>
      </c>
      <c r="Q36" s="3">
        <f t="shared" si="4"/>
        <v>25.388059701492537</v>
      </c>
    </row>
    <row r="37" spans="1:17" x14ac:dyDescent="0.25">
      <c r="A37" s="16">
        <v>6.5</v>
      </c>
      <c r="B37" s="9" t="s">
        <v>20</v>
      </c>
      <c r="D37" s="3">
        <f>'Risk Trade-Off Parameters'!C9/(1-'Risk Trade-Off Parameters'!C5)</f>
        <v>2.1972245773362191</v>
      </c>
      <c r="E37" s="3">
        <v>0</v>
      </c>
      <c r="F37" s="3"/>
      <c r="G37" s="3"/>
      <c r="H37" s="3"/>
      <c r="I37" s="3"/>
      <c r="J37" s="1">
        <v>28</v>
      </c>
      <c r="K37" s="3">
        <f t="shared" si="9"/>
        <v>52.850746268656714</v>
      </c>
      <c r="L37" s="3"/>
      <c r="M37" s="3">
        <f t="shared" si="10"/>
        <v>26.597014925373131</v>
      </c>
      <c r="O37" s="3">
        <v>84</v>
      </c>
      <c r="P37" s="3">
        <f t="shared" si="7"/>
        <v>26.253731343283583</v>
      </c>
      <c r="Q37" s="3">
        <f t="shared" si="4"/>
        <v>26.597014925373131</v>
      </c>
    </row>
    <row r="38" spans="1:17" x14ac:dyDescent="0.25">
      <c r="A38" s="16">
        <v>6.7</v>
      </c>
      <c r="B38" s="9" t="s">
        <v>21</v>
      </c>
      <c r="D38" s="3">
        <f>(('Risk Trade-Off Parameters'!C9-(16*LN('Risk Trade-Off Parameters'!C5)))/(1-'Risk Trade-Off Parameters'!C5))</f>
        <v>13.287579466295345</v>
      </c>
      <c r="E38" s="3">
        <f>FCmax</f>
        <v>16</v>
      </c>
      <c r="F38" s="3"/>
      <c r="G38" s="3"/>
      <c r="H38" s="3"/>
      <c r="I38" s="3"/>
      <c r="J38" s="1">
        <v>29</v>
      </c>
      <c r="K38" s="3">
        <f t="shared" si="9"/>
        <v>54.059701492537314</v>
      </c>
      <c r="L38" s="3"/>
      <c r="M38" s="3">
        <f t="shared" si="10"/>
        <v>27.805970149253731</v>
      </c>
      <c r="O38" s="3">
        <v>84</v>
      </c>
      <c r="P38" s="3">
        <f t="shared" si="7"/>
        <v>26.253731343283583</v>
      </c>
      <c r="Q38" s="3">
        <f t="shared" si="4"/>
        <v>27.805970149253731</v>
      </c>
    </row>
    <row r="39" spans="1:17" x14ac:dyDescent="0.25">
      <c r="A39" s="16">
        <v>6.9</v>
      </c>
      <c r="B39" s="9" t="s">
        <v>17</v>
      </c>
      <c r="D39" s="3">
        <v>0</v>
      </c>
      <c r="E39" s="3">
        <f>'Risk Trade-Off Parameters'!C9/LN('Risk Trade-Off Parameters'!C5)</f>
        <v>-3.1699250014423122</v>
      </c>
      <c r="F39" s="3"/>
      <c r="G39" s="3"/>
      <c r="H39" s="3"/>
      <c r="I39" s="3"/>
      <c r="J39" s="1">
        <v>30</v>
      </c>
      <c r="K39" s="3">
        <f t="shared" si="9"/>
        <v>55.268656716417908</v>
      </c>
      <c r="L39" s="3"/>
      <c r="M39" s="3">
        <f t="shared" si="10"/>
        <v>29.014925373134325</v>
      </c>
      <c r="O39" s="3">
        <v>84</v>
      </c>
      <c r="P39" s="3">
        <f t="shared" si="7"/>
        <v>26.253731343283583</v>
      </c>
      <c r="Q39" s="3">
        <f t="shared" si="4"/>
        <v>29.014925373134325</v>
      </c>
    </row>
    <row r="40" spans="1:17" x14ac:dyDescent="0.25">
      <c r="A40" s="16">
        <v>6.11</v>
      </c>
      <c r="B40" s="9" t="s">
        <v>22</v>
      </c>
      <c r="D40" s="3">
        <f>FCmax</f>
        <v>16</v>
      </c>
      <c r="E40" s="3">
        <f>('Risk Trade-Off Parameters'!C9-(16*(1-'Risk Trade-Off Parameters'!C5)))/LN('Risk Trade-Off Parameters'!C5)</f>
        <v>19.913195652781106</v>
      </c>
      <c r="F40" s="3"/>
      <c r="G40" s="3"/>
      <c r="H40" s="3"/>
      <c r="I40" s="3"/>
      <c r="J40" s="1">
        <v>31</v>
      </c>
      <c r="K40" s="3">
        <f t="shared" si="9"/>
        <v>56.477611940298509</v>
      </c>
      <c r="L40" s="3"/>
      <c r="M40" s="3">
        <f t="shared" si="10"/>
        <v>30.223880597014926</v>
      </c>
      <c r="O40" s="3">
        <v>84</v>
      </c>
      <c r="P40" s="3">
        <f t="shared" si="7"/>
        <v>26.253731343283583</v>
      </c>
      <c r="Q40" s="3">
        <f t="shared" si="4"/>
        <v>30.223880597014926</v>
      </c>
    </row>
    <row r="41" spans="1:17" x14ac:dyDescent="0.25">
      <c r="A41" s="16"/>
      <c r="B41" s="4" t="s">
        <v>15</v>
      </c>
      <c r="C41" s="3">
        <f>+(E40-E39)/(D40-D39)</f>
        <v>1.4426950408889636</v>
      </c>
      <c r="D41" s="3"/>
      <c r="E41" s="3"/>
      <c r="F41" s="3"/>
      <c r="G41" s="3"/>
      <c r="H41" s="3"/>
      <c r="I41" s="3"/>
      <c r="J41" s="1">
        <v>32</v>
      </c>
      <c r="K41" s="3">
        <f t="shared" si="9"/>
        <v>57.686567164179102</v>
      </c>
      <c r="L41" s="3"/>
      <c r="M41" s="3">
        <f t="shared" si="10"/>
        <v>31.432835820895519</v>
      </c>
      <c r="O41" s="3">
        <v>84</v>
      </c>
      <c r="P41" s="3">
        <f t="shared" si="7"/>
        <v>26.253731343283583</v>
      </c>
      <c r="Q41" s="3">
        <f t="shared" si="4"/>
        <v>31.432835820895519</v>
      </c>
    </row>
    <row r="42" spans="1:17" x14ac:dyDescent="0.25">
      <c r="A42" s="16"/>
      <c r="B42" s="9"/>
      <c r="D42" s="3"/>
      <c r="E42" s="3"/>
      <c r="F42" s="3"/>
      <c r="G42" s="3"/>
      <c r="H42" s="3"/>
      <c r="I42" s="3"/>
      <c r="J42" s="1">
        <v>33</v>
      </c>
      <c r="K42" s="3">
        <f t="shared" si="9"/>
        <v>58.895522388059696</v>
      </c>
      <c r="L42" s="3"/>
      <c r="M42" s="3">
        <f t="shared" si="10"/>
        <v>32.641791044776113</v>
      </c>
      <c r="O42" s="3">
        <v>84</v>
      </c>
      <c r="P42" s="3">
        <f t="shared" si="7"/>
        <v>26.253731343283583</v>
      </c>
      <c r="Q42" s="3">
        <f t="shared" si="4"/>
        <v>32.641791044776113</v>
      </c>
    </row>
    <row r="43" spans="1:17" x14ac:dyDescent="0.25">
      <c r="B43" s="12" t="s">
        <v>32</v>
      </c>
      <c r="D43" s="3"/>
      <c r="E43" s="3"/>
      <c r="F43" s="3"/>
      <c r="G43" s="3"/>
      <c r="H43" s="3"/>
      <c r="I43" s="3"/>
      <c r="J43" s="1">
        <v>34</v>
      </c>
      <c r="K43" s="3">
        <f t="shared" si="9"/>
        <v>60.104477611940297</v>
      </c>
      <c r="L43" s="3"/>
      <c r="M43" s="3">
        <f t="shared" si="10"/>
        <v>33.850746268656714</v>
      </c>
      <c r="O43" s="3">
        <v>84</v>
      </c>
      <c r="P43" s="3">
        <f t="shared" si="7"/>
        <v>26.253731343283583</v>
      </c>
      <c r="Q43" s="3">
        <f t="shared" si="4"/>
        <v>33.850746268656714</v>
      </c>
    </row>
    <row r="44" spans="1:17" x14ac:dyDescent="0.25">
      <c r="D44">
        <v>0</v>
      </c>
      <c r="E44">
        <f>FCmax</f>
        <v>16</v>
      </c>
      <c r="J44" s="1">
        <v>35</v>
      </c>
      <c r="K44" s="3">
        <f t="shared" si="9"/>
        <v>61.31343283582089</v>
      </c>
      <c r="M44" s="3">
        <f t="shared" si="10"/>
        <v>35.059701492537307</v>
      </c>
      <c r="O44" s="3">
        <v>84</v>
      </c>
      <c r="P44" s="3">
        <f t="shared" si="7"/>
        <v>26.253731343283583</v>
      </c>
      <c r="Q44" s="3">
        <f t="shared" si="4"/>
        <v>35.059701492537307</v>
      </c>
    </row>
    <row r="45" spans="1:17" x14ac:dyDescent="0.25">
      <c r="D45">
        <f>FTmax</f>
        <v>16</v>
      </c>
      <c r="E45">
        <f>FCmax</f>
        <v>16</v>
      </c>
      <c r="J45" s="1">
        <v>36</v>
      </c>
      <c r="K45" s="3">
        <f t="shared" si="9"/>
        <v>62.522388059701491</v>
      </c>
      <c r="M45" s="3">
        <f t="shared" si="10"/>
        <v>36.268656716417908</v>
      </c>
      <c r="O45" s="3">
        <v>84</v>
      </c>
      <c r="P45" s="3">
        <f t="shared" si="7"/>
        <v>26.253731343283583</v>
      </c>
      <c r="Q45" s="3">
        <f t="shared" si="4"/>
        <v>36.268656716417908</v>
      </c>
    </row>
    <row r="46" spans="1:17" x14ac:dyDescent="0.25">
      <c r="B46" s="12" t="s">
        <v>33</v>
      </c>
      <c r="J46" s="1">
        <v>37</v>
      </c>
      <c r="K46" s="3">
        <f t="shared" si="9"/>
        <v>63.731343283582085</v>
      </c>
      <c r="M46" s="3">
        <f t="shared" si="10"/>
        <v>37.477611940298502</v>
      </c>
      <c r="O46" s="3">
        <v>84</v>
      </c>
      <c r="P46" s="3">
        <f t="shared" si="7"/>
        <v>26.253731343283583</v>
      </c>
      <c r="Q46" s="3">
        <f t="shared" si="4"/>
        <v>37.477611940298502</v>
      </c>
    </row>
    <row r="47" spans="1:17" x14ac:dyDescent="0.25">
      <c r="D47">
        <f>FTmax</f>
        <v>16</v>
      </c>
      <c r="E47">
        <v>0</v>
      </c>
      <c r="J47" s="1">
        <v>38</v>
      </c>
      <c r="K47" s="3">
        <f t="shared" si="9"/>
        <v>64.940298507462686</v>
      </c>
      <c r="M47" s="3">
        <f t="shared" si="10"/>
        <v>38.686567164179102</v>
      </c>
      <c r="O47" s="3">
        <v>84</v>
      </c>
      <c r="P47" s="3">
        <f t="shared" si="7"/>
        <v>26.253731343283583</v>
      </c>
      <c r="Q47" s="3">
        <f t="shared" si="4"/>
        <v>38.686567164179102</v>
      </c>
    </row>
    <row r="48" spans="1:17" x14ac:dyDescent="0.25">
      <c r="D48">
        <f>FTmax</f>
        <v>16</v>
      </c>
      <c r="E48">
        <f>FCmax</f>
        <v>16</v>
      </c>
      <c r="J48" s="1">
        <v>39</v>
      </c>
      <c r="K48" s="3">
        <f t="shared" si="9"/>
        <v>66.149253731343279</v>
      </c>
      <c r="M48" s="3">
        <f t="shared" si="10"/>
        <v>39.895522388059696</v>
      </c>
      <c r="O48" s="3">
        <v>84</v>
      </c>
      <c r="P48" s="3">
        <f t="shared" si="7"/>
        <v>26.253731343283583</v>
      </c>
      <c r="Q48" s="3">
        <f t="shared" si="4"/>
        <v>39.895522388059696</v>
      </c>
    </row>
    <row r="49" spans="1:17" x14ac:dyDescent="0.25">
      <c r="B49" s="9"/>
      <c r="C49" s="9"/>
      <c r="D49" s="3"/>
      <c r="E49" s="3"/>
      <c r="F49" s="3"/>
      <c r="G49" s="3"/>
      <c r="H49" s="3"/>
      <c r="I49" s="3"/>
      <c r="J49" s="1">
        <v>40</v>
      </c>
      <c r="K49" s="3">
        <f t="shared" si="9"/>
        <v>67.358208955223887</v>
      </c>
      <c r="L49" s="3"/>
      <c r="M49" s="3">
        <f t="shared" si="10"/>
        <v>41.104477611940297</v>
      </c>
      <c r="O49" s="3">
        <v>84</v>
      </c>
      <c r="P49" s="3">
        <f t="shared" si="7"/>
        <v>26.25373134328359</v>
      </c>
      <c r="Q49" s="3">
        <f t="shared" si="4"/>
        <v>41.104477611940297</v>
      </c>
    </row>
    <row r="50" spans="1:17" x14ac:dyDescent="0.25">
      <c r="A50" s="6" t="s">
        <v>37</v>
      </c>
      <c r="J50" s="1">
        <v>41</v>
      </c>
      <c r="K50" s="3">
        <f t="shared" si="9"/>
        <v>68.567164179104481</v>
      </c>
      <c r="M50" s="3">
        <f t="shared" si="10"/>
        <v>42.31343283582089</v>
      </c>
      <c r="O50" s="3">
        <v>84</v>
      </c>
      <c r="P50" s="3">
        <f t="shared" si="7"/>
        <v>26.25373134328359</v>
      </c>
      <c r="Q50" s="3">
        <f t="shared" si="4"/>
        <v>42.31343283582089</v>
      </c>
    </row>
    <row r="51" spans="1:17" x14ac:dyDescent="0.25">
      <c r="D51" s="11" t="s">
        <v>24</v>
      </c>
      <c r="E51" s="15" t="s">
        <v>25</v>
      </c>
      <c r="G51" s="10" t="s">
        <v>39</v>
      </c>
      <c r="H51" s="10" t="s">
        <v>40</v>
      </c>
      <c r="J51" s="1">
        <v>42</v>
      </c>
      <c r="K51" s="3">
        <f t="shared" si="9"/>
        <v>69.776119402985074</v>
      </c>
      <c r="M51" s="3">
        <f t="shared" si="10"/>
        <v>43.522388059701491</v>
      </c>
      <c r="O51" s="3">
        <v>84</v>
      </c>
      <c r="P51" s="3">
        <f t="shared" si="7"/>
        <v>26.253731343283583</v>
      </c>
      <c r="Q51" s="3">
        <f t="shared" si="4"/>
        <v>43.522388059701491</v>
      </c>
    </row>
    <row r="52" spans="1:17" x14ac:dyDescent="0.25">
      <c r="D52" s="3">
        <f t="shared" ref="D52:D68" si="11">(E52-RejectYint)/RejectSlope</f>
        <v>-2.1972245773362196</v>
      </c>
      <c r="E52" s="2">
        <v>0</v>
      </c>
      <c r="G52" s="1">
        <v>0</v>
      </c>
      <c r="H52" s="3">
        <f t="shared" ref="H52:H68" si="12">(RejectSlope*G52)+RejectYint</f>
        <v>3.1699250014423126</v>
      </c>
      <c r="J52" s="1">
        <v>43</v>
      </c>
      <c r="K52" s="3">
        <f t="shared" si="9"/>
        <v>70.985074626865668</v>
      </c>
      <c r="M52" s="3">
        <f t="shared" si="10"/>
        <v>44.731343283582085</v>
      </c>
      <c r="O52" s="3">
        <v>84</v>
      </c>
      <c r="P52" s="3">
        <f t="shared" si="7"/>
        <v>26.253731343283583</v>
      </c>
      <c r="Q52" s="3">
        <f t="shared" si="4"/>
        <v>44.731343283582085</v>
      </c>
    </row>
    <row r="53" spans="1:17" x14ac:dyDescent="0.25">
      <c r="D53" s="3">
        <f t="shared" si="11"/>
        <v>-1.5040773967762742</v>
      </c>
      <c r="E53" s="2">
        <v>1</v>
      </c>
      <c r="G53" s="1">
        <v>1</v>
      </c>
      <c r="H53" s="3">
        <f t="shared" si="12"/>
        <v>4.612620042331276</v>
      </c>
      <c r="J53" s="1">
        <v>44</v>
      </c>
      <c r="K53" s="3">
        <f t="shared" si="9"/>
        <v>72.194029850746261</v>
      </c>
      <c r="M53" s="3">
        <f t="shared" si="10"/>
        <v>45.940298507462686</v>
      </c>
      <c r="O53" s="3">
        <v>84</v>
      </c>
      <c r="P53" s="3">
        <f t="shared" si="7"/>
        <v>26.253731343283576</v>
      </c>
      <c r="Q53" s="3">
        <f t="shared" si="4"/>
        <v>45.940298507462686</v>
      </c>
    </row>
    <row r="54" spans="1:17" x14ac:dyDescent="0.25">
      <c r="D54" s="3">
        <f t="shared" si="11"/>
        <v>-0.81093021621632899</v>
      </c>
      <c r="E54" s="2">
        <v>2</v>
      </c>
      <c r="G54" s="1">
        <v>2</v>
      </c>
      <c r="H54" s="3">
        <f t="shared" si="12"/>
        <v>6.0553150832202398</v>
      </c>
      <c r="J54" s="1">
        <v>45</v>
      </c>
      <c r="K54" s="3">
        <f t="shared" si="9"/>
        <v>73.402985074626855</v>
      </c>
      <c r="M54" s="3">
        <f t="shared" si="10"/>
        <v>47.149253731343279</v>
      </c>
      <c r="O54" s="3">
        <v>84</v>
      </c>
      <c r="P54" s="3">
        <f t="shared" si="7"/>
        <v>26.253731343283576</v>
      </c>
      <c r="Q54" s="3">
        <f t="shared" si="4"/>
        <v>47.149253731343279</v>
      </c>
    </row>
    <row r="55" spans="1:17" x14ac:dyDescent="0.25">
      <c r="D55" s="3">
        <f t="shared" si="11"/>
        <v>-0.11778303565638362</v>
      </c>
      <c r="E55" s="2">
        <v>3</v>
      </c>
      <c r="G55" s="1">
        <v>3</v>
      </c>
      <c r="H55" s="3">
        <f t="shared" si="12"/>
        <v>7.4980101241092019</v>
      </c>
      <c r="J55" s="1">
        <v>46</v>
      </c>
      <c r="K55" s="3">
        <f t="shared" si="9"/>
        <v>74.611940298507463</v>
      </c>
      <c r="M55" s="3">
        <f t="shared" si="10"/>
        <v>48.35820895522388</v>
      </c>
      <c r="O55" s="3">
        <v>84</v>
      </c>
      <c r="P55" s="3">
        <f t="shared" si="7"/>
        <v>26.253731343283583</v>
      </c>
      <c r="Q55" s="3">
        <f t="shared" si="4"/>
        <v>48.35820895522388</v>
      </c>
    </row>
    <row r="56" spans="1:17" x14ac:dyDescent="0.25">
      <c r="D56" s="3">
        <f t="shared" si="11"/>
        <v>0.57536414490356169</v>
      </c>
      <c r="E56" s="2">
        <v>4</v>
      </c>
      <c r="G56" s="1">
        <v>4</v>
      </c>
      <c r="H56" s="3">
        <f t="shared" si="12"/>
        <v>8.9407051649981657</v>
      </c>
      <c r="J56" s="1">
        <v>47</v>
      </c>
      <c r="K56" s="3">
        <f t="shared" si="9"/>
        <v>75.820895522388057</v>
      </c>
      <c r="M56" s="3">
        <f t="shared" si="10"/>
        <v>49.567164179104473</v>
      </c>
      <c r="O56" s="3">
        <v>84</v>
      </c>
      <c r="P56" s="3">
        <f t="shared" si="7"/>
        <v>26.253731343283583</v>
      </c>
      <c r="Q56" s="3">
        <f t="shared" si="4"/>
        <v>49.567164179104473</v>
      </c>
    </row>
    <row r="57" spans="1:17" x14ac:dyDescent="0.25">
      <c r="D57" s="3">
        <f t="shared" si="11"/>
        <v>1.268511325463507</v>
      </c>
      <c r="E57" s="2">
        <v>5</v>
      </c>
      <c r="G57" s="1">
        <v>5</v>
      </c>
      <c r="H57" s="3">
        <f t="shared" si="12"/>
        <v>10.38340020588713</v>
      </c>
      <c r="J57" s="1">
        <v>48</v>
      </c>
      <c r="K57" s="3">
        <f t="shared" si="9"/>
        <v>77.02985074626865</v>
      </c>
      <c r="M57" s="3">
        <f t="shared" si="10"/>
        <v>50.776119402985067</v>
      </c>
      <c r="O57" s="3">
        <v>84</v>
      </c>
      <c r="P57" s="3">
        <f t="shared" si="7"/>
        <v>26.253731343283583</v>
      </c>
      <c r="Q57" s="3">
        <f t="shared" si="4"/>
        <v>50.776119402985067</v>
      </c>
    </row>
    <row r="58" spans="1:17" x14ac:dyDescent="0.25">
      <c r="D58" s="3">
        <f t="shared" si="11"/>
        <v>1.9616585060234524</v>
      </c>
      <c r="E58" s="2">
        <v>6</v>
      </c>
      <c r="G58" s="1">
        <v>6</v>
      </c>
      <c r="H58" s="3">
        <f t="shared" si="12"/>
        <v>11.826095246776092</v>
      </c>
      <c r="J58" s="1">
        <v>49</v>
      </c>
      <c r="K58" s="3">
        <f t="shared" si="9"/>
        <v>78.238805970149258</v>
      </c>
      <c r="M58" s="3">
        <f t="shared" si="10"/>
        <v>51.985074626865668</v>
      </c>
      <c r="O58" s="3">
        <v>84</v>
      </c>
      <c r="P58" s="3">
        <f t="shared" si="7"/>
        <v>26.25373134328359</v>
      </c>
      <c r="Q58" s="3">
        <f t="shared" si="4"/>
        <v>51.985074626865668</v>
      </c>
    </row>
    <row r="59" spans="1:17" x14ac:dyDescent="0.25">
      <c r="D59" s="3">
        <f t="shared" si="11"/>
        <v>2.6548056865833978</v>
      </c>
      <c r="E59" s="2">
        <v>7</v>
      </c>
      <c r="G59" s="1">
        <v>7</v>
      </c>
      <c r="H59" s="3">
        <f t="shared" si="12"/>
        <v>13.268790287665055</v>
      </c>
      <c r="J59" s="1">
        <v>50</v>
      </c>
      <c r="K59" s="3">
        <f t="shared" si="9"/>
        <v>79.447761194029852</v>
      </c>
      <c r="M59" s="3">
        <f t="shared" si="10"/>
        <v>53.194029850746261</v>
      </c>
      <c r="O59" s="3">
        <v>84</v>
      </c>
      <c r="P59" s="3">
        <f t="shared" si="7"/>
        <v>26.25373134328359</v>
      </c>
      <c r="Q59" s="3">
        <f t="shared" si="4"/>
        <v>53.194029850746261</v>
      </c>
    </row>
    <row r="60" spans="1:17" x14ac:dyDescent="0.25">
      <c r="D60" s="3">
        <f t="shared" si="11"/>
        <v>3.3479528671433432</v>
      </c>
      <c r="E60" s="2">
        <v>8</v>
      </c>
      <c r="G60" s="1">
        <v>8</v>
      </c>
      <c r="H60" s="3">
        <f t="shared" si="12"/>
        <v>14.711485328554019</v>
      </c>
      <c r="J60" s="1">
        <v>51</v>
      </c>
      <c r="K60" s="3">
        <f t="shared" si="9"/>
        <v>80.656716417910445</v>
      </c>
      <c r="M60" s="3">
        <f t="shared" si="10"/>
        <v>54.402985074626862</v>
      </c>
      <c r="O60" s="3">
        <v>84</v>
      </c>
      <c r="P60" s="3">
        <f t="shared" si="7"/>
        <v>26.253731343283583</v>
      </c>
      <c r="Q60" s="3">
        <f t="shared" si="4"/>
        <v>54.402985074626862</v>
      </c>
    </row>
    <row r="61" spans="1:17" x14ac:dyDescent="0.25">
      <c r="D61" s="3">
        <f t="shared" si="11"/>
        <v>4.0411000477032886</v>
      </c>
      <c r="E61" s="2">
        <v>9</v>
      </c>
      <c r="G61" s="1">
        <v>9</v>
      </c>
      <c r="H61" s="3">
        <f t="shared" si="12"/>
        <v>16.154180369442983</v>
      </c>
      <c r="J61" s="1">
        <v>52</v>
      </c>
      <c r="K61" s="3">
        <f t="shared" si="9"/>
        <v>81.865671641791039</v>
      </c>
      <c r="M61" s="3">
        <f t="shared" si="10"/>
        <v>55.611940298507456</v>
      </c>
      <c r="O61" s="3">
        <v>84</v>
      </c>
      <c r="P61" s="3">
        <f t="shared" si="7"/>
        <v>26.253731343283583</v>
      </c>
      <c r="Q61" s="3">
        <f t="shared" si="4"/>
        <v>55.611940298507456</v>
      </c>
    </row>
    <row r="62" spans="1:17" x14ac:dyDescent="0.25">
      <c r="D62" s="3">
        <f t="shared" si="11"/>
        <v>4.734247228263234</v>
      </c>
      <c r="E62" s="2">
        <v>10</v>
      </c>
      <c r="G62" s="1">
        <v>10</v>
      </c>
      <c r="H62" s="3">
        <f t="shared" si="12"/>
        <v>17.596875410331947</v>
      </c>
      <c r="J62" s="1">
        <v>53</v>
      </c>
      <c r="K62" s="3">
        <f t="shared" si="9"/>
        <v>83.074626865671632</v>
      </c>
      <c r="M62" s="3">
        <f t="shared" si="10"/>
        <v>56.820895522388049</v>
      </c>
      <c r="O62" s="3">
        <v>84</v>
      </c>
      <c r="P62" s="3">
        <f t="shared" si="7"/>
        <v>26.253731343283583</v>
      </c>
      <c r="Q62" s="3">
        <f t="shared" si="4"/>
        <v>56.820895522388049</v>
      </c>
    </row>
    <row r="63" spans="1:17" x14ac:dyDescent="0.25">
      <c r="D63" s="3">
        <f t="shared" si="11"/>
        <v>5.4273944088231794</v>
      </c>
      <c r="E63" s="2">
        <v>11</v>
      </c>
      <c r="G63" s="1">
        <v>11</v>
      </c>
      <c r="H63" s="3">
        <f t="shared" si="12"/>
        <v>19.039570451220911</v>
      </c>
      <c r="J63" s="1">
        <v>54</v>
      </c>
      <c r="K63" s="3">
        <f t="shared" si="9"/>
        <v>84.28358208955224</v>
      </c>
      <c r="M63" s="3">
        <f t="shared" si="10"/>
        <v>58.029850746268657</v>
      </c>
      <c r="O63" s="3">
        <v>84</v>
      </c>
      <c r="P63" s="3">
        <f t="shared" si="7"/>
        <v>26.253731343283583</v>
      </c>
      <c r="Q63" s="3">
        <f t="shared" si="4"/>
        <v>58.029850746268657</v>
      </c>
    </row>
    <row r="64" spans="1:17" x14ac:dyDescent="0.25">
      <c r="D64" s="3">
        <f t="shared" si="11"/>
        <v>6.1205415893831248</v>
      </c>
      <c r="E64" s="2">
        <v>12</v>
      </c>
      <c r="G64" s="1">
        <v>12</v>
      </c>
      <c r="H64" s="3">
        <f t="shared" si="12"/>
        <v>20.482265492109871</v>
      </c>
      <c r="J64" s="1">
        <v>55</v>
      </c>
      <c r="K64" s="3">
        <f t="shared" si="9"/>
        <v>85.492537313432834</v>
      </c>
      <c r="M64" s="3">
        <f t="shared" si="10"/>
        <v>59.238805970149251</v>
      </c>
      <c r="O64" s="3">
        <v>84</v>
      </c>
      <c r="P64" s="3">
        <f t="shared" si="7"/>
        <v>26.253731343283583</v>
      </c>
      <c r="Q64" s="3">
        <f t="shared" si="4"/>
        <v>59.238805970149251</v>
      </c>
    </row>
    <row r="65" spans="1:17" x14ac:dyDescent="0.25">
      <c r="D65" s="3">
        <f t="shared" si="11"/>
        <v>6.8136887699430702</v>
      </c>
      <c r="E65" s="2">
        <v>13</v>
      </c>
      <c r="G65" s="1">
        <v>13</v>
      </c>
      <c r="H65" s="3">
        <f t="shared" si="12"/>
        <v>21.924960532998835</v>
      </c>
      <c r="J65" s="1">
        <v>56</v>
      </c>
      <c r="K65" s="3">
        <f t="shared" si="9"/>
        <v>86.701492537313428</v>
      </c>
      <c r="M65" s="3">
        <f t="shared" si="10"/>
        <v>60.447761194029844</v>
      </c>
      <c r="O65" s="3">
        <v>84</v>
      </c>
      <c r="P65" s="3">
        <f t="shared" si="7"/>
        <v>26.253731343283583</v>
      </c>
      <c r="Q65" s="3">
        <f t="shared" si="4"/>
        <v>60.447761194029844</v>
      </c>
    </row>
    <row r="66" spans="1:17" x14ac:dyDescent="0.25">
      <c r="D66" s="3">
        <f t="shared" si="11"/>
        <v>7.5068359505030156</v>
      </c>
      <c r="E66" s="2">
        <v>14</v>
      </c>
      <c r="G66" s="1">
        <v>14</v>
      </c>
      <c r="H66" s="3">
        <f t="shared" si="12"/>
        <v>23.367655573887799</v>
      </c>
      <c r="J66" s="1">
        <v>57</v>
      </c>
      <c r="K66" s="3">
        <f t="shared" si="9"/>
        <v>87.910447761194021</v>
      </c>
      <c r="M66" s="3">
        <f t="shared" si="10"/>
        <v>61.656716417910438</v>
      </c>
      <c r="O66" s="3">
        <v>84</v>
      </c>
      <c r="P66" s="3">
        <f t="shared" si="7"/>
        <v>26.253731343283583</v>
      </c>
      <c r="Q66" s="3">
        <f t="shared" si="4"/>
        <v>61.656716417910438</v>
      </c>
    </row>
    <row r="67" spans="1:17" x14ac:dyDescent="0.25">
      <c r="D67" s="3">
        <f t="shared" si="11"/>
        <v>8.199983131062961</v>
      </c>
      <c r="E67" s="2">
        <v>15</v>
      </c>
      <c r="G67" s="1">
        <v>15</v>
      </c>
      <c r="H67" s="3">
        <f t="shared" si="12"/>
        <v>24.810350614776763</v>
      </c>
      <c r="J67" s="1">
        <v>58</v>
      </c>
      <c r="K67" s="3">
        <f t="shared" si="9"/>
        <v>89.119402985074629</v>
      </c>
      <c r="M67" s="3">
        <f t="shared" si="10"/>
        <v>62.865671641791046</v>
      </c>
      <c r="O67" s="3">
        <v>84</v>
      </c>
      <c r="P67" s="3">
        <f t="shared" si="7"/>
        <v>26.253731343283583</v>
      </c>
      <c r="Q67" s="3">
        <f t="shared" si="4"/>
        <v>62.865671641791046</v>
      </c>
    </row>
    <row r="68" spans="1:17" x14ac:dyDescent="0.25">
      <c r="D68" s="3">
        <f t="shared" si="11"/>
        <v>8.8931303116229063</v>
      </c>
      <c r="E68" s="2">
        <v>16</v>
      </c>
      <c r="G68" s="1">
        <v>16</v>
      </c>
      <c r="H68" s="3">
        <f t="shared" si="12"/>
        <v>26.253045655665726</v>
      </c>
      <c r="J68" s="1">
        <v>59</v>
      </c>
      <c r="K68" s="3">
        <f t="shared" si="9"/>
        <v>90.328358208955223</v>
      </c>
      <c r="M68" s="3">
        <f t="shared" si="10"/>
        <v>64.074626865671647</v>
      </c>
      <c r="O68" s="3">
        <v>84</v>
      </c>
      <c r="P68" s="3">
        <f t="shared" si="7"/>
        <v>26.253731343283576</v>
      </c>
      <c r="Q68" s="3">
        <f t="shared" si="4"/>
        <v>64.074626865671647</v>
      </c>
    </row>
    <row r="69" spans="1:17" x14ac:dyDescent="0.25">
      <c r="B69" s="1"/>
      <c r="D69" s="3"/>
      <c r="E69" s="3"/>
      <c r="H69" s="3"/>
      <c r="J69" s="1">
        <v>60</v>
      </c>
      <c r="K69" s="3">
        <f t="shared" si="9"/>
        <v>91.537313432835816</v>
      </c>
      <c r="M69" s="3">
        <f t="shared" si="10"/>
        <v>65.28358208955224</v>
      </c>
      <c r="O69" s="3">
        <v>84</v>
      </c>
      <c r="P69" s="3">
        <f t="shared" si="7"/>
        <v>26.253731343283576</v>
      </c>
      <c r="Q69" s="3">
        <f t="shared" si="4"/>
        <v>65.28358208955224</v>
      </c>
    </row>
    <row r="70" spans="1:17" x14ac:dyDescent="0.25">
      <c r="A70" s="6" t="s">
        <v>38</v>
      </c>
      <c r="H70" s="3"/>
      <c r="J70" s="1">
        <v>61</v>
      </c>
      <c r="K70" s="3">
        <f t="shared" si="9"/>
        <v>92.74626865671641</v>
      </c>
      <c r="M70" s="3">
        <f t="shared" si="10"/>
        <v>66.492537313432834</v>
      </c>
      <c r="O70" s="3">
        <v>84</v>
      </c>
      <c r="P70" s="3">
        <f t="shared" si="7"/>
        <v>26.253731343283576</v>
      </c>
      <c r="Q70" s="3">
        <f t="shared" si="4"/>
        <v>66.492537313432834</v>
      </c>
    </row>
    <row r="71" spans="1:17" x14ac:dyDescent="0.25">
      <c r="B71" s="10"/>
      <c r="D71" s="11" t="s">
        <v>24</v>
      </c>
      <c r="E71" s="15" t="s">
        <v>25</v>
      </c>
      <c r="G71" s="10" t="s">
        <v>39</v>
      </c>
      <c r="H71" s="57" t="s">
        <v>40</v>
      </c>
      <c r="J71" s="1">
        <v>62</v>
      </c>
      <c r="K71" s="3">
        <f t="shared" si="9"/>
        <v>93.955223880597018</v>
      </c>
      <c r="M71" s="3">
        <f t="shared" si="10"/>
        <v>67.701492537313442</v>
      </c>
      <c r="O71" s="3">
        <v>84</v>
      </c>
      <c r="P71" s="3">
        <f t="shared" si="7"/>
        <v>26.253731343283576</v>
      </c>
      <c r="Q71" s="3">
        <f t="shared" si="4"/>
        <v>67.701492537313442</v>
      </c>
    </row>
    <row r="72" spans="1:17" x14ac:dyDescent="0.25">
      <c r="D72" s="3">
        <f t="shared" ref="D72:D88" si="13">(E72-AcceptYint)/AcceptSlope</f>
        <v>2.1972245773362191</v>
      </c>
      <c r="E72" s="2">
        <v>0</v>
      </c>
      <c r="G72" s="1">
        <v>0</v>
      </c>
      <c r="H72" s="3">
        <f t="shared" ref="H72:H88" si="14">(AcceptSlope*G72)+AcceptYint</f>
        <v>-3.1699250014423122</v>
      </c>
      <c r="J72" s="1">
        <v>63</v>
      </c>
      <c r="K72" s="3">
        <f t="shared" si="9"/>
        <v>95.164179104477611</v>
      </c>
      <c r="M72" s="3">
        <f t="shared" si="10"/>
        <v>68.910447761194035</v>
      </c>
      <c r="O72" s="3">
        <v>84</v>
      </c>
      <c r="P72" s="3">
        <f t="shared" si="7"/>
        <v>26.253731343283576</v>
      </c>
      <c r="Q72" s="3">
        <f t="shared" si="4"/>
        <v>68.910447761194035</v>
      </c>
    </row>
    <row r="73" spans="1:17" x14ac:dyDescent="0.25">
      <c r="D73" s="3">
        <f t="shared" si="13"/>
        <v>2.8903717578961641</v>
      </c>
      <c r="E73" s="2">
        <v>1</v>
      </c>
      <c r="G73" s="1">
        <v>1</v>
      </c>
      <c r="H73" s="3">
        <f t="shared" si="14"/>
        <v>-1.7272299605533485</v>
      </c>
      <c r="J73" s="1">
        <v>64</v>
      </c>
      <c r="K73" s="3">
        <f t="shared" si="9"/>
        <v>96.373134328358205</v>
      </c>
      <c r="M73" s="3">
        <f t="shared" si="10"/>
        <v>70.119402985074629</v>
      </c>
      <c r="O73" s="3">
        <v>84</v>
      </c>
      <c r="P73" s="3">
        <f t="shared" si="7"/>
        <v>26.253731343283576</v>
      </c>
      <c r="Q73" s="3">
        <f t="shared" ref="Q73:Q109" si="15">M73</f>
        <v>70.119402985074629</v>
      </c>
    </row>
    <row r="74" spans="1:17" x14ac:dyDescent="0.25">
      <c r="D74" s="3">
        <f t="shared" si="13"/>
        <v>3.5835189384561095</v>
      </c>
      <c r="E74" s="2">
        <v>2</v>
      </c>
      <c r="G74" s="1">
        <v>2</v>
      </c>
      <c r="H74" s="3">
        <f t="shared" si="14"/>
        <v>-0.28453491966438493</v>
      </c>
      <c r="J74" s="1">
        <v>65</v>
      </c>
      <c r="K74" s="3">
        <f t="shared" si="9"/>
        <v>97.582089552238799</v>
      </c>
      <c r="M74" s="3">
        <f t="shared" si="10"/>
        <v>71.328358208955223</v>
      </c>
      <c r="O74" s="3">
        <v>84</v>
      </c>
      <c r="P74" s="3">
        <f t="shared" ref="P74:P109" si="16">+K74-M74</f>
        <v>26.253731343283576</v>
      </c>
      <c r="Q74" s="3">
        <f t="shared" si="15"/>
        <v>71.328358208955223</v>
      </c>
    </row>
    <row r="75" spans="1:17" x14ac:dyDescent="0.25">
      <c r="D75" s="3">
        <f t="shared" si="13"/>
        <v>4.2766661190160544</v>
      </c>
      <c r="E75" s="2">
        <v>3</v>
      </c>
      <c r="G75" s="1">
        <v>3</v>
      </c>
      <c r="H75" s="3">
        <f t="shared" si="14"/>
        <v>1.1581601212245785</v>
      </c>
      <c r="J75" s="1">
        <v>66</v>
      </c>
      <c r="K75" s="3">
        <f t="shared" si="9"/>
        <v>98.791044776119392</v>
      </c>
      <c r="M75" s="3">
        <f t="shared" si="10"/>
        <v>72.537313432835816</v>
      </c>
      <c r="O75" s="3">
        <v>84</v>
      </c>
      <c r="P75" s="3">
        <f t="shared" si="16"/>
        <v>26.253731343283576</v>
      </c>
      <c r="Q75" s="3">
        <f t="shared" si="15"/>
        <v>72.537313432835816</v>
      </c>
    </row>
    <row r="76" spans="1:17" x14ac:dyDescent="0.25">
      <c r="D76" s="3">
        <f t="shared" si="13"/>
        <v>4.9698132995759998</v>
      </c>
      <c r="E76" s="2">
        <v>4</v>
      </c>
      <c r="G76" s="1">
        <v>4</v>
      </c>
      <c r="H76" s="3">
        <f t="shared" si="14"/>
        <v>2.6008551621135423</v>
      </c>
      <c r="J76" s="1">
        <v>67</v>
      </c>
      <c r="K76" s="3">
        <f t="shared" ref="K76:K109" si="17">+(B$4*J76)+B$5</f>
        <v>100</v>
      </c>
      <c r="M76" s="3">
        <f t="shared" si="10"/>
        <v>73.746268656716424</v>
      </c>
      <c r="O76" s="3">
        <v>84</v>
      </c>
      <c r="P76" s="3">
        <f t="shared" si="16"/>
        <v>26.253731343283576</v>
      </c>
      <c r="Q76" s="3">
        <f t="shared" si="15"/>
        <v>73.746268656716424</v>
      </c>
    </row>
    <row r="77" spans="1:17" x14ac:dyDescent="0.25">
      <c r="D77" s="3">
        <f t="shared" si="13"/>
        <v>5.6629604801359452</v>
      </c>
      <c r="E77" s="2">
        <v>5</v>
      </c>
      <c r="G77" s="1">
        <v>5</v>
      </c>
      <c r="H77" s="3">
        <f t="shared" si="14"/>
        <v>4.0435502030025061</v>
      </c>
      <c r="J77" s="1">
        <v>68</v>
      </c>
      <c r="K77" s="3">
        <f t="shared" si="17"/>
        <v>101.20895522388059</v>
      </c>
      <c r="M77" s="3">
        <f t="shared" si="10"/>
        <v>74.955223880597018</v>
      </c>
      <c r="O77" s="3">
        <v>84</v>
      </c>
      <c r="P77" s="3">
        <f t="shared" si="16"/>
        <v>26.253731343283576</v>
      </c>
      <c r="Q77" s="3">
        <f t="shared" si="15"/>
        <v>74.955223880597018</v>
      </c>
    </row>
    <row r="78" spans="1:17" x14ac:dyDescent="0.25">
      <c r="D78" s="3">
        <f t="shared" si="13"/>
        <v>6.3561076606958906</v>
      </c>
      <c r="E78" s="2">
        <v>6</v>
      </c>
      <c r="G78" s="1">
        <v>6</v>
      </c>
      <c r="H78" s="3">
        <f t="shared" si="14"/>
        <v>5.4862452438914691</v>
      </c>
      <c r="J78" s="1">
        <v>69</v>
      </c>
      <c r="K78" s="3">
        <f t="shared" si="17"/>
        <v>102.41791044776119</v>
      </c>
      <c r="M78" s="3">
        <f t="shared" si="10"/>
        <v>76.164179104477611</v>
      </c>
      <c r="O78" s="3">
        <v>84</v>
      </c>
      <c r="P78" s="3">
        <f t="shared" si="16"/>
        <v>26.253731343283576</v>
      </c>
      <c r="Q78" s="3">
        <f t="shared" si="15"/>
        <v>76.164179104477611</v>
      </c>
    </row>
    <row r="79" spans="1:17" x14ac:dyDescent="0.25">
      <c r="D79" s="3">
        <f t="shared" si="13"/>
        <v>7.0492548412558351</v>
      </c>
      <c r="E79" s="2">
        <v>7</v>
      </c>
      <c r="G79" s="1">
        <v>7</v>
      </c>
      <c r="H79" s="3">
        <f t="shared" si="14"/>
        <v>6.9289402847804329</v>
      </c>
      <c r="J79" s="1">
        <v>70</v>
      </c>
      <c r="K79" s="3">
        <f t="shared" si="17"/>
        <v>103.62686567164178</v>
      </c>
      <c r="M79" s="3">
        <f t="shared" si="10"/>
        <v>77.373134328358205</v>
      </c>
      <c r="O79" s="3">
        <v>84</v>
      </c>
      <c r="P79" s="3">
        <f t="shared" si="16"/>
        <v>26.253731343283576</v>
      </c>
      <c r="Q79" s="3">
        <f t="shared" si="15"/>
        <v>77.373134328358205</v>
      </c>
    </row>
    <row r="80" spans="1:17" x14ac:dyDescent="0.25">
      <c r="D80" s="3">
        <f t="shared" si="13"/>
        <v>7.7424020218157805</v>
      </c>
      <c r="E80" s="2">
        <v>8</v>
      </c>
      <c r="G80" s="1">
        <v>8</v>
      </c>
      <c r="H80" s="3">
        <f t="shared" si="14"/>
        <v>8.3716353256693967</v>
      </c>
      <c r="J80" s="1">
        <v>71</v>
      </c>
      <c r="K80" s="3">
        <f t="shared" si="17"/>
        <v>104.83582089552239</v>
      </c>
      <c r="M80" s="3">
        <f t="shared" si="10"/>
        <v>78.582089552238813</v>
      </c>
      <c r="O80" s="3">
        <v>84</v>
      </c>
      <c r="P80" s="3">
        <f t="shared" si="16"/>
        <v>26.253731343283576</v>
      </c>
      <c r="Q80" s="3">
        <f t="shared" si="15"/>
        <v>78.582089552238813</v>
      </c>
    </row>
    <row r="81" spans="1:17" x14ac:dyDescent="0.25">
      <c r="D81" s="3">
        <f t="shared" si="13"/>
        <v>8.435549202375725</v>
      </c>
      <c r="E81" s="2">
        <v>9</v>
      </c>
      <c r="G81" s="1">
        <v>9</v>
      </c>
      <c r="H81" s="3">
        <f t="shared" si="14"/>
        <v>9.8143303665583606</v>
      </c>
      <c r="J81" s="1">
        <v>72</v>
      </c>
      <c r="K81" s="3">
        <f t="shared" si="17"/>
        <v>106.04477611940298</v>
      </c>
      <c r="M81" s="3">
        <f t="shared" ref="M81:M109" si="18">+(D$4*J81)+D$5</f>
        <v>79.791044776119406</v>
      </c>
      <c r="O81" s="3">
        <v>84</v>
      </c>
      <c r="P81" s="3">
        <f t="shared" si="16"/>
        <v>26.253731343283576</v>
      </c>
      <c r="Q81" s="3">
        <f t="shared" si="15"/>
        <v>79.791044776119406</v>
      </c>
    </row>
    <row r="82" spans="1:17" x14ac:dyDescent="0.25">
      <c r="D82" s="3">
        <f t="shared" si="13"/>
        <v>9.1286963829356704</v>
      </c>
      <c r="E82" s="2">
        <v>10</v>
      </c>
      <c r="G82" s="1">
        <v>10</v>
      </c>
      <c r="H82" s="3">
        <f t="shared" si="14"/>
        <v>11.257025407447324</v>
      </c>
      <c r="J82" s="1">
        <v>73</v>
      </c>
      <c r="K82" s="3">
        <f t="shared" si="17"/>
        <v>107.25373134328358</v>
      </c>
      <c r="M82" s="3">
        <f t="shared" si="18"/>
        <v>81</v>
      </c>
      <c r="O82" s="3">
        <v>84</v>
      </c>
      <c r="P82" s="3">
        <f t="shared" si="16"/>
        <v>26.253731343283576</v>
      </c>
      <c r="Q82" s="3">
        <f t="shared" si="15"/>
        <v>81</v>
      </c>
    </row>
    <row r="83" spans="1:17" x14ac:dyDescent="0.25">
      <c r="D83" s="3">
        <f t="shared" si="13"/>
        <v>9.8218435634956158</v>
      </c>
      <c r="E83" s="2">
        <v>11</v>
      </c>
      <c r="G83" s="1">
        <v>11</v>
      </c>
      <c r="H83" s="3">
        <f t="shared" si="14"/>
        <v>12.699720448336288</v>
      </c>
      <c r="J83" s="1">
        <v>74</v>
      </c>
      <c r="K83" s="3">
        <f t="shared" si="17"/>
        <v>108.46268656716417</v>
      </c>
      <c r="M83" s="3">
        <f t="shared" si="18"/>
        <v>82.208955223880594</v>
      </c>
      <c r="O83" s="3">
        <v>84</v>
      </c>
      <c r="P83" s="3">
        <f t="shared" si="16"/>
        <v>26.253731343283576</v>
      </c>
      <c r="Q83" s="3">
        <f t="shared" si="15"/>
        <v>82.208955223880594</v>
      </c>
    </row>
    <row r="84" spans="1:17" x14ac:dyDescent="0.25">
      <c r="D84" s="3">
        <f t="shared" si="13"/>
        <v>10.514990744055561</v>
      </c>
      <c r="E84" s="2">
        <v>12</v>
      </c>
      <c r="G84" s="1">
        <v>12</v>
      </c>
      <c r="H84" s="3">
        <f t="shared" si="14"/>
        <v>14.14241548922525</v>
      </c>
      <c r="J84" s="1">
        <v>75</v>
      </c>
      <c r="K84" s="3">
        <f t="shared" si="17"/>
        <v>109.67164179104478</v>
      </c>
      <c r="M84" s="3">
        <f t="shared" si="18"/>
        <v>83.417910447761201</v>
      </c>
      <c r="O84" s="3">
        <v>84</v>
      </c>
      <c r="P84" s="3">
        <f t="shared" si="16"/>
        <v>26.253731343283576</v>
      </c>
      <c r="Q84" s="3">
        <f t="shared" si="15"/>
        <v>83.417910447761201</v>
      </c>
    </row>
    <row r="85" spans="1:17" x14ac:dyDescent="0.25">
      <c r="D85" s="3">
        <f t="shared" si="13"/>
        <v>11.208137924615507</v>
      </c>
      <c r="E85" s="2">
        <v>13</v>
      </c>
      <c r="G85" s="1">
        <v>13</v>
      </c>
      <c r="H85" s="3">
        <f t="shared" si="14"/>
        <v>15.585110530114214</v>
      </c>
      <c r="J85" s="1">
        <v>76</v>
      </c>
      <c r="K85" s="3">
        <f t="shared" si="17"/>
        <v>110.88059701492537</v>
      </c>
      <c r="M85" s="3">
        <f t="shared" si="18"/>
        <v>84.626865671641795</v>
      </c>
      <c r="O85" s="3">
        <v>84</v>
      </c>
      <c r="P85" s="3">
        <f t="shared" si="16"/>
        <v>26.253731343283576</v>
      </c>
      <c r="Q85" s="3">
        <f t="shared" si="15"/>
        <v>84.626865671641795</v>
      </c>
    </row>
    <row r="86" spans="1:17" x14ac:dyDescent="0.25">
      <c r="D86" s="3">
        <f t="shared" si="13"/>
        <v>11.901285105175452</v>
      </c>
      <c r="E86" s="2">
        <v>14</v>
      </c>
      <c r="G86" s="1">
        <v>14</v>
      </c>
      <c r="H86" s="3">
        <f t="shared" si="14"/>
        <v>17.027805571003178</v>
      </c>
      <c r="J86" s="1">
        <v>77</v>
      </c>
      <c r="K86" s="3">
        <f t="shared" si="17"/>
        <v>112.08955223880596</v>
      </c>
      <c r="M86" s="3">
        <f t="shared" si="18"/>
        <v>85.835820895522389</v>
      </c>
      <c r="O86" s="3">
        <v>84</v>
      </c>
      <c r="P86" s="3">
        <f t="shared" si="16"/>
        <v>26.253731343283576</v>
      </c>
      <c r="Q86" s="3">
        <f t="shared" si="15"/>
        <v>85.835820895522389</v>
      </c>
    </row>
    <row r="87" spans="1:17" x14ac:dyDescent="0.25">
      <c r="D87" s="3">
        <f t="shared" si="13"/>
        <v>12.594432285735397</v>
      </c>
      <c r="E87" s="2">
        <v>15</v>
      </c>
      <c r="G87" s="1">
        <v>15</v>
      </c>
      <c r="H87" s="3">
        <f t="shared" si="14"/>
        <v>18.470500611892142</v>
      </c>
      <c r="J87" s="1">
        <v>78</v>
      </c>
      <c r="K87" s="3">
        <f t="shared" si="17"/>
        <v>113.29850746268656</v>
      </c>
      <c r="M87" s="3">
        <f t="shared" si="18"/>
        <v>87.044776119402982</v>
      </c>
      <c r="O87" s="3">
        <v>84</v>
      </c>
      <c r="P87" s="3">
        <f t="shared" si="16"/>
        <v>26.253731343283576</v>
      </c>
      <c r="Q87" s="3">
        <f t="shared" si="15"/>
        <v>87.044776119402982</v>
      </c>
    </row>
    <row r="88" spans="1:17" x14ac:dyDescent="0.25">
      <c r="D88" s="3">
        <f t="shared" si="13"/>
        <v>13.287579466295343</v>
      </c>
      <c r="E88" s="2">
        <v>16</v>
      </c>
      <c r="G88" s="1">
        <v>16</v>
      </c>
      <c r="H88" s="3">
        <f t="shared" si="14"/>
        <v>19.913195652781106</v>
      </c>
      <c r="J88" s="1">
        <v>79</v>
      </c>
      <c r="K88" s="3">
        <f t="shared" si="17"/>
        <v>114.50746268656717</v>
      </c>
      <c r="M88" s="3">
        <f t="shared" si="18"/>
        <v>88.25373134328359</v>
      </c>
      <c r="O88" s="3">
        <v>84</v>
      </c>
      <c r="P88" s="3">
        <f t="shared" si="16"/>
        <v>26.253731343283576</v>
      </c>
      <c r="Q88" s="3">
        <f t="shared" si="15"/>
        <v>88.25373134328359</v>
      </c>
    </row>
    <row r="89" spans="1:17" x14ac:dyDescent="0.25">
      <c r="J89" s="1">
        <v>80</v>
      </c>
      <c r="K89" s="3">
        <f t="shared" si="17"/>
        <v>115.71641791044776</v>
      </c>
      <c r="M89" s="3">
        <f t="shared" si="18"/>
        <v>89.462686567164184</v>
      </c>
      <c r="O89" s="3">
        <v>84</v>
      </c>
      <c r="P89" s="3">
        <f t="shared" si="16"/>
        <v>26.253731343283576</v>
      </c>
      <c r="Q89" s="3">
        <f t="shared" si="15"/>
        <v>89.462686567164184</v>
      </c>
    </row>
    <row r="90" spans="1:17" x14ac:dyDescent="0.25">
      <c r="A90" s="6" t="s">
        <v>51</v>
      </c>
      <c r="B90" s="37"/>
      <c r="C90" s="37"/>
      <c r="D90" s="37"/>
      <c r="E90" s="37"/>
      <c r="F90" s="37"/>
      <c r="G90" s="37"/>
      <c r="J90" s="1">
        <v>81</v>
      </c>
      <c r="K90" s="3">
        <f t="shared" si="17"/>
        <v>116.92537313432835</v>
      </c>
      <c r="M90" s="3">
        <f t="shared" si="18"/>
        <v>90.671641791044777</v>
      </c>
      <c r="O90" s="3">
        <v>84</v>
      </c>
      <c r="P90" s="3">
        <f t="shared" si="16"/>
        <v>26.253731343283576</v>
      </c>
      <c r="Q90" s="3">
        <f t="shared" si="15"/>
        <v>90.671641791044777</v>
      </c>
    </row>
    <row r="91" spans="1:17" x14ac:dyDescent="0.25">
      <c r="A91" s="44">
        <v>0</v>
      </c>
      <c r="B91" s="58">
        <v>0</v>
      </c>
      <c r="C91" s="37"/>
      <c r="D91" s="37"/>
      <c r="E91" s="37"/>
      <c r="F91" s="37"/>
      <c r="G91" s="37"/>
      <c r="J91" s="1">
        <v>82</v>
      </c>
      <c r="K91" s="3">
        <f t="shared" si="17"/>
        <v>118.13432835820895</v>
      </c>
      <c r="M91" s="3">
        <f t="shared" si="18"/>
        <v>91.880597014925371</v>
      </c>
      <c r="O91" s="3">
        <v>84</v>
      </c>
      <c r="P91" s="3">
        <f t="shared" si="16"/>
        <v>26.253731343283576</v>
      </c>
      <c r="Q91" s="3">
        <f t="shared" si="15"/>
        <v>91.880597014925371</v>
      </c>
    </row>
    <row r="92" spans="1:17" x14ac:dyDescent="0.25">
      <c r="A92" s="44">
        <v>1</v>
      </c>
      <c r="B92" s="58">
        <f>+A92*'Failure Data'!F$3</f>
        <v>1950</v>
      </c>
      <c r="C92" s="37"/>
      <c r="D92" s="37"/>
      <c r="E92" s="37"/>
      <c r="F92" s="37"/>
      <c r="J92" s="1">
        <v>83</v>
      </c>
      <c r="K92" s="3">
        <f t="shared" si="17"/>
        <v>119.34328358208954</v>
      </c>
      <c r="M92" s="3">
        <f t="shared" si="18"/>
        <v>93.089552238805965</v>
      </c>
      <c r="O92" s="3">
        <v>84</v>
      </c>
      <c r="P92" s="3">
        <f t="shared" si="16"/>
        <v>26.253731343283576</v>
      </c>
      <c r="Q92" s="3">
        <f t="shared" si="15"/>
        <v>93.089552238805965</v>
      </c>
    </row>
    <row r="93" spans="1:17" x14ac:dyDescent="0.25">
      <c r="A93" s="44">
        <v>2</v>
      </c>
      <c r="B93" s="58">
        <f>+A93*'Failure Data'!F$3</f>
        <v>3900</v>
      </c>
      <c r="C93" s="37"/>
      <c r="D93" s="37"/>
      <c r="E93" s="37"/>
      <c r="F93" s="37"/>
      <c r="J93" s="1">
        <v>84</v>
      </c>
      <c r="K93" s="3">
        <f t="shared" si="17"/>
        <v>120.55223880597015</v>
      </c>
      <c r="M93" s="3">
        <f t="shared" si="18"/>
        <v>94.298507462686572</v>
      </c>
      <c r="O93" s="3">
        <v>84</v>
      </c>
      <c r="P93" s="3">
        <f t="shared" si="16"/>
        <v>26.253731343283576</v>
      </c>
      <c r="Q93" s="3">
        <f t="shared" si="15"/>
        <v>94.298507462686572</v>
      </c>
    </row>
    <row r="94" spans="1:17" x14ac:dyDescent="0.25">
      <c r="A94" s="44">
        <v>3</v>
      </c>
      <c r="B94" s="58">
        <f>+A94*'Failure Data'!F$3</f>
        <v>5850</v>
      </c>
      <c r="C94" s="37"/>
      <c r="D94" s="37"/>
      <c r="E94" s="37"/>
      <c r="F94" s="37"/>
      <c r="J94" s="1">
        <v>85</v>
      </c>
      <c r="K94" s="3">
        <f t="shared" si="17"/>
        <v>121.76119402985074</v>
      </c>
      <c r="M94" s="3">
        <f t="shared" si="18"/>
        <v>95.507462686567166</v>
      </c>
      <c r="O94" s="3">
        <v>84</v>
      </c>
      <c r="P94" s="3">
        <f t="shared" si="16"/>
        <v>26.253731343283576</v>
      </c>
      <c r="Q94" s="3">
        <f t="shared" si="15"/>
        <v>95.507462686567166</v>
      </c>
    </row>
    <row r="95" spans="1:17" x14ac:dyDescent="0.25">
      <c r="A95" s="44">
        <v>4</v>
      </c>
      <c r="B95" s="58">
        <f>+A95*'Failure Data'!F$3</f>
        <v>7800</v>
      </c>
      <c r="C95" s="37"/>
      <c r="D95" s="37"/>
      <c r="E95" s="37"/>
      <c r="F95" s="37"/>
      <c r="J95" s="1">
        <v>86</v>
      </c>
      <c r="K95" s="3">
        <f t="shared" si="17"/>
        <v>122.97014925373134</v>
      </c>
      <c r="M95" s="3">
        <f t="shared" si="18"/>
        <v>96.71641791044776</v>
      </c>
      <c r="O95" s="3">
        <v>84</v>
      </c>
      <c r="P95" s="3">
        <f t="shared" si="16"/>
        <v>26.253731343283576</v>
      </c>
      <c r="Q95" s="3">
        <f t="shared" si="15"/>
        <v>96.71641791044776</v>
      </c>
    </row>
    <row r="96" spans="1:17" x14ac:dyDescent="0.25">
      <c r="A96" s="44">
        <v>5</v>
      </c>
      <c r="B96" s="58">
        <f>+A96*'Failure Data'!F$3</f>
        <v>9750</v>
      </c>
      <c r="C96" s="37"/>
      <c r="D96" s="37"/>
      <c r="E96" s="37"/>
      <c r="F96" s="37"/>
      <c r="J96" s="1">
        <v>87</v>
      </c>
      <c r="K96" s="3">
        <f t="shared" si="17"/>
        <v>124.17910447761193</v>
      </c>
      <c r="M96" s="3">
        <f t="shared" si="18"/>
        <v>97.925373134328353</v>
      </c>
      <c r="O96" s="3">
        <v>84</v>
      </c>
      <c r="P96" s="3">
        <f t="shared" si="16"/>
        <v>26.253731343283576</v>
      </c>
      <c r="Q96" s="3">
        <f t="shared" si="15"/>
        <v>97.925373134328353</v>
      </c>
    </row>
    <row r="97" spans="1:17" x14ac:dyDescent="0.25">
      <c r="A97" s="44">
        <v>6</v>
      </c>
      <c r="B97" s="58">
        <f>+A97*'Failure Data'!F$3</f>
        <v>11700</v>
      </c>
      <c r="C97" s="37"/>
      <c r="D97" s="37"/>
      <c r="E97" s="37"/>
      <c r="F97" s="37"/>
      <c r="J97" s="1">
        <v>88</v>
      </c>
      <c r="K97" s="3">
        <f t="shared" si="17"/>
        <v>125.38805970149254</v>
      </c>
      <c r="M97" s="3">
        <f t="shared" si="18"/>
        <v>99.134328358208961</v>
      </c>
      <c r="O97" s="3">
        <v>84</v>
      </c>
      <c r="P97" s="3">
        <f t="shared" si="16"/>
        <v>26.253731343283576</v>
      </c>
      <c r="Q97" s="3">
        <f t="shared" si="15"/>
        <v>99.134328358208961</v>
      </c>
    </row>
    <row r="98" spans="1:17" x14ac:dyDescent="0.25">
      <c r="A98" s="44">
        <v>7</v>
      </c>
      <c r="B98" s="58">
        <f>+A98*'Failure Data'!F$3</f>
        <v>13650</v>
      </c>
      <c r="C98" s="37"/>
      <c r="D98" s="37"/>
      <c r="E98" s="37"/>
      <c r="F98" s="37"/>
      <c r="J98" s="1">
        <v>89</v>
      </c>
      <c r="K98" s="3">
        <f t="shared" si="17"/>
        <v>126.59701492537313</v>
      </c>
      <c r="M98" s="3">
        <f t="shared" si="18"/>
        <v>100.34328358208955</v>
      </c>
      <c r="O98" s="3">
        <v>84</v>
      </c>
      <c r="P98" s="3">
        <f t="shared" si="16"/>
        <v>26.253731343283576</v>
      </c>
      <c r="Q98" s="3">
        <f t="shared" si="15"/>
        <v>100.34328358208955</v>
      </c>
    </row>
    <row r="99" spans="1:17" x14ac:dyDescent="0.25">
      <c r="A99" s="44">
        <v>8</v>
      </c>
      <c r="B99" s="58">
        <f>+A99*'Failure Data'!F$3</f>
        <v>15600</v>
      </c>
      <c r="C99" s="37"/>
      <c r="D99" s="37"/>
      <c r="E99" s="37"/>
      <c r="F99" s="37"/>
      <c r="J99" s="1">
        <v>90</v>
      </c>
      <c r="K99" s="3">
        <f t="shared" si="17"/>
        <v>127.80597014925372</v>
      </c>
      <c r="M99" s="3">
        <f t="shared" si="18"/>
        <v>101.55223880597015</v>
      </c>
      <c r="O99" s="3">
        <v>84</v>
      </c>
      <c r="P99" s="3">
        <f t="shared" si="16"/>
        <v>26.253731343283576</v>
      </c>
      <c r="Q99" s="3">
        <f t="shared" si="15"/>
        <v>101.55223880597015</v>
      </c>
    </row>
    <row r="100" spans="1:17" x14ac:dyDescent="0.25">
      <c r="A100" s="44">
        <v>9</v>
      </c>
      <c r="B100" s="58">
        <f>+A100*'Failure Data'!F$3</f>
        <v>17550</v>
      </c>
      <c r="C100" s="37"/>
      <c r="D100" s="37"/>
      <c r="E100" s="37"/>
      <c r="F100" s="37"/>
      <c r="J100" s="1">
        <v>91</v>
      </c>
      <c r="K100" s="3">
        <f t="shared" si="17"/>
        <v>129.0149253731343</v>
      </c>
      <c r="M100" s="3">
        <f t="shared" si="18"/>
        <v>102.76119402985074</v>
      </c>
      <c r="O100" s="3">
        <v>84</v>
      </c>
      <c r="P100" s="3">
        <f t="shared" si="16"/>
        <v>26.253731343283562</v>
      </c>
      <c r="Q100" s="3">
        <f t="shared" si="15"/>
        <v>102.76119402985074</v>
      </c>
    </row>
    <row r="101" spans="1:17" x14ac:dyDescent="0.25">
      <c r="A101" s="44">
        <v>10</v>
      </c>
      <c r="B101" s="58">
        <f>+A101*'Failure Data'!F$3</f>
        <v>19500</v>
      </c>
      <c r="C101" s="37"/>
      <c r="D101" s="37"/>
      <c r="E101" s="37"/>
      <c r="F101" s="37"/>
      <c r="J101" s="1">
        <v>92</v>
      </c>
      <c r="K101" s="3">
        <f t="shared" si="17"/>
        <v>130.22388059701493</v>
      </c>
      <c r="M101" s="3">
        <f t="shared" si="18"/>
        <v>103.97014925373135</v>
      </c>
      <c r="O101" s="3">
        <v>84</v>
      </c>
      <c r="P101" s="3">
        <f t="shared" si="16"/>
        <v>26.253731343283576</v>
      </c>
      <c r="Q101" s="3">
        <f t="shared" si="15"/>
        <v>103.97014925373135</v>
      </c>
    </row>
    <row r="102" spans="1:17" x14ac:dyDescent="0.25">
      <c r="A102" s="44">
        <v>11</v>
      </c>
      <c r="B102" s="58">
        <f>+A102*'Failure Data'!F$3</f>
        <v>21450</v>
      </c>
      <c r="C102" s="37"/>
      <c r="D102" s="37"/>
      <c r="E102" s="37"/>
      <c r="F102" s="37"/>
      <c r="J102" s="1">
        <v>93</v>
      </c>
      <c r="K102" s="3">
        <f t="shared" si="17"/>
        <v>131.43283582089552</v>
      </c>
      <c r="M102" s="3">
        <f t="shared" si="18"/>
        <v>105.17910447761194</v>
      </c>
      <c r="O102" s="3">
        <v>84</v>
      </c>
      <c r="P102" s="3">
        <f t="shared" si="16"/>
        <v>26.253731343283576</v>
      </c>
      <c r="Q102" s="3">
        <f t="shared" si="15"/>
        <v>105.17910447761194</v>
      </c>
    </row>
    <row r="103" spans="1:17" x14ac:dyDescent="0.25">
      <c r="A103" s="44">
        <v>12</v>
      </c>
      <c r="B103" s="58">
        <f>+A103*'Failure Data'!F$3</f>
        <v>23400</v>
      </c>
      <c r="C103" s="37"/>
      <c r="D103" s="37"/>
      <c r="E103" s="37"/>
      <c r="F103" s="37"/>
      <c r="J103" s="1">
        <v>94</v>
      </c>
      <c r="K103" s="3">
        <f t="shared" si="17"/>
        <v>132.64179104477611</v>
      </c>
      <c r="M103" s="3">
        <f t="shared" si="18"/>
        <v>106.38805970149254</v>
      </c>
      <c r="O103" s="3">
        <v>84</v>
      </c>
      <c r="P103" s="3">
        <f t="shared" si="16"/>
        <v>26.253731343283576</v>
      </c>
      <c r="Q103" s="3">
        <f t="shared" si="15"/>
        <v>106.38805970149254</v>
      </c>
    </row>
    <row r="104" spans="1:17" x14ac:dyDescent="0.25">
      <c r="A104" s="44">
        <v>13</v>
      </c>
      <c r="B104" s="58">
        <f>+A104*'Failure Data'!F$3</f>
        <v>25350</v>
      </c>
      <c r="C104" s="37"/>
      <c r="D104" s="37"/>
      <c r="E104" s="37"/>
      <c r="F104" s="37"/>
      <c r="J104" s="1">
        <v>95</v>
      </c>
      <c r="K104" s="3">
        <f t="shared" si="17"/>
        <v>133.85074626865671</v>
      </c>
      <c r="M104" s="3">
        <f t="shared" si="18"/>
        <v>107.59701492537313</v>
      </c>
      <c r="O104" s="3">
        <v>84</v>
      </c>
      <c r="P104" s="3">
        <f t="shared" si="16"/>
        <v>26.253731343283576</v>
      </c>
      <c r="Q104" s="3">
        <f t="shared" si="15"/>
        <v>107.59701492537313</v>
      </c>
    </row>
    <row r="105" spans="1:17" x14ac:dyDescent="0.25">
      <c r="A105" s="44">
        <v>14</v>
      </c>
      <c r="B105" s="58">
        <f>+A105*'Failure Data'!F$3</f>
        <v>27300</v>
      </c>
      <c r="C105" s="37"/>
      <c r="D105" s="37"/>
      <c r="E105" s="37"/>
      <c r="F105" s="37"/>
      <c r="J105" s="1">
        <v>96</v>
      </c>
      <c r="K105" s="3">
        <f t="shared" si="17"/>
        <v>135.0597014925373</v>
      </c>
      <c r="M105" s="3">
        <f t="shared" si="18"/>
        <v>108.80597014925372</v>
      </c>
      <c r="O105" s="3">
        <v>84</v>
      </c>
      <c r="P105" s="3">
        <f t="shared" si="16"/>
        <v>26.253731343283576</v>
      </c>
      <c r="Q105" s="3">
        <f t="shared" si="15"/>
        <v>108.80597014925372</v>
      </c>
    </row>
    <row r="106" spans="1:17" x14ac:dyDescent="0.25">
      <c r="A106" s="44">
        <v>15</v>
      </c>
      <c r="B106" s="58">
        <f>+A106*'Failure Data'!F$3</f>
        <v>29250</v>
      </c>
      <c r="C106" s="37"/>
      <c r="D106" s="37"/>
      <c r="E106" s="37"/>
      <c r="F106" s="37"/>
      <c r="J106" s="1">
        <v>97</v>
      </c>
      <c r="K106" s="3">
        <f t="shared" si="17"/>
        <v>136.26865671641792</v>
      </c>
      <c r="M106" s="3">
        <f t="shared" si="18"/>
        <v>110.01492537313433</v>
      </c>
      <c r="O106" s="3">
        <v>84</v>
      </c>
      <c r="P106" s="3">
        <f t="shared" si="16"/>
        <v>26.25373134328359</v>
      </c>
      <c r="Q106" s="3">
        <f t="shared" si="15"/>
        <v>110.01492537313433</v>
      </c>
    </row>
    <row r="107" spans="1:17" x14ac:dyDescent="0.25">
      <c r="A107" s="44">
        <v>16</v>
      </c>
      <c r="B107" s="58">
        <f>+A107*'Failure Data'!F$3</f>
        <v>31200</v>
      </c>
      <c r="C107" s="37"/>
      <c r="D107" s="37"/>
      <c r="E107" s="37"/>
      <c r="F107" s="37"/>
      <c r="J107" s="1">
        <v>98</v>
      </c>
      <c r="K107" s="3">
        <f t="shared" si="17"/>
        <v>137.47761194029852</v>
      </c>
      <c r="M107" s="3">
        <f t="shared" si="18"/>
        <v>111.22388059701493</v>
      </c>
      <c r="O107" s="3">
        <v>84</v>
      </c>
      <c r="P107" s="3">
        <f t="shared" si="16"/>
        <v>26.25373134328359</v>
      </c>
      <c r="Q107" s="3">
        <f t="shared" si="15"/>
        <v>111.22388059701493</v>
      </c>
    </row>
    <row r="108" spans="1:17" x14ac:dyDescent="0.25">
      <c r="A108" s="37"/>
      <c r="B108" s="37"/>
      <c r="C108" s="37"/>
      <c r="D108" s="37"/>
      <c r="E108" s="37"/>
      <c r="F108" s="37"/>
      <c r="G108" s="37"/>
      <c r="J108" s="1">
        <v>99</v>
      </c>
      <c r="K108" s="3">
        <f t="shared" si="17"/>
        <v>138.68656716417911</v>
      </c>
      <c r="M108" s="3">
        <f t="shared" si="18"/>
        <v>112.43283582089552</v>
      </c>
      <c r="O108" s="3">
        <v>84</v>
      </c>
      <c r="P108" s="3">
        <f t="shared" si="16"/>
        <v>26.25373134328359</v>
      </c>
      <c r="Q108" s="3">
        <f t="shared" si="15"/>
        <v>112.43283582089552</v>
      </c>
    </row>
    <row r="109" spans="1:17" x14ac:dyDescent="0.25">
      <c r="J109" s="1">
        <v>100</v>
      </c>
      <c r="K109" s="3">
        <f t="shared" si="17"/>
        <v>139.8955223880597</v>
      </c>
      <c r="M109" s="3">
        <f t="shared" si="18"/>
        <v>113.64179104477611</v>
      </c>
      <c r="O109" s="3">
        <v>84</v>
      </c>
      <c r="P109" s="3">
        <f t="shared" si="16"/>
        <v>26.25373134328359</v>
      </c>
      <c r="Q109" s="3">
        <f t="shared" si="15"/>
        <v>113.64179104477611</v>
      </c>
    </row>
  </sheetData>
  <sheetProtection selectLockedCells="1" selectUnlockedCells="1"/>
  <phoneticPr fontId="4" type="noConversion"/>
  <pageMargins left="0.75" right="0.75" top="1" bottom="1" header="0.5" footer="0.5"/>
  <pageSetup orientation="portrait" r:id="rId1"/>
  <headerFooter alignWithMargins="0">
    <oddHeader>&amp;L&amp;"Arial Black,Regular"Reliability Demonstration Chart&amp;R&amp;"Arial Black,Regular"&amp;A</oddHeader>
    <oddFooter>&amp;L&amp;F&amp;C&amp;P of &amp;N&amp;R&amp;D</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35"/>
  </sheetPr>
  <dimension ref="A1:D3"/>
  <sheetViews>
    <sheetView workbookViewId="0"/>
  </sheetViews>
  <sheetFormatPr defaultRowHeight="13.2" x14ac:dyDescent="0.25"/>
  <cols>
    <col min="2" max="2" width="10.88671875" customWidth="1"/>
    <col min="3" max="3" width="13.109375" customWidth="1"/>
    <col min="4" max="4" width="91.88671875" customWidth="1"/>
  </cols>
  <sheetData>
    <row r="1" spans="1:4" x14ac:dyDescent="0.25">
      <c r="A1" s="6" t="s">
        <v>126</v>
      </c>
      <c r="B1" s="6" t="s">
        <v>43</v>
      </c>
      <c r="C1" s="6" t="s">
        <v>127</v>
      </c>
      <c r="D1" t="s">
        <v>128</v>
      </c>
    </row>
    <row r="2" spans="1:4" x14ac:dyDescent="0.25">
      <c r="A2" s="59" t="s">
        <v>65</v>
      </c>
      <c r="B2" s="62">
        <v>40088</v>
      </c>
      <c r="C2" s="61" t="s">
        <v>129</v>
      </c>
      <c r="D2" s="27" t="s">
        <v>66</v>
      </c>
    </row>
    <row r="3" spans="1:4" ht="12.75" customHeight="1" x14ac:dyDescent="0.25">
      <c r="A3" s="60">
        <v>1.1000000000000001</v>
      </c>
      <c r="B3" s="62">
        <v>40104</v>
      </c>
      <c r="C3" s="60" t="s">
        <v>129</v>
      </c>
      <c r="D3" s="27" t="s">
        <v>125</v>
      </c>
    </row>
  </sheetData>
  <sheetProtection sheet="1" objects="1" scenarios="1" selectLockedCells="1" selectUnlockedCells="1"/>
  <phoneticPr fontId="4"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5"/>
  </sheetPr>
  <dimension ref="A1:B23"/>
  <sheetViews>
    <sheetView workbookViewId="0"/>
  </sheetViews>
  <sheetFormatPr defaultRowHeight="13.2" x14ac:dyDescent="0.25"/>
  <cols>
    <col min="1" max="1" width="4.88671875" customWidth="1"/>
    <col min="2" max="2" width="82.88671875" customWidth="1"/>
    <col min="3" max="3" width="71.88671875" customWidth="1"/>
  </cols>
  <sheetData>
    <row r="1" spans="1:2" x14ac:dyDescent="0.25">
      <c r="A1" s="6" t="s">
        <v>64</v>
      </c>
      <c r="B1" s="13"/>
    </row>
    <row r="2" spans="1:2" ht="26.4" x14ac:dyDescent="0.25">
      <c r="B2" s="13" t="s">
        <v>89</v>
      </c>
    </row>
    <row r="3" spans="1:2" x14ac:dyDescent="0.25">
      <c r="B3" s="13"/>
    </row>
    <row r="4" spans="1:2" ht="52.5" customHeight="1" x14ac:dyDescent="0.25">
      <c r="B4" s="13" t="s">
        <v>26</v>
      </c>
    </row>
    <row r="5" spans="1:2" x14ac:dyDescent="0.25">
      <c r="B5" s="13"/>
    </row>
    <row r="6" spans="1:2" ht="26.4" x14ac:dyDescent="0.25">
      <c r="B6" s="13" t="s">
        <v>27</v>
      </c>
    </row>
    <row r="7" spans="1:2" x14ac:dyDescent="0.25">
      <c r="B7" s="13"/>
    </row>
    <row r="8" spans="1:2" ht="39.6" x14ac:dyDescent="0.25">
      <c r="B8" s="13" t="s">
        <v>28</v>
      </c>
    </row>
    <row r="9" spans="1:2" x14ac:dyDescent="0.25">
      <c r="B9" s="13"/>
    </row>
    <row r="10" spans="1:2" x14ac:dyDescent="0.25">
      <c r="B10" s="13" t="s">
        <v>29</v>
      </c>
    </row>
    <row r="11" spans="1:2" x14ac:dyDescent="0.25">
      <c r="B11" s="14" t="s">
        <v>30</v>
      </c>
    </row>
    <row r="12" spans="1:2" x14ac:dyDescent="0.25">
      <c r="B12" s="14"/>
    </row>
    <row r="13" spans="1:2" x14ac:dyDescent="0.25">
      <c r="A13" s="6" t="s">
        <v>78</v>
      </c>
      <c r="B13" s="14"/>
    </row>
    <row r="14" spans="1:2" ht="26.4" x14ac:dyDescent="0.25">
      <c r="B14" s="13" t="s">
        <v>79</v>
      </c>
    </row>
    <row r="15" spans="1:2" x14ac:dyDescent="0.25">
      <c r="B15" s="14" t="s">
        <v>105</v>
      </c>
    </row>
    <row r="16" spans="1:2" x14ac:dyDescent="0.25">
      <c r="B16" s="14"/>
    </row>
    <row r="20" spans="1:2" x14ac:dyDescent="0.25">
      <c r="A20" s="60"/>
      <c r="B20" s="18"/>
    </row>
    <row r="21" spans="1:2" x14ac:dyDescent="0.25">
      <c r="A21" s="60"/>
    </row>
    <row r="22" spans="1:2" x14ac:dyDescent="0.25">
      <c r="A22" s="60"/>
    </row>
    <row r="23" spans="1:2" x14ac:dyDescent="0.25">
      <c r="A23" s="60"/>
    </row>
  </sheetData>
  <sheetProtection sheet="1" objects="1" scenarios="1" selectLockedCells="1" selectUnlockedCells="1"/>
  <phoneticPr fontId="4" type="noConversion"/>
  <hyperlinks>
    <hyperlink ref="B11" r:id="rId1" xr:uid="{00000000-0004-0000-0700-000000000000}"/>
    <hyperlink ref="B15" r:id="rId2" xr:uid="{00000000-0004-0000-0700-000001000000}"/>
  </hyperlinks>
  <pageMargins left="0.75" right="0.75" top="1" bottom="1" header="0.5" footer="0.5"/>
  <pageSetup orientation="portrait" r:id="rId3"/>
  <headerFooter alignWithMargins="0">
    <oddHeader>&amp;L&amp;"Arial Black,Regular"Reliability Demonstration Chart&amp;R&amp;"Arial Black,Regular"&amp;A</oddHeader>
    <oddFooter>&amp;L&amp;F&amp;C&amp;P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Mode d'emploi</vt:lpstr>
      <vt:lpstr>Project</vt:lpstr>
      <vt:lpstr>Risk Trade-Off Parameters</vt:lpstr>
      <vt:lpstr>Failure Data</vt:lpstr>
      <vt:lpstr>R-Demo-Chart</vt:lpstr>
      <vt:lpstr>Plot Data</vt:lpstr>
      <vt:lpstr>Change Log</vt:lpstr>
      <vt:lpstr>Notices</vt:lpstr>
      <vt:lpstr>AcceptSlope</vt:lpstr>
      <vt:lpstr>AcceptYint</vt:lpstr>
      <vt:lpstr>FCmax</vt:lpstr>
      <vt:lpstr>FTmax</vt:lpstr>
      <vt:lpstr>RejectSlope</vt:lpstr>
      <vt:lpstr>RejectYint</vt:lpstr>
      <vt:lpstr>'Plot Data'!xmax</vt:lpstr>
      <vt:lpstr>'Plot Data'!xmin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Reliability Demonstration Chart</dc:title>
  <dc:subject>Reliability Demonstration Chart</dc:subject>
  <dc:creator>Bob Binder</dc:creator>
  <dc:description>Copyright 2009 Robert V. Binder.  All Rights Reserved. _x000d_
_x000d_
This program is free software: you can redistribute it and/or modify it under the terms of the GNU General Public License as published by the Free Software Foundation.</dc:description>
  <cp:lastModifiedBy>Div</cp:lastModifiedBy>
  <cp:lastPrinted>2009-10-02T18:39:15Z</cp:lastPrinted>
  <dcterms:created xsi:type="dcterms:W3CDTF">2009-05-24T16:16:51Z</dcterms:created>
  <dcterms:modified xsi:type="dcterms:W3CDTF">2022-04-08T07:03:42Z</dcterms:modified>
</cp:coreProperties>
</file>