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in\Desktop\ITMO\Physics\"/>
    </mc:Choice>
  </mc:AlternateContent>
  <xr:revisionPtr revIDLastSave="0" documentId="13_ncr:1_{22D45B94-C2B1-4D9B-B196-86F2C015A714}" xr6:coauthVersionLast="45" xr6:coauthVersionMax="45" xr10:uidLastSave="{00000000-0000-0000-0000-000000000000}"/>
  <bookViews>
    <workbookView xWindow="-110" yWindow="-110" windowWidth="19420" windowHeight="10420" xr2:uid="{3E8312B2-616D-462D-AC3F-FE246BE184BD}"/>
  </bookViews>
  <sheets>
    <sheet name="Исходные данные" sheetId="1" r:id="rId1"/>
    <sheet name="Погрешности" sheetId="2" r:id="rId2"/>
    <sheet name="Расчёты" sheetId="7" r:id="rId3"/>
    <sheet name="График I(R^2) " sheetId="10" r:id="rId4"/>
    <sheet name="График погрешностей" sheetId="3" r:id="rId5"/>
    <sheet name="Черновик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2" l="1"/>
  <c r="L27" i="7"/>
  <c r="L22" i="7"/>
  <c r="L17" i="7"/>
  <c r="L12" i="7"/>
  <c r="L7" i="7"/>
  <c r="L2" i="7"/>
  <c r="K27" i="7"/>
  <c r="K22" i="7"/>
  <c r="K17" i="7"/>
  <c r="K7" i="7"/>
  <c r="K12" i="7"/>
  <c r="K2" i="7"/>
  <c r="L16" i="5"/>
  <c r="D31" i="7"/>
  <c r="E31" i="7"/>
  <c r="F31" i="7"/>
  <c r="C31" i="7"/>
  <c r="C26" i="7"/>
  <c r="D16" i="7"/>
  <c r="E16" i="7"/>
  <c r="F16" i="7"/>
  <c r="D21" i="7"/>
  <c r="E21" i="7"/>
  <c r="F21" i="7"/>
  <c r="D26" i="7"/>
  <c r="E26" i="7"/>
  <c r="F26" i="7"/>
  <c r="C21" i="7"/>
  <c r="C16" i="7"/>
  <c r="C11" i="7"/>
  <c r="D11" i="7"/>
  <c r="E11" i="7"/>
  <c r="F11" i="7"/>
  <c r="D6" i="7"/>
  <c r="E6" i="7"/>
  <c r="F6" i="7"/>
  <c r="C6" i="7"/>
  <c r="H40" i="5"/>
  <c r="E40" i="5"/>
  <c r="D40" i="5"/>
  <c r="H39" i="5"/>
  <c r="H41" i="5" s="1"/>
  <c r="G39" i="5"/>
  <c r="G40" i="5" s="1"/>
  <c r="F39" i="5"/>
  <c r="F41" i="5" s="1"/>
  <c r="E39" i="5"/>
  <c r="E41" i="5" s="1"/>
  <c r="D39" i="5"/>
  <c r="D41" i="5" s="1"/>
  <c r="C39" i="5"/>
  <c r="C40" i="5" s="1"/>
  <c r="H29" i="5"/>
  <c r="E29" i="5"/>
  <c r="D29" i="5"/>
  <c r="H28" i="5"/>
  <c r="H30" i="5" s="1"/>
  <c r="G28" i="5"/>
  <c r="G29" i="5" s="1"/>
  <c r="F28" i="5"/>
  <c r="F30" i="5" s="1"/>
  <c r="E28" i="5"/>
  <c r="E30" i="5" s="1"/>
  <c r="D28" i="5"/>
  <c r="D30" i="5" s="1"/>
  <c r="C28" i="5"/>
  <c r="C29" i="5" s="1"/>
  <c r="G19" i="5"/>
  <c r="G23" i="5" s="1"/>
  <c r="F19" i="5"/>
  <c r="F21" i="5" s="1"/>
  <c r="C19" i="5"/>
  <c r="C23" i="5" s="1"/>
  <c r="H17" i="5"/>
  <c r="H18" i="5" s="1"/>
  <c r="G17" i="5"/>
  <c r="G18" i="5" s="1"/>
  <c r="F17" i="5"/>
  <c r="F18" i="5" s="1"/>
  <c r="E17" i="5"/>
  <c r="E19" i="5" s="1"/>
  <c r="D17" i="5"/>
  <c r="D18" i="5" s="1"/>
  <c r="C17" i="5"/>
  <c r="C18" i="5" s="1"/>
  <c r="Q16" i="5"/>
  <c r="Q17" i="5" s="1"/>
  <c r="P16" i="5"/>
  <c r="P17" i="5" s="1"/>
  <c r="O16" i="5"/>
  <c r="O17" i="5" s="1"/>
  <c r="N16" i="5"/>
  <c r="N17" i="5" s="1"/>
  <c r="M16" i="5"/>
  <c r="M17" i="5" s="1"/>
  <c r="L17" i="5"/>
  <c r="H8" i="5"/>
  <c r="G8" i="5"/>
  <c r="G9" i="5" s="1"/>
  <c r="D8" i="5"/>
  <c r="C8" i="5"/>
  <c r="C9" i="5" s="1"/>
  <c r="G7" i="5"/>
  <c r="C7" i="5"/>
  <c r="P6" i="5"/>
  <c r="O6" i="5"/>
  <c r="N6" i="5"/>
  <c r="M6" i="5"/>
  <c r="Q6" i="5" s="1"/>
  <c r="H6" i="5"/>
  <c r="H7" i="5" s="1"/>
  <c r="G6" i="5"/>
  <c r="F6" i="5"/>
  <c r="F7" i="5" s="1"/>
  <c r="E6" i="5"/>
  <c r="E7" i="5" s="1"/>
  <c r="D6" i="5"/>
  <c r="D7" i="5" s="1"/>
  <c r="C6" i="5"/>
  <c r="P5" i="5"/>
  <c r="O5" i="5"/>
  <c r="N5" i="5"/>
  <c r="M5" i="5"/>
  <c r="Q5" i="5" s="1"/>
  <c r="Q4" i="5"/>
  <c r="R4" i="5" s="1"/>
  <c r="Q3" i="5"/>
  <c r="R3" i="5" s="1"/>
  <c r="H6" i="3"/>
  <c r="N6" i="3"/>
  <c r="T6" i="3"/>
  <c r="H7" i="3"/>
  <c r="N7" i="3"/>
  <c r="T7" i="3"/>
  <c r="H8" i="3"/>
  <c r="N8" i="3"/>
  <c r="T8" i="3"/>
  <c r="H9" i="3"/>
  <c r="N9" i="3"/>
  <c r="T9" i="3"/>
  <c r="B9" i="3"/>
  <c r="B7" i="3"/>
  <c r="B8" i="3"/>
  <c r="B6" i="3"/>
  <c r="H39" i="2"/>
  <c r="H41" i="2" s="1"/>
  <c r="H43" i="2" s="1"/>
  <c r="G39" i="2"/>
  <c r="G40" i="2" s="1"/>
  <c r="F39" i="2"/>
  <c r="F41" i="2" s="1"/>
  <c r="F43" i="2" s="1"/>
  <c r="E39" i="2"/>
  <c r="E40" i="2" s="1"/>
  <c r="D39" i="2"/>
  <c r="D40" i="2" s="1"/>
  <c r="C39" i="2"/>
  <c r="C40" i="2" s="1"/>
  <c r="H28" i="2"/>
  <c r="H30" i="2" s="1"/>
  <c r="H32" i="2" s="1"/>
  <c r="G28" i="2"/>
  <c r="G29" i="2" s="1"/>
  <c r="F28" i="2"/>
  <c r="F30" i="2" s="1"/>
  <c r="E28" i="2"/>
  <c r="E30" i="2" s="1"/>
  <c r="E32" i="2" s="1"/>
  <c r="D28" i="2"/>
  <c r="D30" i="2" s="1"/>
  <c r="D32" i="2" s="1"/>
  <c r="C28" i="2"/>
  <c r="C30" i="2" s="1"/>
  <c r="C32" i="2" s="1"/>
  <c r="H17" i="2"/>
  <c r="H19" i="2" s="1"/>
  <c r="H21" i="2" s="1"/>
  <c r="G17" i="2"/>
  <c r="G18" i="2" s="1"/>
  <c r="F17" i="2"/>
  <c r="F19" i="2" s="1"/>
  <c r="F21" i="2" s="1"/>
  <c r="E17" i="2"/>
  <c r="E19" i="2" s="1"/>
  <c r="E21" i="2" s="1"/>
  <c r="D17" i="2"/>
  <c r="D19" i="2" s="1"/>
  <c r="D21" i="2" s="1"/>
  <c r="C17" i="2"/>
  <c r="C19" i="2" s="1"/>
  <c r="C21" i="2" s="1"/>
  <c r="H6" i="2"/>
  <c r="H7" i="2" s="1"/>
  <c r="G6" i="2"/>
  <c r="G8" i="2" s="1"/>
  <c r="G10" i="2" s="1"/>
  <c r="F6" i="2"/>
  <c r="F7" i="2" s="1"/>
  <c r="E6" i="2"/>
  <c r="E8" i="2" s="1"/>
  <c r="E10" i="2" s="1"/>
  <c r="D6" i="2"/>
  <c r="D7" i="2" s="1"/>
  <c r="C6" i="2"/>
  <c r="C7" i="2" s="1"/>
  <c r="D18" i="1"/>
  <c r="E18" i="1"/>
  <c r="F18" i="1"/>
  <c r="G18" i="1"/>
  <c r="H18" i="1"/>
  <c r="C18" i="1"/>
  <c r="D14" i="1"/>
  <c r="E14" i="1"/>
  <c r="F14" i="1"/>
  <c r="G14" i="1"/>
  <c r="H14" i="1"/>
  <c r="C14" i="1"/>
  <c r="D10" i="1"/>
  <c r="E10" i="1"/>
  <c r="F10" i="1"/>
  <c r="G10" i="1"/>
  <c r="H10" i="1"/>
  <c r="C10" i="1"/>
  <c r="H6" i="1"/>
  <c r="D6" i="1"/>
  <c r="E6" i="1"/>
  <c r="F6" i="1"/>
  <c r="G6" i="1"/>
  <c r="C6" i="1"/>
  <c r="D34" i="2" l="1"/>
  <c r="E32" i="5"/>
  <c r="E34" i="5"/>
  <c r="E31" i="5"/>
  <c r="P11" i="5"/>
  <c r="P9" i="5"/>
  <c r="O11" i="5"/>
  <c r="O9" i="5"/>
  <c r="M11" i="5"/>
  <c r="N11" i="5"/>
  <c r="N9" i="5"/>
  <c r="M9" i="5"/>
  <c r="Q9" i="5" s="1"/>
  <c r="F32" i="5"/>
  <c r="F34" i="5"/>
  <c r="F31" i="5"/>
  <c r="E43" i="5"/>
  <c r="E42" i="5"/>
  <c r="E45" i="5"/>
  <c r="E46" i="5" s="1"/>
  <c r="D9" i="5"/>
  <c r="H45" i="5"/>
  <c r="H42" i="5"/>
  <c r="H43" i="5"/>
  <c r="H44" i="5" s="1"/>
  <c r="H9" i="5"/>
  <c r="F43" i="5"/>
  <c r="F45" i="5"/>
  <c r="F42" i="5"/>
  <c r="D45" i="5"/>
  <c r="D42" i="5"/>
  <c r="D43" i="5"/>
  <c r="D44" i="5" s="1"/>
  <c r="P10" i="5"/>
  <c r="P12" i="5" s="1"/>
  <c r="O10" i="5"/>
  <c r="O12" i="5" s="1"/>
  <c r="N10" i="5"/>
  <c r="N12" i="5" s="1"/>
  <c r="M10" i="5"/>
  <c r="E21" i="5"/>
  <c r="E23" i="5"/>
  <c r="C24" i="5"/>
  <c r="D34" i="5"/>
  <c r="D31" i="5"/>
  <c r="D32" i="5"/>
  <c r="D33" i="5" s="1"/>
  <c r="H34" i="5"/>
  <c r="H31" i="5"/>
  <c r="H32" i="5"/>
  <c r="H33" i="5" s="1"/>
  <c r="E18" i="5"/>
  <c r="E20" i="5" s="1"/>
  <c r="C21" i="5"/>
  <c r="C30" i="5"/>
  <c r="G41" i="5"/>
  <c r="E8" i="5"/>
  <c r="C10" i="5"/>
  <c r="G10" i="5"/>
  <c r="G11" i="5" s="1"/>
  <c r="C12" i="5"/>
  <c r="G12" i="5"/>
  <c r="G13" i="5" s="1"/>
  <c r="D19" i="5"/>
  <c r="H19" i="5"/>
  <c r="F20" i="5"/>
  <c r="F22" i="5" s="1"/>
  <c r="F23" i="5"/>
  <c r="F24" i="5" s="1"/>
  <c r="F29" i="5"/>
  <c r="F40" i="5"/>
  <c r="G21" i="5"/>
  <c r="G30" i="5"/>
  <c r="C41" i="5"/>
  <c r="F8" i="5"/>
  <c r="D10" i="5"/>
  <c r="H10" i="5"/>
  <c r="H11" i="5" s="1"/>
  <c r="D12" i="5"/>
  <c r="H12" i="5"/>
  <c r="H13" i="5" s="1"/>
  <c r="C20" i="5"/>
  <c r="G20" i="5"/>
  <c r="G24" i="5" s="1"/>
  <c r="G19" i="2"/>
  <c r="G21" i="2" s="1"/>
  <c r="C41" i="2"/>
  <c r="E7" i="2"/>
  <c r="E9" i="2" s="1"/>
  <c r="E11" i="2" s="1"/>
  <c r="H34" i="2"/>
  <c r="F23" i="2"/>
  <c r="F45" i="2"/>
  <c r="F40" i="2"/>
  <c r="F42" i="2" s="1"/>
  <c r="F44" i="2" s="1"/>
  <c r="C34" i="2"/>
  <c r="F32" i="2"/>
  <c r="F34" i="2"/>
  <c r="F29" i="2"/>
  <c r="F31" i="2" s="1"/>
  <c r="G12" i="2"/>
  <c r="E23" i="2"/>
  <c r="H8" i="2"/>
  <c r="D41" i="2"/>
  <c r="H23" i="2"/>
  <c r="D23" i="2"/>
  <c r="C45" i="2"/>
  <c r="D8" i="2"/>
  <c r="E12" i="2"/>
  <c r="C23" i="2"/>
  <c r="E34" i="2"/>
  <c r="H45" i="2"/>
  <c r="E41" i="2"/>
  <c r="G30" i="2"/>
  <c r="C8" i="2"/>
  <c r="G7" i="2"/>
  <c r="G9" i="2" s="1"/>
  <c r="G11" i="2" s="1"/>
  <c r="C18" i="2"/>
  <c r="C20" i="2" s="1"/>
  <c r="C22" i="2" s="1"/>
  <c r="E18" i="2"/>
  <c r="E20" i="2" s="1"/>
  <c r="E22" i="2" s="1"/>
  <c r="H40" i="2"/>
  <c r="H42" i="2" s="1"/>
  <c r="H44" i="2" s="1"/>
  <c r="E29" i="2"/>
  <c r="E31" i="2" s="1"/>
  <c r="E33" i="2" s="1"/>
  <c r="F8" i="2"/>
  <c r="G41" i="2"/>
  <c r="C29" i="2"/>
  <c r="C31" i="2" s="1"/>
  <c r="C33" i="2" s="1"/>
  <c r="F18" i="2"/>
  <c r="F20" i="2" s="1"/>
  <c r="F22" i="2" s="1"/>
  <c r="H18" i="2"/>
  <c r="H20" i="2" s="1"/>
  <c r="H22" i="2" s="1"/>
  <c r="D18" i="2"/>
  <c r="D20" i="2" s="1"/>
  <c r="D22" i="2" s="1"/>
  <c r="H29" i="2"/>
  <c r="H31" i="2" s="1"/>
  <c r="H33" i="2" s="1"/>
  <c r="D29" i="2"/>
  <c r="D31" i="2" s="1"/>
  <c r="D35" i="2" s="1"/>
  <c r="D33" i="2" l="1"/>
  <c r="E12" i="5"/>
  <c r="E10" i="5"/>
  <c r="E9" i="5"/>
  <c r="Q10" i="5"/>
  <c r="M12" i="5"/>
  <c r="Q12" i="5" s="1"/>
  <c r="U3" i="5" s="1"/>
  <c r="D11" i="5"/>
  <c r="G22" i="5"/>
  <c r="C13" i="5"/>
  <c r="G45" i="5"/>
  <c r="G42" i="5"/>
  <c r="G43" i="5"/>
  <c r="E24" i="5"/>
  <c r="F46" i="5"/>
  <c r="F35" i="5"/>
  <c r="G34" i="5"/>
  <c r="G31" i="5"/>
  <c r="G32" i="5"/>
  <c r="F12" i="5"/>
  <c r="F9" i="5"/>
  <c r="F10" i="5"/>
  <c r="H23" i="5"/>
  <c r="H24" i="5" s="1"/>
  <c r="H20" i="5"/>
  <c r="H21" i="5"/>
  <c r="H22" i="5" s="1"/>
  <c r="C34" i="5"/>
  <c r="C31" i="5"/>
  <c r="C32" i="5"/>
  <c r="D35" i="5"/>
  <c r="F44" i="5"/>
  <c r="H46" i="5"/>
  <c r="F33" i="5"/>
  <c r="E35" i="5"/>
  <c r="D13" i="5"/>
  <c r="C45" i="5"/>
  <c r="C42" i="5"/>
  <c r="C43" i="5"/>
  <c r="D23" i="5"/>
  <c r="D20" i="5"/>
  <c r="D21" i="5"/>
  <c r="I10" i="5"/>
  <c r="C11" i="5"/>
  <c r="C22" i="5"/>
  <c r="H35" i="5"/>
  <c r="E22" i="5"/>
  <c r="D46" i="5"/>
  <c r="E44" i="5"/>
  <c r="Q11" i="5"/>
  <c r="E33" i="5"/>
  <c r="G20" i="2"/>
  <c r="G22" i="2" s="1"/>
  <c r="G23" i="2"/>
  <c r="U3" i="2"/>
  <c r="H35" i="2"/>
  <c r="D24" i="2"/>
  <c r="E24" i="2"/>
  <c r="C24" i="2"/>
  <c r="H46" i="2"/>
  <c r="E13" i="2"/>
  <c r="H24" i="2"/>
  <c r="G13" i="2"/>
  <c r="F35" i="2"/>
  <c r="F46" i="2"/>
  <c r="C35" i="2"/>
  <c r="E35" i="2"/>
  <c r="F33" i="2"/>
  <c r="F24" i="2"/>
  <c r="C42" i="2"/>
  <c r="C44" i="2" s="1"/>
  <c r="G43" i="2"/>
  <c r="G42" i="2"/>
  <c r="G45" i="2"/>
  <c r="G32" i="2"/>
  <c r="G34" i="2"/>
  <c r="G31" i="2"/>
  <c r="F10" i="2"/>
  <c r="F9" i="2"/>
  <c r="F12" i="2"/>
  <c r="F13" i="2" s="1"/>
  <c r="E43" i="2"/>
  <c r="E42" i="2"/>
  <c r="E45" i="2"/>
  <c r="D43" i="2"/>
  <c r="D42" i="2"/>
  <c r="D45" i="2"/>
  <c r="C10" i="2"/>
  <c r="C9" i="2"/>
  <c r="C12" i="2"/>
  <c r="D10" i="2"/>
  <c r="D12" i="2"/>
  <c r="D9" i="2"/>
  <c r="H10" i="2"/>
  <c r="H9" i="2"/>
  <c r="H12" i="2"/>
  <c r="G24" i="2" l="1"/>
  <c r="I45" i="5"/>
  <c r="C46" i="5"/>
  <c r="D24" i="5"/>
  <c r="I24" i="5" s="1"/>
  <c r="I23" i="5"/>
  <c r="I34" i="5"/>
  <c r="C35" i="5"/>
  <c r="I35" i="5" s="1"/>
  <c r="F11" i="5"/>
  <c r="G33" i="5"/>
  <c r="G46" i="5"/>
  <c r="E11" i="5"/>
  <c r="I11" i="5" s="1"/>
  <c r="C44" i="5"/>
  <c r="I43" i="5"/>
  <c r="V3" i="5"/>
  <c r="M7" i="5" s="1"/>
  <c r="E13" i="5"/>
  <c r="I13" i="5" s="1"/>
  <c r="I21" i="5"/>
  <c r="D22" i="5"/>
  <c r="I22" i="5" s="1"/>
  <c r="C33" i="5"/>
  <c r="I33" i="5" s="1"/>
  <c r="I32" i="5"/>
  <c r="F13" i="5"/>
  <c r="G35" i="5"/>
  <c r="G44" i="5"/>
  <c r="I12" i="5"/>
  <c r="F11" i="2"/>
  <c r="H11" i="2"/>
  <c r="E44" i="2"/>
  <c r="C13" i="2"/>
  <c r="D44" i="2"/>
  <c r="G35" i="2"/>
  <c r="G44" i="2"/>
  <c r="H13" i="2"/>
  <c r="D13" i="2"/>
  <c r="C11" i="2"/>
  <c r="E46" i="2"/>
  <c r="G33" i="2"/>
  <c r="C46" i="2"/>
  <c r="D11" i="2"/>
  <c r="D46" i="2"/>
  <c r="G46" i="2"/>
  <c r="M8" i="5" l="1"/>
  <c r="O7" i="5"/>
  <c r="O8" i="5" s="1"/>
  <c r="I46" i="5"/>
  <c r="N7" i="5"/>
  <c r="N8" i="5" s="1"/>
  <c r="P7" i="5"/>
  <c r="P8" i="5" s="1"/>
  <c r="I44" i="5"/>
  <c r="Q8" i="5" l="1"/>
  <c r="Q7" i="5"/>
  <c r="U4" i="2"/>
  <c r="U4" i="5" l="1"/>
  <c r="V4" i="5"/>
</calcChain>
</file>

<file path=xl/sharedStrings.xml><?xml version="1.0" encoding="utf-8"?>
<sst xmlns="http://schemas.openxmlformats.org/spreadsheetml/2006/main" count="250" uniqueCount="105">
  <si>
    <t>ср</t>
  </si>
  <si>
    <t>№</t>
  </si>
  <si>
    <t>Положение утяжелителей</t>
  </si>
  <si>
    <t>1 риска</t>
  </si>
  <si>
    <t xml:space="preserve">2 риска </t>
  </si>
  <si>
    <t>3 риска</t>
  </si>
  <si>
    <t>4 риска</t>
  </si>
  <si>
    <t>5 риска</t>
  </si>
  <si>
    <t>6 риска</t>
  </si>
  <si>
    <t>Положение утяжелителей, с</t>
  </si>
  <si>
    <t>Масса груза, кг</t>
  </si>
  <si>
    <t>220.0 +- 0.5</t>
  </si>
  <si>
    <t>47.0 +- 0.5</t>
  </si>
  <si>
    <t xml:space="preserve">Масса каретки, г </t>
  </si>
  <si>
    <t>Масса шайбы, г</t>
  </si>
  <si>
    <t>Масса грузов на крестовине, г</t>
  </si>
  <si>
    <t>408.0 +- 0.5</t>
  </si>
  <si>
    <t>Расстояние отпервой риски до оси, мм</t>
  </si>
  <si>
    <t>57.0 +-0.5</t>
  </si>
  <si>
    <t xml:space="preserve">25.0 +- 0.2 </t>
  </si>
  <si>
    <t>Расстояние между рисками, мм</t>
  </si>
  <si>
    <t xml:space="preserve">Диаметр ступицы,  мм </t>
  </si>
  <si>
    <t>46.0 +-0.5</t>
  </si>
  <si>
    <t xml:space="preserve">40.0 +- 0.5 </t>
  </si>
  <si>
    <t>Диаметр груза на крестовине,  мм</t>
  </si>
  <si>
    <t>Высота груза на крестовине,  мм</t>
  </si>
  <si>
    <t>Коэффицент стьюдента для 0.95 и 3 экп</t>
  </si>
  <si>
    <t>Погрешность</t>
  </si>
  <si>
    <t>Высота пардения каретки h, м</t>
  </si>
  <si>
    <t>Ускорение</t>
  </si>
  <si>
    <t>Уголовое ускорение</t>
  </si>
  <si>
    <t>Угловое ускорение</t>
  </si>
  <si>
    <t>значение</t>
  </si>
  <si>
    <t>Диаметр ступицы,  м</t>
  </si>
  <si>
    <t>Диаметр груза на крестовине,  м</t>
  </si>
  <si>
    <t>Высота груза на крестовине,  м</t>
  </si>
  <si>
    <t>Расстояние отпервой риски до оси, м</t>
  </si>
  <si>
    <t>Расстояние между рисками, м</t>
  </si>
  <si>
    <t>Масса каретки, кг</t>
  </si>
  <si>
    <t>Масса шайбы, кг</t>
  </si>
  <si>
    <t>Масса грузов на крестовине, кг</t>
  </si>
  <si>
    <t>Момент сил</t>
  </si>
  <si>
    <t>Ускорение свободного падения g, м/c^2</t>
  </si>
  <si>
    <t>1 шайба</t>
  </si>
  <si>
    <t>2 шайбы</t>
  </si>
  <si>
    <t>3 шайбы</t>
  </si>
  <si>
    <t>4 шайбы</t>
  </si>
  <si>
    <t>ср. знач</t>
  </si>
  <si>
    <t>Название</t>
  </si>
  <si>
    <t>Количество шайб</t>
  </si>
  <si>
    <t>Х = Уголовое ускорение</t>
  </si>
  <si>
    <t>У = Момент сил</t>
  </si>
  <si>
    <t>Х*У</t>
  </si>
  <si>
    <t>X^2</t>
  </si>
  <si>
    <t>Сумма</t>
  </si>
  <si>
    <t>I</t>
  </si>
  <si>
    <t>Мтр</t>
  </si>
  <si>
    <t>d_i</t>
  </si>
  <si>
    <t>A</t>
  </si>
  <si>
    <t>B</t>
  </si>
  <si>
    <t xml:space="preserve">Погрешность </t>
  </si>
  <si>
    <t>Значение</t>
  </si>
  <si>
    <t>d_i^2</t>
  </si>
  <si>
    <t>ср знач</t>
  </si>
  <si>
    <t>D = (x_i - x_ср)^2</t>
  </si>
  <si>
    <t>(y_i - y_ср)</t>
  </si>
  <si>
    <t>(x_i - x_ср)</t>
  </si>
  <si>
    <t>(y_i - y_ср)*(x_i - x_ср)</t>
  </si>
  <si>
    <t>R</t>
  </si>
  <si>
    <t>номер риски</t>
  </si>
  <si>
    <t>R^2</t>
  </si>
  <si>
    <t>погрешность</t>
  </si>
  <si>
    <t>у</t>
  </si>
  <si>
    <t>м</t>
  </si>
  <si>
    <t>I = (M - Mтр)/E</t>
  </si>
  <si>
    <t>A = I</t>
  </si>
  <si>
    <t>B = Mтр</t>
  </si>
  <si>
    <t>угловое ускорение</t>
  </si>
  <si>
    <t>погр</t>
  </si>
  <si>
    <t>1 - данные</t>
  </si>
  <si>
    <t>1 - апроксимация</t>
  </si>
  <si>
    <t>2 - данные</t>
  </si>
  <si>
    <t>2 - апроксимация</t>
  </si>
  <si>
    <t>3 - данные</t>
  </si>
  <si>
    <t>3 - апроксимация</t>
  </si>
  <si>
    <t>4 - данные</t>
  </si>
  <si>
    <t>4 - апроксимация</t>
  </si>
  <si>
    <t>5 - данные</t>
  </si>
  <si>
    <t>5 - апроксимация</t>
  </si>
  <si>
    <t>6 - данные</t>
  </si>
  <si>
    <t>6 - апроксимация</t>
  </si>
  <si>
    <t>R**2</t>
  </si>
  <si>
    <t>B =  I_0</t>
  </si>
  <si>
    <t>A = 4m_ут</t>
  </si>
  <si>
    <t>t1, c</t>
  </si>
  <si>
    <t xml:space="preserve">t2, c </t>
  </si>
  <si>
    <t>t3,  c</t>
  </si>
  <si>
    <t>tср, c</t>
  </si>
  <si>
    <t>Погрешность t, c</t>
  </si>
  <si>
    <t>Ускорение, м/с^2</t>
  </si>
  <si>
    <t>Погрешность, м/с^2</t>
  </si>
  <si>
    <t>Погрешность, paд/с^2</t>
  </si>
  <si>
    <t>Момент сил, Нм</t>
  </si>
  <si>
    <t>Погрешность, Нм</t>
  </si>
  <si>
    <t>Угловое ускорение, paд/с^2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</si>
</sst>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70" formatCode="0.0000"/>
    <numFmt numFmtId="177" formatCode="0.0000000000"/>
    <numFmt numFmtId="179" formatCode="0.00000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sz val="11"/>
      <color rgb="FF333333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0" borderId="4" xfId="0" applyNumberFormat="1" applyBorder="1"/>
    <xf numFmtId="0" fontId="0" fillId="0" borderId="1" xfId="0" applyBorder="1"/>
    <xf numFmtId="2" fontId="0" fillId="0" borderId="2" xfId="0" applyNumberFormat="1" applyBorder="1"/>
    <xf numFmtId="0" fontId="0" fillId="0" borderId="13" xfId="0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/>
    <xf numFmtId="0" fontId="0" fillId="4" borderId="1" xfId="0" applyFill="1" applyBorder="1"/>
    <xf numFmtId="2" fontId="0" fillId="4" borderId="1" xfId="0" applyNumberFormat="1" applyFill="1" applyBorder="1"/>
    <xf numFmtId="0" fontId="0" fillId="4" borderId="0" xfId="0" applyFill="1" applyBorder="1"/>
    <xf numFmtId="2" fontId="0" fillId="0" borderId="0" xfId="0" applyNumberFormat="1" applyFill="1" applyBorder="1" applyAlignment="1">
      <alignment horizontal="center"/>
    </xf>
    <xf numFmtId="2" fontId="0" fillId="2" borderId="2" xfId="0" applyNumberFormat="1" applyFill="1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/>
    <xf numFmtId="0" fontId="0" fillId="5" borderId="1" xfId="0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0" fontId="0" fillId="0" borderId="12" xfId="0" applyBorder="1" applyAlignment="1">
      <alignment horizontal="center"/>
    </xf>
    <xf numFmtId="0" fontId="0" fillId="6" borderId="1" xfId="0" applyFill="1" applyBorder="1"/>
    <xf numFmtId="2" fontId="0" fillId="6" borderId="1" xfId="0" applyNumberFormat="1" applyFill="1" applyBorder="1"/>
    <xf numFmtId="2" fontId="0" fillId="0" borderId="0" xfId="0" applyNumberFormat="1" applyFill="1" applyBorder="1" applyAlignment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164" fontId="0" fillId="6" borderId="1" xfId="0" applyNumberFormat="1" applyFill="1" applyBorder="1"/>
    <xf numFmtId="170" fontId="0" fillId="6" borderId="1" xfId="0" applyNumberFormat="1" applyFill="1" applyBorder="1"/>
    <xf numFmtId="2" fontId="0" fillId="3" borderId="2" xfId="0" applyNumberFormat="1" applyFill="1" applyBorder="1"/>
    <xf numFmtId="164" fontId="0" fillId="0" borderId="0" xfId="0" applyNumberFormat="1" applyFill="1" applyBorder="1"/>
    <xf numFmtId="164" fontId="0" fillId="5" borderId="1" xfId="0" applyNumberFormat="1" applyFill="1" applyBorder="1"/>
    <xf numFmtId="0" fontId="0" fillId="0" borderId="7" xfId="0" applyBorder="1" applyAlignment="1">
      <alignment horizontal="center"/>
    </xf>
    <xf numFmtId="0" fontId="0" fillId="0" borderId="0" xfId="0" applyBorder="1" applyAlignment="1"/>
    <xf numFmtId="170" fontId="0" fillId="0" borderId="0" xfId="0" applyNumberFormat="1"/>
    <xf numFmtId="0" fontId="0" fillId="8" borderId="0" xfId="0" applyFill="1"/>
    <xf numFmtId="0" fontId="0" fillId="4" borderId="0" xfId="0" applyFill="1"/>
    <xf numFmtId="0" fontId="0" fillId="9" borderId="0" xfId="0" applyFill="1"/>
    <xf numFmtId="0" fontId="0" fillId="7" borderId="0" xfId="0" applyFill="1"/>
    <xf numFmtId="0" fontId="0" fillId="8" borderId="13" xfId="0" applyFill="1" applyBorder="1"/>
    <xf numFmtId="0" fontId="0" fillId="8" borderId="0" xfId="0" applyFill="1" applyBorder="1"/>
    <xf numFmtId="0" fontId="0" fillId="8" borderId="1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7" borderId="8" xfId="0" applyFill="1" applyBorder="1"/>
    <xf numFmtId="0" fontId="0" fillId="7" borderId="15" xfId="0" applyFill="1" applyBorder="1"/>
    <xf numFmtId="0" fontId="0" fillId="7" borderId="7" xfId="0" applyFill="1" applyBorder="1"/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7" borderId="6" xfId="0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2" fontId="0" fillId="0" borderId="13" xfId="0" applyNumberFormat="1" applyBorder="1"/>
    <xf numFmtId="164" fontId="0" fillId="5" borderId="10" xfId="0" applyNumberFormat="1" applyFill="1" applyBorder="1"/>
    <xf numFmtId="164" fontId="0" fillId="5" borderId="11" xfId="0" applyNumberFormat="1" applyFill="1" applyBorder="1"/>
    <xf numFmtId="2" fontId="0" fillId="2" borderId="8" xfId="0" applyNumberFormat="1" applyFill="1" applyBorder="1"/>
    <xf numFmtId="2" fontId="0" fillId="0" borderId="2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/>
    <xf numFmtId="2" fontId="0" fillId="0" borderId="0" xfId="0" applyNumberFormat="1" applyBorder="1" applyAlignment="1"/>
    <xf numFmtId="170" fontId="0" fillId="0" borderId="1" xfId="0" applyNumberFormat="1" applyBorder="1" applyAlignment="1">
      <alignment horizontal="center"/>
    </xf>
    <xf numFmtId="170" fontId="0" fillId="10" borderId="1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170" fontId="0" fillId="0" borderId="0" xfId="0" applyNumberFormat="1" applyBorder="1" applyAlignment="1"/>
    <xf numFmtId="170" fontId="0" fillId="0" borderId="1" xfId="0" applyNumberFormat="1" applyBorder="1"/>
    <xf numFmtId="170" fontId="0" fillId="0" borderId="0" xfId="0" applyNumberFormat="1" applyAlignment="1"/>
    <xf numFmtId="170" fontId="0" fillId="4" borderId="1" xfId="0" applyNumberFormat="1" applyFill="1" applyBorder="1"/>
    <xf numFmtId="170" fontId="0" fillId="10" borderId="1" xfId="0" applyNumberFormat="1" applyFill="1" applyBorder="1"/>
    <xf numFmtId="170" fontId="0" fillId="0" borderId="0" xfId="0" applyNumberFormat="1" applyFill="1" applyBorder="1"/>
    <xf numFmtId="170" fontId="0" fillId="0" borderId="1" xfId="0" applyNumberFormat="1" applyFill="1" applyBorder="1"/>
    <xf numFmtId="170" fontId="0" fillId="0" borderId="0" xfId="0" applyNumberFormat="1" applyFill="1"/>
    <xf numFmtId="177" fontId="0" fillId="0" borderId="0" xfId="0" applyNumberFormat="1"/>
    <xf numFmtId="179" fontId="0" fillId="0" borderId="0" xfId="0" applyNumberFormat="1"/>
    <xf numFmtId="170" fontId="1" fillId="0" borderId="0" xfId="0" applyNumberFormat="1" applyFont="1" applyFill="1" applyBorder="1"/>
    <xf numFmtId="2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70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70" fontId="0" fillId="0" borderId="0" xfId="0" applyNumberFormat="1" applyFill="1" applyBorder="1" applyAlignment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Border="1"/>
    <xf numFmtId="170" fontId="2" fillId="0" borderId="0" xfId="0" applyNumberFormat="1" applyFont="1" applyBorder="1"/>
    <xf numFmtId="170" fontId="2" fillId="0" borderId="0" xfId="0" applyNumberFormat="1" applyFont="1" applyFill="1" applyBorder="1"/>
    <xf numFmtId="0" fontId="2" fillId="0" borderId="0" xfId="0" applyFont="1"/>
    <xf numFmtId="2" fontId="2" fillId="0" borderId="0" xfId="0" applyNumberFormat="1" applyFont="1" applyBorder="1" applyAlignment="1"/>
    <xf numFmtId="0" fontId="2" fillId="11" borderId="0" xfId="0" applyFont="1" applyFill="1" applyBorder="1" applyAlignment="1"/>
    <xf numFmtId="0" fontId="2" fillId="11" borderId="0" xfId="0" applyFont="1" applyFill="1" applyBorder="1"/>
    <xf numFmtId="0" fontId="2" fillId="0" borderId="0" xfId="0" applyFont="1" applyFill="1" applyBorder="1"/>
    <xf numFmtId="170" fontId="2" fillId="0" borderId="0" xfId="0" applyNumberFormat="1" applyFont="1"/>
    <xf numFmtId="2" fontId="2" fillId="0" borderId="0" xfId="0" applyNumberFormat="1" applyFont="1" applyFill="1" applyBorder="1"/>
    <xf numFmtId="2" fontId="2" fillId="11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Border="1" applyAlignment="1"/>
    <xf numFmtId="0" fontId="3" fillId="0" borderId="0" xfId="0" applyFont="1"/>
    <xf numFmtId="2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ru-RU"/>
              <a:t>Момент</a:t>
            </a:r>
            <a:r>
              <a:rPr lang="ru-RU" baseline="0"/>
              <a:t> силы в зависимости от положения грузов на крестовине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Расчёты!$B$4</c:f>
              <c:strCache>
                <c:ptCount val="1"/>
                <c:pt idx="0">
                  <c:v>1 - данные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0"/>
            <c:dispEq val="1"/>
            <c:trendlineLbl>
              <c:layout>
                <c:manualLayout>
                  <c:x val="-1.4323197905178541E-2"/>
                  <c:y val="0.19345972902502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 Light" panose="020F0302020204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Расчёты!$C$2:$F$2</c:f>
              <c:numCache>
                <c:formatCode>General</c:formatCode>
                <c:ptCount val="4"/>
                <c:pt idx="0">
                  <c:v>2.67898717275428</c:v>
                </c:pt>
                <c:pt idx="1">
                  <c:v>5.14379100336257</c:v>
                </c:pt>
                <c:pt idx="2">
                  <c:v>7.4416310354285446</c:v>
                </c:pt>
                <c:pt idx="3">
                  <c:v>9.5346399523207452</c:v>
                </c:pt>
              </c:numCache>
            </c:numRef>
          </c:xVal>
          <c:yVal>
            <c:numRef>
              <c:f>Расчёты!$C$4:$F$4</c:f>
              <c:numCache>
                <c:formatCode>General</c:formatCode>
                <c:ptCount val="4"/>
                <c:pt idx="0">
                  <c:v>5.9923161314758673E-2</c:v>
                </c:pt>
                <c:pt idx="1">
                  <c:v>0.10866306063034072</c:v>
                </c:pt>
                <c:pt idx="2">
                  <c:v>0.15689169716785659</c:v>
                </c:pt>
                <c:pt idx="3">
                  <c:v>0.20468593415626107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1-4DA2-95DB-CACD417F1BC5}"/>
            </c:ext>
          </c:extLst>
        </c:ser>
        <c:ser>
          <c:idx val="2"/>
          <c:order val="2"/>
          <c:tx>
            <c:strRef>
              <c:f>Расчёты!$B$9</c:f>
              <c:strCache>
                <c:ptCount val="1"/>
                <c:pt idx="0">
                  <c:v>2 -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3"/>
            <c:backward val="2.5"/>
            <c:dispRSqr val="0"/>
            <c:dispEq val="1"/>
            <c:trendlineLbl>
              <c:layout>
                <c:manualLayout>
                  <c:x val="-1.8441411927134006E-2"/>
                  <c:y val="8.9991137446603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 Light" panose="020F0302020204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Расчёты!$C$7:$F$7</c:f>
              <c:numCache>
                <c:formatCode>General</c:formatCode>
                <c:ptCount val="4"/>
                <c:pt idx="0">
                  <c:v>2.0049197867395474</c:v>
                </c:pt>
                <c:pt idx="1">
                  <c:v>3.8234411352561422</c:v>
                </c:pt>
                <c:pt idx="2">
                  <c:v>5.423886408321791</c:v>
                </c:pt>
                <c:pt idx="3">
                  <c:v>7.3556510402087305</c:v>
                </c:pt>
              </c:numCache>
            </c:numRef>
          </c:xVal>
          <c:yVal>
            <c:numRef>
              <c:f>Расчёты!$C$9:$F$9</c:f>
              <c:numCache>
                <c:formatCode>General</c:formatCode>
                <c:ptCount val="4"/>
                <c:pt idx="0">
                  <c:v>6.0018368614561557E-2</c:v>
                </c:pt>
                <c:pt idx="1">
                  <c:v>0.1090032131244119</c:v>
                </c:pt>
                <c:pt idx="2">
                  <c:v>0.15764633971162839</c:v>
                </c:pt>
                <c:pt idx="3">
                  <c:v>0.20575447327594934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31-4DA2-95DB-CACD417F1BC5}"/>
            </c:ext>
          </c:extLst>
        </c:ser>
        <c:ser>
          <c:idx val="4"/>
          <c:order val="4"/>
          <c:tx>
            <c:strRef>
              <c:f>Расчёты!$B$14</c:f>
              <c:strCache>
                <c:ptCount val="1"/>
                <c:pt idx="0">
                  <c:v>3 -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3"/>
            <c:backward val="2.2000000000000002"/>
            <c:dispRSqr val="0"/>
            <c:dispEq val="1"/>
            <c:trendlineLbl>
              <c:layout>
                <c:manualLayout>
                  <c:x val="8.9605710902600763E-2"/>
                  <c:y val="-2.3553164087448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 Light" panose="020F0302020204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Расчёты!$C$12:$F$12</c:f>
              <c:numCache>
                <c:formatCode>General</c:formatCode>
                <c:ptCount val="4"/>
                <c:pt idx="0">
                  <c:v>1.478363533699502</c:v>
                </c:pt>
                <c:pt idx="1">
                  <c:v>2.6603507968120139</c:v>
                </c:pt>
                <c:pt idx="2">
                  <c:v>4.0363689657685473</c:v>
                </c:pt>
                <c:pt idx="3">
                  <c:v>5.2862433655548049</c:v>
                </c:pt>
              </c:numCache>
            </c:numRef>
          </c:xVal>
          <c:yVal>
            <c:numRef>
              <c:f>Расчёты!$C$14:$F$14</c:f>
              <c:numCache>
                <c:formatCode>General</c:formatCode>
                <c:ptCount val="4"/>
                <c:pt idx="0">
                  <c:v>6.0092740999409686E-2</c:v>
                </c:pt>
                <c:pt idx="1">
                  <c:v>0.1093028519466729</c:v>
                </c:pt>
                <c:pt idx="2">
                  <c:v>0.15816527539769562</c:v>
                </c:pt>
                <c:pt idx="3">
                  <c:v>0.20676927561966915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31-4DA2-95DB-CACD417F1BC5}"/>
            </c:ext>
          </c:extLst>
        </c:ser>
        <c:ser>
          <c:idx val="6"/>
          <c:order val="6"/>
          <c:tx>
            <c:strRef>
              <c:f>Расчёты!$B$19</c:f>
              <c:strCache>
                <c:ptCount val="1"/>
                <c:pt idx="0">
                  <c:v>4 -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3"/>
            <c:backward val="1.5"/>
            <c:dispRSqr val="0"/>
            <c:dispEq val="1"/>
            <c:trendlineLbl>
              <c:layout>
                <c:manualLayout>
                  <c:x val="2.8249968107344686E-2"/>
                  <c:y val="-2.0641771740421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 Light" panose="020F0302020204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Расчёты!$C$17:$F$17</c:f>
              <c:numCache>
                <c:formatCode>General</c:formatCode>
                <c:ptCount val="4"/>
                <c:pt idx="0">
                  <c:v>1.0612704087353266</c:v>
                </c:pt>
                <c:pt idx="1">
                  <c:v>1.9856534020239136</c:v>
                </c:pt>
                <c:pt idx="2">
                  <c:v>3.0059044551798171</c:v>
                </c:pt>
                <c:pt idx="3">
                  <c:v>3.9410786225479799</c:v>
                </c:pt>
              </c:numCache>
            </c:numRef>
          </c:xVal>
          <c:yVal>
            <c:numRef>
              <c:f>Расчёты!$C$19:$F$19</c:f>
              <c:numCache>
                <c:formatCode>General</c:formatCode>
                <c:ptCount val="4"/>
                <c:pt idx="0">
                  <c:v>6.0151652483659002E-2</c:v>
                </c:pt>
                <c:pt idx="1">
                  <c:v>0.10947666951361039</c:v>
                </c:pt>
                <c:pt idx="2">
                  <c:v>0.15855067221604935</c:v>
                </c:pt>
                <c:pt idx="3">
                  <c:v>0.20742892154183903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31-4DA2-95DB-CACD417F1BC5}"/>
            </c:ext>
          </c:extLst>
        </c:ser>
        <c:ser>
          <c:idx val="8"/>
          <c:order val="8"/>
          <c:tx>
            <c:strRef>
              <c:f>Расчёты!$B$24</c:f>
              <c:strCache>
                <c:ptCount val="1"/>
                <c:pt idx="0">
                  <c:v>5 -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3"/>
            <c:backward val="1"/>
            <c:dispRSqr val="0"/>
            <c:dispEq val="1"/>
            <c:trendlineLbl>
              <c:layout>
                <c:manualLayout>
                  <c:x val="-5.5548349931274325E-2"/>
                  <c:y val="5.56075938282150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 Light" panose="020F0302020204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Расчёты!$C$22:$F$22</c:f>
              <c:numCache>
                <c:formatCode>General</c:formatCode>
                <c:ptCount val="4"/>
                <c:pt idx="0">
                  <c:v>0.79321695254205637</c:v>
                </c:pt>
                <c:pt idx="1">
                  <c:v>1.5287676396581109</c:v>
                </c:pt>
                <c:pt idx="2">
                  <c:v>2.3371808957423843</c:v>
                </c:pt>
                <c:pt idx="3">
                  <c:v>3.1063226189198914</c:v>
                </c:pt>
              </c:numCache>
            </c:numRef>
          </c:xVal>
          <c:yVal>
            <c:numRef>
              <c:f>Расчёты!$C$24:$F$24</c:f>
              <c:numCache>
                <c:formatCode>General</c:formatCode>
                <c:ptCount val="4"/>
                <c:pt idx="0">
                  <c:v>6.0189513157972101E-2</c:v>
                </c:pt>
                <c:pt idx="1">
                  <c:v>0.10959437379436836</c:v>
                </c:pt>
                <c:pt idx="2">
                  <c:v>0.15880077683344965</c:v>
                </c:pt>
                <c:pt idx="3">
                  <c:v>0.20783827169516619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31-4DA2-95DB-CACD417F1BC5}"/>
            </c:ext>
          </c:extLst>
        </c:ser>
        <c:ser>
          <c:idx val="10"/>
          <c:order val="10"/>
          <c:tx>
            <c:strRef>
              <c:f>Расчёты!$B$29</c:f>
              <c:strCache>
                <c:ptCount val="1"/>
                <c:pt idx="0">
                  <c:v>6 -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3"/>
            <c:backward val="0.8"/>
            <c:dispRSqr val="0"/>
            <c:dispEq val="1"/>
            <c:trendlineLbl>
              <c:layout>
                <c:manualLayout>
                  <c:x val="-0.17457027476687734"/>
                  <c:y val="2.594050581201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 Light" panose="020F0302020204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Расчёты!$C$27:$F$27</c:f>
              <c:numCache>
                <c:formatCode>General</c:formatCode>
                <c:ptCount val="4"/>
                <c:pt idx="0" formatCode="0.00">
                  <c:v>0.61154620493426837</c:v>
                </c:pt>
                <c:pt idx="1">
                  <c:v>1.1917719158910183</c:v>
                </c:pt>
                <c:pt idx="2">
                  <c:v>1.8867029488628033</c:v>
                </c:pt>
                <c:pt idx="3">
                  <c:v>2.5282911769540566</c:v>
                </c:pt>
              </c:numCache>
            </c:numRef>
          </c:xVal>
          <c:yVal>
            <c:numRef>
              <c:f>Расчёты!$C$29:$F$29</c:f>
              <c:numCache>
                <c:formatCode>General</c:formatCode>
                <c:ptCount val="4"/>
                <c:pt idx="0" formatCode="0.00">
                  <c:v>6.0215172879376472E-2</c:v>
                </c:pt>
                <c:pt idx="1">
                  <c:v>0.10968119164371239</c:v>
                </c:pt>
                <c:pt idx="2">
                  <c:v>0.15896925693701644</c:v>
                </c:pt>
                <c:pt idx="3">
                  <c:v>0.20812172848777175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31-4DA2-95DB-CACD417F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05432"/>
        <c:axId val="808198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Расчёты!$B$6</c15:sqref>
                        </c15:formulaRef>
                      </c:ext>
                    </c:extLst>
                    <c:strCache>
                      <c:ptCount val="1"/>
                      <c:pt idx="0">
                        <c:v>1 - апроксимация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forward val="2"/>
                  <c:backward val="3"/>
                  <c:dispRSqr val="0"/>
                  <c:dispEq val="0"/>
                </c:trendline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Расчёты!$C$2:$F$2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2.67898717275428</c:v>
                      </c:pt>
                      <c:pt idx="1">
                        <c:v>5.14379100336257</c:v>
                      </c:pt>
                      <c:pt idx="2">
                        <c:v>7.4416310354285446</c:v>
                      </c:pt>
                      <c:pt idx="3">
                        <c:v>9.5346399523207452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Расчёты!$C$6:$F$6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5.8373049601660225E-2</c:v>
                      </c:pt>
                      <c:pt idx="1">
                        <c:v>0.11033111435088298</c:v>
                      </c:pt>
                      <c:pt idx="2">
                        <c:v>0.15876958222683374</c:v>
                      </c:pt>
                      <c:pt idx="3">
                        <c:v>0.20289021019492134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A31-4DA2-95DB-CACD417F1BC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Расчёты!$B$11</c15:sqref>
                        </c15:formulaRef>
                      </c:ext>
                    </c:extLst>
                    <c:strCache>
                      <c:ptCount val="1"/>
                      <c:pt idx="0">
                        <c:v>2 - апроксимация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forward val="4"/>
                  <c:backward val="2.5"/>
                  <c:dispRSqr val="0"/>
                  <c:dispEq val="0"/>
                </c:trendline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2.0049197867395474</c:v>
                      </c:pt>
                      <c:pt idx="1">
                        <c:v>3.8234411352561422</c:v>
                      </c:pt>
                      <c:pt idx="2">
                        <c:v>5.423886408321791</c:v>
                      </c:pt>
                      <c:pt idx="3">
                        <c:v>7.3556510402087305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Расчёты!$C$11:$F$11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6.0315244937470161E-2</c:v>
                      </c:pt>
                      <c:pt idx="1">
                        <c:v>0.11030639680819135</c:v>
                      </c:pt>
                      <c:pt idx="2">
                        <c:v>0.15430263736476604</c:v>
                      </c:pt>
                      <c:pt idx="3">
                        <c:v>0.20740684709533802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A31-4DA2-95DB-CACD417F1BC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Расчёты!$B$16</c15:sqref>
                        </c15:formulaRef>
                      </c:ext>
                    </c:extLst>
                    <c:strCache>
                      <c:ptCount val="1"/>
                      <c:pt idx="0">
                        <c:v>3 - апроксимация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forward val="5"/>
                  <c:backward val="2"/>
                  <c:dispRSqr val="0"/>
                  <c:dispEq val="0"/>
                </c:trendline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Расчёты!$C$12:$F$12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1.478363533699502</c:v>
                      </c:pt>
                      <c:pt idx="1">
                        <c:v>2.6603507968120139</c:v>
                      </c:pt>
                      <c:pt idx="2">
                        <c:v>4.0363689657685473</c:v>
                      </c:pt>
                      <c:pt idx="3">
                        <c:v>5.2862433655548049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Расчёты!$C$16:$F$16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6.1529136081309999E-2</c:v>
                      </c:pt>
                      <c:pt idx="1">
                        <c:v>0.10664558991431458</c:v>
                      </c:pt>
                      <c:pt idx="2">
                        <c:v>0.15916820342338545</c:v>
                      </c:pt>
                      <c:pt idx="3">
                        <c:v>0.20687590926322691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A31-4DA2-95DB-CACD417F1BC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Расчёты!$B$21</c15:sqref>
                        </c15:formulaRef>
                      </c:ext>
                    </c:extLst>
                    <c:strCache>
                      <c:ptCount val="1"/>
                      <c:pt idx="0">
                        <c:v>4 - апроксимация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forward val="4"/>
                  <c:backward val="1.3"/>
                  <c:dispRSqr val="0"/>
                  <c:dispEq val="0"/>
                </c:trendline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Расчёты!$C$17:$F$17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1.0612704087353266</c:v>
                      </c:pt>
                      <c:pt idx="1">
                        <c:v>1.9856534020239136</c:v>
                      </c:pt>
                      <c:pt idx="2">
                        <c:v>3.0059044551798171</c:v>
                      </c:pt>
                      <c:pt idx="3">
                        <c:v>3.9410786225479799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Расчёты!$C$21:$F$21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6.0912536763754591E-2</c:v>
                      </c:pt>
                      <c:pt idx="1">
                        <c:v>0.10787119282281481</c:v>
                      </c:pt>
                      <c:pt idx="2">
                        <c:v>0.15969994632313469</c:v>
                      </c:pt>
                      <c:pt idx="3">
                        <c:v>0.20720679402543737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A31-4DA2-95DB-CACD417F1BC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Расчёты!$B$26</c15:sqref>
                        </c15:formulaRef>
                      </c:ext>
                    </c:extLst>
                    <c:strCache>
                      <c:ptCount val="1"/>
                      <c:pt idx="0">
                        <c:v>5 - апроксимация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forward val="4"/>
                  <c:backward val="1.5"/>
                  <c:dispRSqr val="0"/>
                  <c:dispEq val="0"/>
                </c:trendline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Расчёты!$C$22:$F$22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0.79321695254205637</c:v>
                      </c:pt>
                      <c:pt idx="1">
                        <c:v>1.5287676396581109</c:v>
                      </c:pt>
                      <c:pt idx="2">
                        <c:v>2.3371808957423843</c:v>
                      </c:pt>
                      <c:pt idx="3">
                        <c:v>3.1063226189198914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Расчёты!$C$26:$F$26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6.1169276486420579E-2</c:v>
                      </c:pt>
                      <c:pt idx="1">
                        <c:v>0.10787674511829005</c:v>
                      </c:pt>
                      <c:pt idx="2">
                        <c:v>0.15921098687964141</c:v>
                      </c:pt>
                      <c:pt idx="3">
                        <c:v>0.2080514863014131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A31-4DA2-95DB-CACD417F1BC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Расчёты!$B$31</c15:sqref>
                        </c15:formulaRef>
                      </c:ext>
                    </c:extLst>
                    <c:strCache>
                      <c:ptCount val="1"/>
                      <c:pt idx="0">
                        <c:v>6 - апроксимация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forward val="3"/>
                  <c:backward val="1"/>
                  <c:dispRSqr val="0"/>
                  <c:dispEq val="0"/>
                </c:trendline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Расчёты!$C$27:$F$27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 formatCode="0.00">
                        <c:v>0.61154620493426837</c:v>
                      </c:pt>
                      <c:pt idx="1">
                        <c:v>1.1917719158910183</c:v>
                      </c:pt>
                      <c:pt idx="2">
                        <c:v>1.8867029488628033</c:v>
                      </c:pt>
                      <c:pt idx="3">
                        <c:v>2.5282911769540566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Расчёты!$C$31:$F$31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6.21221300569781E-2</c:v>
                      </c:pt>
                      <c:pt idx="1">
                        <c:v>0.10645137437407379</c:v>
                      </c:pt>
                      <c:pt idx="2">
                        <c:v>0.15954410529311816</c:v>
                      </c:pt>
                      <c:pt idx="3">
                        <c:v>0.20856144591928991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2A31-4DA2-95DB-CACD417F1BC5}"/>
                  </c:ext>
                </c:extLst>
              </c15:ser>
            </c15:filteredScatterSeries>
          </c:ext>
        </c:extLst>
      </c:scatterChart>
      <c:valAx>
        <c:axId val="808205432"/>
        <c:scaling>
          <c:orientation val="minMax"/>
          <c:max val="1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+mn-cs"/>
                  </a:defRPr>
                </a:pPr>
                <a:r>
                  <a:rPr lang="ru-RU"/>
                  <a:t>Угловое ускорение, рад</a:t>
                </a:r>
                <a:r>
                  <a:rPr lang="en-US"/>
                  <a:t>/c^2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ru-RU"/>
          </a:p>
        </c:txPr>
        <c:crossAx val="808198544"/>
        <c:crosses val="autoZero"/>
        <c:crossBetween val="midCat"/>
        <c:majorUnit val="0.5"/>
        <c:minorUnit val="0.2"/>
      </c:valAx>
      <c:valAx>
        <c:axId val="808198544"/>
        <c:scaling>
          <c:orientation val="minMax"/>
          <c:max val="0.30000000000000004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+mn-cs"/>
                  </a:defRPr>
                </a:pPr>
                <a:r>
                  <a:rPr lang="ru-RU"/>
                  <a:t>Момент силы натяжения нити, 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ru-RU"/>
          </a:p>
        </c:txPr>
        <c:crossAx val="80820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alibri Light" panose="020F0302020204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ru-RU" baseline="0"/>
              <a:t>Момент инерции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 I(R^2) '!$B$1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000000000000001E-2"/>
            <c:backward val="2.0000000000000004E-2"/>
            <c:dispRSqr val="0"/>
            <c:dispEq val="1"/>
            <c:trendlineLbl>
              <c:layout>
                <c:manualLayout>
                  <c:x val="-0.19477174728158972"/>
                  <c:y val="-7.62773941828249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libri Light" panose="020F0302020204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'График I(R^2) '!$D$2:$D$7</c:f>
              <c:numCache>
                <c:formatCode>0.00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'График I(R^2) '!$B$2:$B$7</c:f>
              <c:numCache>
                <c:formatCode>0.00</c:formatCode>
                <c:ptCount val="6"/>
                <c:pt idx="0">
                  <c:v>2.1080000000000002E-2</c:v>
                </c:pt>
                <c:pt idx="1">
                  <c:v>2.7490000000000001E-2</c:v>
                </c:pt>
                <c:pt idx="2">
                  <c:v>3.8170000000000003E-2</c:v>
                </c:pt>
                <c:pt idx="3">
                  <c:v>5.0799999999999998E-2</c:v>
                </c:pt>
                <c:pt idx="4">
                  <c:v>6.3500000000000001E-2</c:v>
                </c:pt>
                <c:pt idx="5">
                  <c:v>7.6399999999999996E-2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6-4F70-A203-711F8C72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51584"/>
        <c:axId val="615759784"/>
      </c:scatterChart>
      <c:valAx>
        <c:axId val="615751584"/>
        <c:scaling>
          <c:orientation val="minMax"/>
          <c:max val="5.000000000000001E-2"/>
          <c:min val="-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+mn-cs"/>
                  </a:defRPr>
                </a:pPr>
                <a:r>
                  <a:rPr lang="en-US"/>
                  <a:t>R^2,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ru-RU"/>
          </a:p>
        </c:txPr>
        <c:crossAx val="615759784"/>
        <c:crosses val="autoZero"/>
        <c:crossBetween val="midCat"/>
        <c:majorUnit val="5.000000000000001E-3"/>
      </c:valAx>
      <c:valAx>
        <c:axId val="615759784"/>
        <c:scaling>
          <c:orientation val="minMax"/>
          <c:max val="9.0000000000000024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кг 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 Light" panose="020F030202020403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endParaRPr lang="ru-RU"/>
          </a:p>
        </c:txPr>
        <c:crossAx val="61575158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alibri Light" panose="020F0302020204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+mj-lt"/>
              </a:rPr>
              <a:t>Момент силы натяжения нити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 погрешностей'!$A$4</c:f>
              <c:strCache>
                <c:ptCount val="1"/>
                <c:pt idx="0">
                  <c:v>Момент сил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'График погрешностей'!$3:$3</c:f>
                <c:numCache>
                  <c:formatCode>General</c:formatCode>
                  <c:ptCount val="16384"/>
                  <c:pt idx="0">
                    <c:v>0</c:v>
                  </c:pt>
                  <c:pt idx="1">
                    <c:v>0.4748348113634176</c:v>
                  </c:pt>
                  <c:pt idx="2">
                    <c:v>0.34290616132960716</c:v>
                  </c:pt>
                  <c:pt idx="3">
                    <c:v>0.21209684498012127</c:v>
                  </c:pt>
                  <c:pt idx="4">
                    <c:v>0.21132938047321373</c:v>
                  </c:pt>
                  <c:pt idx="5">
                    <c:v>0.14243001260171248</c:v>
                  </c:pt>
                  <c:pt idx="6">
                    <c:v>9.7308362467539711E-2</c:v>
                  </c:pt>
                  <c:pt idx="7">
                    <c:v>1.1348125786404444</c:v>
                  </c:pt>
                  <c:pt idx="8">
                    <c:v>0.87426979472252153</c:v>
                  </c:pt>
                  <c:pt idx="9">
                    <c:v>0.42710566374268577</c:v>
                  </c:pt>
                  <c:pt idx="10">
                    <c:v>0.38252651336925542</c:v>
                  </c:pt>
                  <c:pt idx="11">
                    <c:v>0.32403164515755262</c:v>
                  </c:pt>
                  <c:pt idx="12">
                    <c:v>0.18427794114694407</c:v>
                  </c:pt>
                  <c:pt idx="13">
                    <c:v>1.9560325729551109</c:v>
                  </c:pt>
                  <c:pt idx="14">
                    <c:v>1.2319726413629934</c:v>
                  </c:pt>
                  <c:pt idx="15">
                    <c:v>1.0848552041153217</c:v>
                  </c:pt>
                  <c:pt idx="16">
                    <c:v>0.56686902066948242</c:v>
                  </c:pt>
                  <c:pt idx="17">
                    <c:v>0.53324004485386978</c:v>
                  </c:pt>
                  <c:pt idx="18">
                    <c:v>0.29156979651490428</c:v>
                  </c:pt>
                  <c:pt idx="19">
                    <c:v>2.7525022873582246</c:v>
                  </c:pt>
                  <c:pt idx="20">
                    <c:v>1.8296775975457513</c:v>
                  </c:pt>
                  <c:pt idx="21">
                    <c:v>1.5003788189335936</c:v>
                  </c:pt>
                  <c:pt idx="22">
                    <c:v>0.68471010524876075</c:v>
                  </c:pt>
                  <c:pt idx="23">
                    <c:v>0.67709772646684707</c:v>
                  </c:pt>
                  <c:pt idx="24">
                    <c:v>0.38862212974692051</c:v>
                  </c:pt>
                </c:numCache>
              </c:numRef>
            </c:plus>
            <c:minus>
              <c:numRef>
                <c:f>'График погрешностей'!$3:$3</c:f>
                <c:numCache>
                  <c:formatCode>General</c:formatCode>
                  <c:ptCount val="16384"/>
                  <c:pt idx="0">
                    <c:v>0</c:v>
                  </c:pt>
                  <c:pt idx="1">
                    <c:v>0.4748348113634176</c:v>
                  </c:pt>
                  <c:pt idx="2">
                    <c:v>0.34290616132960716</c:v>
                  </c:pt>
                  <c:pt idx="3">
                    <c:v>0.21209684498012127</c:v>
                  </c:pt>
                  <c:pt idx="4">
                    <c:v>0.21132938047321373</c:v>
                  </c:pt>
                  <c:pt idx="5">
                    <c:v>0.14243001260171248</c:v>
                  </c:pt>
                  <c:pt idx="6">
                    <c:v>9.7308362467539711E-2</c:v>
                  </c:pt>
                  <c:pt idx="7">
                    <c:v>1.1348125786404444</c:v>
                  </c:pt>
                  <c:pt idx="8">
                    <c:v>0.87426979472252153</c:v>
                  </c:pt>
                  <c:pt idx="9">
                    <c:v>0.42710566374268577</c:v>
                  </c:pt>
                  <c:pt idx="10">
                    <c:v>0.38252651336925542</c:v>
                  </c:pt>
                  <c:pt idx="11">
                    <c:v>0.32403164515755262</c:v>
                  </c:pt>
                  <c:pt idx="12">
                    <c:v>0.18427794114694407</c:v>
                  </c:pt>
                  <c:pt idx="13">
                    <c:v>1.9560325729551109</c:v>
                  </c:pt>
                  <c:pt idx="14">
                    <c:v>1.2319726413629934</c:v>
                  </c:pt>
                  <c:pt idx="15">
                    <c:v>1.0848552041153217</c:v>
                  </c:pt>
                  <c:pt idx="16">
                    <c:v>0.56686902066948242</c:v>
                  </c:pt>
                  <c:pt idx="17">
                    <c:v>0.53324004485386978</c:v>
                  </c:pt>
                  <c:pt idx="18">
                    <c:v>0.29156979651490428</c:v>
                  </c:pt>
                  <c:pt idx="19">
                    <c:v>2.7525022873582246</c:v>
                  </c:pt>
                  <c:pt idx="20">
                    <c:v>1.8296775975457513</c:v>
                  </c:pt>
                  <c:pt idx="21">
                    <c:v>1.5003788189335936</c:v>
                  </c:pt>
                  <c:pt idx="22">
                    <c:v>0.68471010524876075</c:v>
                  </c:pt>
                  <c:pt idx="23">
                    <c:v>0.67709772646684707</c:v>
                  </c:pt>
                  <c:pt idx="24">
                    <c:v>0.38862212974692051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'График погрешностей'!$5:$5</c:f>
                <c:numCache>
                  <c:formatCode>General</c:formatCode>
                  <c:ptCount val="16384"/>
                  <c:pt idx="0">
                    <c:v>0</c:v>
                  </c:pt>
                  <c:pt idx="1">
                    <c:v>5.4057608414446621E-3</c:v>
                  </c:pt>
                  <c:pt idx="2">
                    <c:v>5.32114421325121E-3</c:v>
                  </c:pt>
                  <c:pt idx="3">
                    <c:v>4.9136231792322937E-3</c:v>
                  </c:pt>
                  <c:pt idx="4">
                    <c:v>5.7554710723500867E-3</c:v>
                  </c:pt>
                  <c:pt idx="5">
                    <c:v>5.4646358396682219E-3</c:v>
                  </c:pt>
                  <c:pt idx="6">
                    <c:v>5.1592450016018062E-3</c:v>
                  </c:pt>
                  <c:pt idx="7">
                    <c:v>1.0619511486869118E-2</c:v>
                  </c:pt>
                  <c:pt idx="8">
                    <c:v>1.0871919195700106E-2</c:v>
                  </c:pt>
                  <c:pt idx="9">
                    <c:v>9.0404979481931783E-3</c:v>
                  </c:pt>
                  <c:pt idx="10">
                    <c:v>9.9334327417637605E-3</c:v>
                  </c:pt>
                  <c:pt idx="11">
                    <c:v>1.0473205691432043E-2</c:v>
                  </c:pt>
                  <c:pt idx="12">
                    <c:v>8.9094709243059782E-3</c:v>
                  </c:pt>
                  <c:pt idx="13">
                    <c:v>1.6792224995333536E-2</c:v>
                  </c:pt>
                  <c:pt idx="14">
                    <c:v>1.5465543171700338E-2</c:v>
                  </c:pt>
                  <c:pt idx="15">
                    <c:v>1.7162625422719114E-2</c:v>
                  </c:pt>
                  <c:pt idx="16">
                    <c:v>1.4026102550755015E-2</c:v>
                  </c:pt>
                  <c:pt idx="17">
                    <c:v>1.561916675520433E-2</c:v>
                  </c:pt>
                  <c:pt idx="18">
                    <c:v>1.2710071444220806E-2</c:v>
                  </c:pt>
                  <c:pt idx="19">
                    <c:v>2.3094587783148712E-2</c:v>
                  </c:pt>
                  <c:pt idx="20">
                    <c:v>2.1160693569660841E-2</c:v>
                  </c:pt>
                  <c:pt idx="21">
                    <c:v>2.3078559262096239E-2</c:v>
                  </c:pt>
                  <c:pt idx="22">
                    <c:v>1.7443206882186795E-2</c:v>
                  </c:pt>
                  <c:pt idx="23">
                    <c:v>1.9776182347615669E-2</c:v>
                  </c:pt>
                  <c:pt idx="24">
                    <c:v>1.6459436384164354E-2</c:v>
                  </c:pt>
                </c:numCache>
              </c:numRef>
            </c:plus>
            <c:minus>
              <c:numRef>
                <c:f>'График погрешностей'!$5:$5</c:f>
                <c:numCache>
                  <c:formatCode>General</c:formatCode>
                  <c:ptCount val="16384"/>
                  <c:pt idx="0">
                    <c:v>0</c:v>
                  </c:pt>
                  <c:pt idx="1">
                    <c:v>5.4057608414446621E-3</c:v>
                  </c:pt>
                  <c:pt idx="2">
                    <c:v>5.32114421325121E-3</c:v>
                  </c:pt>
                  <c:pt idx="3">
                    <c:v>4.9136231792322937E-3</c:v>
                  </c:pt>
                  <c:pt idx="4">
                    <c:v>5.7554710723500867E-3</c:v>
                  </c:pt>
                  <c:pt idx="5">
                    <c:v>5.4646358396682219E-3</c:v>
                  </c:pt>
                  <c:pt idx="6">
                    <c:v>5.1592450016018062E-3</c:v>
                  </c:pt>
                  <c:pt idx="7">
                    <c:v>1.0619511486869118E-2</c:v>
                  </c:pt>
                  <c:pt idx="8">
                    <c:v>1.0871919195700106E-2</c:v>
                  </c:pt>
                  <c:pt idx="9">
                    <c:v>9.0404979481931783E-3</c:v>
                  </c:pt>
                  <c:pt idx="10">
                    <c:v>9.9334327417637605E-3</c:v>
                  </c:pt>
                  <c:pt idx="11">
                    <c:v>1.0473205691432043E-2</c:v>
                  </c:pt>
                  <c:pt idx="12">
                    <c:v>8.9094709243059782E-3</c:v>
                  </c:pt>
                  <c:pt idx="13">
                    <c:v>1.6792224995333536E-2</c:v>
                  </c:pt>
                  <c:pt idx="14">
                    <c:v>1.5465543171700338E-2</c:v>
                  </c:pt>
                  <c:pt idx="15">
                    <c:v>1.7162625422719114E-2</c:v>
                  </c:pt>
                  <c:pt idx="16">
                    <c:v>1.4026102550755015E-2</c:v>
                  </c:pt>
                  <c:pt idx="17">
                    <c:v>1.561916675520433E-2</c:v>
                  </c:pt>
                  <c:pt idx="18">
                    <c:v>1.2710071444220806E-2</c:v>
                  </c:pt>
                  <c:pt idx="19">
                    <c:v>2.3094587783148712E-2</c:v>
                  </c:pt>
                  <c:pt idx="20">
                    <c:v>2.1160693569660841E-2</c:v>
                  </c:pt>
                  <c:pt idx="21">
                    <c:v>2.3078559262096239E-2</c:v>
                  </c:pt>
                  <c:pt idx="22">
                    <c:v>1.7443206882186795E-2</c:v>
                  </c:pt>
                  <c:pt idx="23">
                    <c:v>1.9776182347615669E-2</c:v>
                  </c:pt>
                  <c:pt idx="24">
                    <c:v>1.6459436384164354E-2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'График погрешностей'!$B$2:$Y$2</c:f>
              <c:numCache>
                <c:formatCode>General</c:formatCode>
                <c:ptCount val="24"/>
                <c:pt idx="0">
                  <c:v>2.678987172754276</c:v>
                </c:pt>
                <c:pt idx="1">
                  <c:v>2.0049197867395474</c:v>
                </c:pt>
                <c:pt idx="2">
                  <c:v>1.478363533699502</c:v>
                </c:pt>
                <c:pt idx="3">
                  <c:v>1.0612704087353266</c:v>
                </c:pt>
                <c:pt idx="4">
                  <c:v>0.79321695254205637</c:v>
                </c:pt>
                <c:pt idx="5">
                  <c:v>0.61154620493426837</c:v>
                </c:pt>
                <c:pt idx="6">
                  <c:v>5.14379100336257</c:v>
                </c:pt>
                <c:pt idx="7">
                  <c:v>3.8234411352561422</c:v>
                </c:pt>
                <c:pt idx="8">
                  <c:v>2.6603507968120139</c:v>
                </c:pt>
                <c:pt idx="9">
                  <c:v>1.9856534020239136</c:v>
                </c:pt>
                <c:pt idx="10">
                  <c:v>1.5287676396581109</c:v>
                </c:pt>
                <c:pt idx="11">
                  <c:v>1.1917719158910183</c:v>
                </c:pt>
                <c:pt idx="12">
                  <c:v>7.4416310354285446</c:v>
                </c:pt>
                <c:pt idx="13">
                  <c:v>5.423886408321791</c:v>
                </c:pt>
                <c:pt idx="14">
                  <c:v>4.0363689657685473</c:v>
                </c:pt>
                <c:pt idx="15">
                  <c:v>3.0059044551798171</c:v>
                </c:pt>
                <c:pt idx="16">
                  <c:v>2.3371808957423843</c:v>
                </c:pt>
                <c:pt idx="17">
                  <c:v>1.8867029488628033</c:v>
                </c:pt>
                <c:pt idx="18">
                  <c:v>9.5346399523207452</c:v>
                </c:pt>
                <c:pt idx="19">
                  <c:v>7.3556510402087305</c:v>
                </c:pt>
                <c:pt idx="20">
                  <c:v>5.2862433655548049</c:v>
                </c:pt>
                <c:pt idx="21">
                  <c:v>3.9410786225479799</c:v>
                </c:pt>
                <c:pt idx="22">
                  <c:v>3.1063226189198914</c:v>
                </c:pt>
                <c:pt idx="23">
                  <c:v>2.5282911769540566</c:v>
                </c:pt>
              </c:numCache>
            </c:numRef>
          </c:xVal>
          <c:yVal>
            <c:numRef>
              <c:f>'График погрешностей'!$B$4:$Y$4</c:f>
              <c:numCache>
                <c:formatCode>General</c:formatCode>
                <c:ptCount val="24"/>
                <c:pt idx="0">
                  <c:v>5.9923161314758673E-2</c:v>
                </c:pt>
                <c:pt idx="1">
                  <c:v>6.0018368614561557E-2</c:v>
                </c:pt>
                <c:pt idx="2">
                  <c:v>6.0092740999409686E-2</c:v>
                </c:pt>
                <c:pt idx="3">
                  <c:v>6.0151652483659002E-2</c:v>
                </c:pt>
                <c:pt idx="4">
                  <c:v>6.0189513157972101E-2</c:v>
                </c:pt>
                <c:pt idx="5">
                  <c:v>6.0215172879376472E-2</c:v>
                </c:pt>
                <c:pt idx="6">
                  <c:v>0.10866306063034072</c:v>
                </c:pt>
                <c:pt idx="7">
                  <c:v>0.1090032131244119</c:v>
                </c:pt>
                <c:pt idx="8">
                  <c:v>0.1093028519466729</c:v>
                </c:pt>
                <c:pt idx="9">
                  <c:v>0.10947666951361039</c:v>
                </c:pt>
                <c:pt idx="10">
                  <c:v>0.10959437379436836</c:v>
                </c:pt>
                <c:pt idx="11">
                  <c:v>0.10968119164371239</c:v>
                </c:pt>
                <c:pt idx="12">
                  <c:v>0.15689169716785659</c:v>
                </c:pt>
                <c:pt idx="13">
                  <c:v>0.15764633971162839</c:v>
                </c:pt>
                <c:pt idx="14">
                  <c:v>0.15816527539769562</c:v>
                </c:pt>
                <c:pt idx="15">
                  <c:v>0.15855067221604935</c:v>
                </c:pt>
                <c:pt idx="16">
                  <c:v>0.15880077683344965</c:v>
                </c:pt>
                <c:pt idx="17">
                  <c:v>0.15896925693701644</c:v>
                </c:pt>
                <c:pt idx="18">
                  <c:v>0.20468593415626107</c:v>
                </c:pt>
                <c:pt idx="19">
                  <c:v>0.20575447327594934</c:v>
                </c:pt>
                <c:pt idx="20">
                  <c:v>0.20676927561966915</c:v>
                </c:pt>
                <c:pt idx="21">
                  <c:v>0.20742892154183903</c:v>
                </c:pt>
                <c:pt idx="22">
                  <c:v>0.20783827169516619</c:v>
                </c:pt>
                <c:pt idx="23">
                  <c:v>0.20812172848777175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A-4554-931C-355F9B86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60616"/>
        <c:axId val="629060944"/>
      </c:scatterChart>
      <c:valAx>
        <c:axId val="62906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+mj-lt"/>
                  </a:rPr>
                  <a:t>Угловое ускорение,</a:t>
                </a:r>
                <a:r>
                  <a:rPr lang="ru-RU" baseline="0">
                    <a:latin typeface="+mj-lt"/>
                  </a:rPr>
                  <a:t> рад</a:t>
                </a:r>
                <a:r>
                  <a:rPr lang="en-US" baseline="0">
                    <a:latin typeface="+mj-lt"/>
                  </a:rPr>
                  <a:t>/c^2</a:t>
                </a:r>
                <a:endParaRPr lang="ru-RU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060944"/>
        <c:crosses val="autoZero"/>
        <c:crossBetween val="midCat"/>
        <c:majorUnit val="0.5"/>
      </c:valAx>
      <c:valAx>
        <c:axId val="6290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+mj-lt"/>
                  </a:rPr>
                  <a:t>Момент</a:t>
                </a:r>
                <a:r>
                  <a:rPr lang="ru-RU" baseline="0">
                    <a:latin typeface="+mj-lt"/>
                  </a:rPr>
                  <a:t> силы, Нм</a:t>
                </a:r>
                <a:endParaRPr lang="ru-RU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060616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+mj-lt"/>
              </a:rPr>
              <a:t>Момент</a:t>
            </a:r>
            <a:r>
              <a:rPr lang="ru-RU"/>
              <a:t> </a:t>
            </a:r>
            <a:r>
              <a:rPr lang="ru-RU">
                <a:latin typeface="+mj-lt"/>
              </a:rPr>
              <a:t>сил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 погрешностей'!$A$8</c:f>
              <c:strCache>
                <c:ptCount val="1"/>
                <c:pt idx="0">
                  <c:v>Момент сил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3"/>
            <c:dispRSqr val="0"/>
            <c:dispEq val="1"/>
            <c:trendlineLbl>
              <c:layout>
                <c:manualLayout>
                  <c:x val="-0.14261719317702504"/>
                  <c:y val="2.00695542475445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latin typeface="+mj-lt"/>
                      </a:rPr>
                      <a:t>y = 0.038x + 0.0055</a:t>
                    </a:r>
                    <a:endParaRPr lang="en-US" sz="1100">
                      <a:latin typeface="+mj-lt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'График погрешностей'!$7:$7</c:f>
                <c:numCache>
                  <c:formatCode>General</c:formatCode>
                  <c:ptCount val="16384"/>
                  <c:pt idx="0">
                    <c:v>0</c:v>
                  </c:pt>
                  <c:pt idx="1">
                    <c:v>0.2468175955359353</c:v>
                  </c:pt>
                  <c:pt idx="7">
                    <c:v>0.5545040227965673</c:v>
                  </c:pt>
                  <c:pt idx="13">
                    <c:v>0.94408988007861394</c:v>
                  </c:pt>
                  <c:pt idx="19">
                    <c:v>1.3054981108833497</c:v>
                  </c:pt>
                </c:numCache>
              </c:numRef>
            </c:plus>
            <c:minus>
              <c:numRef>
                <c:f>'График погрешностей'!$7:$7</c:f>
                <c:numCache>
                  <c:formatCode>General</c:formatCode>
                  <c:ptCount val="16384"/>
                  <c:pt idx="0">
                    <c:v>0</c:v>
                  </c:pt>
                  <c:pt idx="1">
                    <c:v>0.2468175955359353</c:v>
                  </c:pt>
                  <c:pt idx="7">
                    <c:v>0.5545040227965673</c:v>
                  </c:pt>
                  <c:pt idx="13">
                    <c:v>0.94408988007861394</c:v>
                  </c:pt>
                  <c:pt idx="19">
                    <c:v>1.3054981108833497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'График погрешностей'!$9:$9</c:f>
                <c:numCache>
                  <c:formatCode>General</c:formatCode>
                  <c:ptCount val="16384"/>
                  <c:pt idx="0">
                    <c:v>0</c:v>
                  </c:pt>
                  <c:pt idx="1">
                    <c:v>5.3366466912580469E-3</c:v>
                  </c:pt>
                  <c:pt idx="7">
                    <c:v>9.9746729980440315E-3</c:v>
                  </c:pt>
                  <c:pt idx="13">
                    <c:v>1.5295955723322189E-2</c:v>
                  </c:pt>
                  <c:pt idx="19">
                    <c:v>2.0168777704812107E-2</c:v>
                  </c:pt>
                </c:numCache>
              </c:numRef>
            </c:plus>
            <c:minus>
              <c:numRef>
                <c:f>'График погрешностей'!$9:$9</c:f>
                <c:numCache>
                  <c:formatCode>General</c:formatCode>
                  <c:ptCount val="16384"/>
                  <c:pt idx="0">
                    <c:v>0</c:v>
                  </c:pt>
                  <c:pt idx="1">
                    <c:v>5.3366466912580469E-3</c:v>
                  </c:pt>
                  <c:pt idx="7">
                    <c:v>9.9746729980440315E-3</c:v>
                  </c:pt>
                  <c:pt idx="13">
                    <c:v>1.5295955723322189E-2</c:v>
                  </c:pt>
                  <c:pt idx="19">
                    <c:v>2.0168777704812107E-2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'График погрешностей'!$B$6:$Y$6</c:f>
              <c:numCache>
                <c:formatCode>General</c:formatCode>
                <c:ptCount val="24"/>
                <c:pt idx="0">
                  <c:v>1.4380506765674965</c:v>
                </c:pt>
                <c:pt idx="6">
                  <c:v>2.7222959821672954</c:v>
                </c:pt>
                <c:pt idx="12">
                  <c:v>4.0219457848839815</c:v>
                </c:pt>
                <c:pt idx="18">
                  <c:v>5.2920377960843679</c:v>
                </c:pt>
              </c:numCache>
            </c:numRef>
          </c:xVal>
          <c:yVal>
            <c:numRef>
              <c:f>'График погрешностей'!$B$8:$Y$8</c:f>
              <c:numCache>
                <c:formatCode>General</c:formatCode>
                <c:ptCount val="24"/>
                <c:pt idx="0">
                  <c:v>6.0098434908289589E-2</c:v>
                </c:pt>
                <c:pt idx="6">
                  <c:v>0.1092868934421861</c:v>
                </c:pt>
                <c:pt idx="12">
                  <c:v>0.15817066971061602</c:v>
                </c:pt>
                <c:pt idx="18">
                  <c:v>0.20676643412944273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D-4559-BD9F-7EA47D44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43808"/>
        <c:axId val="613839456"/>
      </c:scatterChart>
      <c:valAx>
        <c:axId val="442843808"/>
        <c:scaling>
          <c:orientation val="minMax"/>
          <c:max val="5.7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+mj-lt"/>
                  </a:rPr>
                  <a:t>Угловое ускорение, рад/</a:t>
                </a:r>
                <a:r>
                  <a:rPr lang="en-US">
                    <a:latin typeface="+mj-lt"/>
                  </a:rPr>
                  <a:t>c^2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839456"/>
        <c:crosses val="autoZero"/>
        <c:crossBetween val="midCat"/>
        <c:majorUnit val="0.5"/>
      </c:valAx>
      <c:valAx>
        <c:axId val="6138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+mj-lt"/>
                  </a:rPr>
                  <a:t>Момент силы, Нм</a:t>
                </a:r>
              </a:p>
            </c:rich>
          </c:tx>
          <c:layout>
            <c:manualLayout>
              <c:xMode val="edge"/>
              <c:yMode val="edge"/>
              <c:x val="1.1041162817015041E-2"/>
              <c:y val="0.3871166950495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843808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117339</xdr:rowOff>
    </xdr:from>
    <xdr:to>
      <xdr:col>12</xdr:col>
      <xdr:colOff>345108</xdr:colOff>
      <xdr:row>69</xdr:row>
      <xdr:rowOff>103532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266D8A-FDF6-4F6F-A419-0A2CFF7AD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3</xdr:row>
      <xdr:rowOff>50800</xdr:rowOff>
    </xdr:from>
    <xdr:to>
      <xdr:col>17</xdr:col>
      <xdr:colOff>254000</xdr:colOff>
      <xdr:row>22</xdr:row>
      <xdr:rowOff>31749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B08AFE-917D-419A-81C1-4C071EEFA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53400</xdr:rowOff>
    </xdr:from>
    <xdr:to>
      <xdr:col>11</xdr:col>
      <xdr:colOff>239847</xdr:colOff>
      <xdr:row>37</xdr:row>
      <xdr:rowOff>429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4C6B12-6AD2-4D38-BCA9-A3CDC5B44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378993</xdr:colOff>
      <xdr:row>11</xdr:row>
      <xdr:rowOff>55417</xdr:rowOff>
    </xdr:from>
    <xdr:to>
      <xdr:col>21</xdr:col>
      <xdr:colOff>541195</xdr:colOff>
      <xdr:row>28</xdr:row>
      <xdr:rowOff>122985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DE57B5E-E44E-4227-8DDC-2C6ED933A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A2D3-E04A-40A0-B0B4-6CEA5142F662}">
  <dimension ref="A1:H27"/>
  <sheetViews>
    <sheetView tabSelected="1" workbookViewId="0">
      <selection activeCell="E15" sqref="E15"/>
    </sheetView>
  </sheetViews>
  <sheetFormatPr defaultRowHeight="14.5" x14ac:dyDescent="0.35"/>
  <cols>
    <col min="2" max="2" width="3.26953125" customWidth="1"/>
    <col min="3" max="7" width="8.7265625" style="1"/>
  </cols>
  <sheetData>
    <row r="1" spans="1:8" x14ac:dyDescent="0.35">
      <c r="A1" s="4" t="s">
        <v>10</v>
      </c>
      <c r="B1" s="5" t="s">
        <v>1</v>
      </c>
      <c r="C1" s="6" t="s">
        <v>9</v>
      </c>
      <c r="D1" s="6"/>
      <c r="E1" s="6"/>
      <c r="F1" s="6"/>
      <c r="G1" s="6"/>
      <c r="H1" s="6"/>
    </row>
    <row r="2" spans="1:8" x14ac:dyDescent="0.35">
      <c r="A2" s="4"/>
      <c r="B2" s="5"/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8" x14ac:dyDescent="0.35">
      <c r="A3" s="5">
        <v>0.26700000000000002</v>
      </c>
      <c r="B3" s="9">
        <v>1</v>
      </c>
      <c r="C3" s="12">
        <v>4.72</v>
      </c>
      <c r="D3" s="12">
        <v>5.56</v>
      </c>
      <c r="E3" s="12">
        <v>6.44</v>
      </c>
      <c r="F3" s="12">
        <v>7.53</v>
      </c>
      <c r="G3" s="12">
        <v>8.66</v>
      </c>
      <c r="H3" s="12">
        <v>9.99</v>
      </c>
    </row>
    <row r="4" spans="1:8" x14ac:dyDescent="0.35">
      <c r="A4" s="5"/>
      <c r="B4" s="9">
        <v>2</v>
      </c>
      <c r="C4" s="7">
        <v>4.7699999999999996</v>
      </c>
      <c r="D4" s="7">
        <v>5.5</v>
      </c>
      <c r="E4" s="7">
        <v>6.41</v>
      </c>
      <c r="F4" s="7">
        <v>7.5</v>
      </c>
      <c r="G4" s="7">
        <v>8.81</v>
      </c>
      <c r="H4" s="7">
        <v>9.91</v>
      </c>
    </row>
    <row r="5" spans="1:8" x14ac:dyDescent="0.35">
      <c r="A5" s="5"/>
      <c r="B5" s="9">
        <v>3</v>
      </c>
      <c r="C5" s="12">
        <v>4.8099999999999996</v>
      </c>
      <c r="D5" s="12">
        <v>5.47</v>
      </c>
      <c r="E5" s="12">
        <v>6.4</v>
      </c>
      <c r="F5" s="12">
        <v>7.69</v>
      </c>
      <c r="G5" s="12">
        <v>8.81</v>
      </c>
      <c r="H5" s="12">
        <v>10.029999999999999</v>
      </c>
    </row>
    <row r="6" spans="1:8" x14ac:dyDescent="0.35">
      <c r="A6" s="5"/>
      <c r="B6" s="13" t="s">
        <v>0</v>
      </c>
      <c r="C6" s="14">
        <f>AVERAGE(C3:C5)</f>
        <v>4.7666666666666657</v>
      </c>
      <c r="D6" s="14">
        <f t="shared" ref="D6:H6" si="0">AVERAGE(D3:D5)</f>
        <v>5.5099999999999989</v>
      </c>
      <c r="E6" s="14">
        <f t="shared" si="0"/>
        <v>6.416666666666667</v>
      </c>
      <c r="F6" s="14">
        <f t="shared" si="0"/>
        <v>7.5733333333333341</v>
      </c>
      <c r="G6" s="14">
        <f t="shared" si="0"/>
        <v>8.76</v>
      </c>
      <c r="H6" s="14">
        <f t="shared" si="0"/>
        <v>9.9766666666666666</v>
      </c>
    </row>
    <row r="7" spans="1:8" x14ac:dyDescent="0.35">
      <c r="A7" s="5">
        <v>0.48699999999999999</v>
      </c>
      <c r="B7" s="15">
        <v>1</v>
      </c>
      <c r="C7" s="12">
        <v>3.38</v>
      </c>
      <c r="D7" s="12">
        <v>3.91</v>
      </c>
      <c r="E7" s="12">
        <v>4.8099999999999996</v>
      </c>
      <c r="F7" s="12">
        <v>5.59</v>
      </c>
      <c r="G7" s="12">
        <v>6.41</v>
      </c>
      <c r="H7" s="12">
        <v>7.12</v>
      </c>
    </row>
    <row r="8" spans="1:8" x14ac:dyDescent="0.35">
      <c r="A8" s="5"/>
      <c r="B8" s="9">
        <v>2</v>
      </c>
      <c r="C8" s="7">
        <v>3.5</v>
      </c>
      <c r="D8" s="7">
        <v>4</v>
      </c>
      <c r="E8" s="7">
        <v>4.75</v>
      </c>
      <c r="F8" s="7">
        <v>5.56</v>
      </c>
      <c r="G8" s="7">
        <v>6.21</v>
      </c>
      <c r="H8" s="7">
        <v>7.19</v>
      </c>
    </row>
    <row r="9" spans="1:8" x14ac:dyDescent="0.35">
      <c r="A9" s="5"/>
      <c r="B9" s="15">
        <v>3</v>
      </c>
      <c r="C9" s="12">
        <v>3.44</v>
      </c>
      <c r="D9" s="12">
        <v>4.0599999999999996</v>
      </c>
      <c r="E9" s="12">
        <v>4.79</v>
      </c>
      <c r="F9" s="12">
        <v>5.46</v>
      </c>
      <c r="G9" s="12">
        <v>6.31</v>
      </c>
      <c r="H9" s="12">
        <v>7.13</v>
      </c>
    </row>
    <row r="10" spans="1:8" x14ac:dyDescent="0.35">
      <c r="A10" s="5"/>
      <c r="B10" s="13" t="s">
        <v>0</v>
      </c>
      <c r="C10" s="14">
        <f>AVERAGE(C7:C9)</f>
        <v>3.44</v>
      </c>
      <c r="D10" s="14">
        <f t="shared" ref="D10:H10" si="1">AVERAGE(D7:D9)</f>
        <v>3.9899999999999998</v>
      </c>
      <c r="E10" s="14">
        <f t="shared" si="1"/>
        <v>4.7833333333333323</v>
      </c>
      <c r="F10" s="14">
        <f t="shared" si="1"/>
        <v>5.5366666666666662</v>
      </c>
      <c r="G10" s="14">
        <f t="shared" si="1"/>
        <v>6.31</v>
      </c>
      <c r="H10" s="14">
        <f t="shared" si="1"/>
        <v>7.1466666666666674</v>
      </c>
    </row>
    <row r="11" spans="1:8" x14ac:dyDescent="0.35">
      <c r="A11" s="5">
        <v>0.70699999999999996</v>
      </c>
      <c r="B11" s="15">
        <v>1</v>
      </c>
      <c r="C11" s="12">
        <v>2.94</v>
      </c>
      <c r="D11" s="12">
        <v>3.28</v>
      </c>
      <c r="E11" s="12">
        <v>3.81</v>
      </c>
      <c r="F11" s="12">
        <v>4.47</v>
      </c>
      <c r="G11" s="12">
        <v>5.19</v>
      </c>
      <c r="H11" s="12">
        <v>5.71</v>
      </c>
    </row>
    <row r="12" spans="1:8" x14ac:dyDescent="0.35">
      <c r="A12" s="5"/>
      <c r="B12" s="9">
        <v>2</v>
      </c>
      <c r="C12" s="7">
        <v>2.84</v>
      </c>
      <c r="D12" s="7">
        <v>3.37</v>
      </c>
      <c r="E12" s="7">
        <v>4</v>
      </c>
      <c r="F12" s="7">
        <v>4.47</v>
      </c>
      <c r="G12" s="7">
        <v>5</v>
      </c>
      <c r="H12" s="7">
        <v>5.68</v>
      </c>
    </row>
    <row r="13" spans="1:8" x14ac:dyDescent="0.35">
      <c r="A13" s="5"/>
      <c r="B13" s="15">
        <v>3</v>
      </c>
      <c r="C13" s="12">
        <v>2.8</v>
      </c>
      <c r="D13" s="12">
        <v>3.4</v>
      </c>
      <c r="E13" s="12">
        <v>3.84</v>
      </c>
      <c r="F13" s="12">
        <v>4.5599999999999996</v>
      </c>
      <c r="G13" s="12">
        <v>5.12</v>
      </c>
      <c r="H13" s="12">
        <v>5.65</v>
      </c>
    </row>
    <row r="14" spans="1:8" x14ac:dyDescent="0.35">
      <c r="A14" s="5"/>
      <c r="B14" s="13" t="s">
        <v>0</v>
      </c>
      <c r="C14" s="14">
        <f>AVERAGE(C11:C13)</f>
        <v>2.8599999999999994</v>
      </c>
      <c r="D14" s="14">
        <f t="shared" ref="D14:H14" si="2">AVERAGE(D11:D13)</f>
        <v>3.35</v>
      </c>
      <c r="E14" s="14">
        <f t="shared" si="2"/>
        <v>3.8833333333333333</v>
      </c>
      <c r="F14" s="14">
        <f t="shared" si="2"/>
        <v>4.5</v>
      </c>
      <c r="G14" s="14">
        <f t="shared" si="2"/>
        <v>5.1033333333333344</v>
      </c>
      <c r="H14" s="14">
        <f t="shared" si="2"/>
        <v>5.68</v>
      </c>
    </row>
    <row r="15" spans="1:8" x14ac:dyDescent="0.35">
      <c r="A15" s="5">
        <v>0.92700000000000005</v>
      </c>
      <c r="B15" s="15">
        <v>1</v>
      </c>
      <c r="C15" s="12">
        <v>2.56</v>
      </c>
      <c r="D15" s="12">
        <v>2.94</v>
      </c>
      <c r="E15" s="12">
        <v>3.44</v>
      </c>
      <c r="F15" s="12">
        <v>3.91</v>
      </c>
      <c r="G15" s="12">
        <v>4.5</v>
      </c>
      <c r="H15" s="12">
        <v>4.88</v>
      </c>
    </row>
    <row r="16" spans="1:8" x14ac:dyDescent="0.35">
      <c r="A16" s="5"/>
      <c r="B16" s="9">
        <v>2</v>
      </c>
      <c r="C16" s="7">
        <v>2.58</v>
      </c>
      <c r="D16" s="7">
        <v>2.88</v>
      </c>
      <c r="E16" s="7">
        <v>3.46</v>
      </c>
      <c r="F16" s="7">
        <v>3.97</v>
      </c>
      <c r="G16" s="7">
        <v>4.43</v>
      </c>
      <c r="H16" s="7">
        <v>4.91</v>
      </c>
    </row>
    <row r="17" spans="1:8" x14ac:dyDescent="0.35">
      <c r="A17" s="5"/>
      <c r="B17" s="15">
        <v>3</v>
      </c>
      <c r="C17" s="12">
        <v>2.44</v>
      </c>
      <c r="D17" s="12">
        <v>2.81</v>
      </c>
      <c r="E17" s="12">
        <v>3.28</v>
      </c>
      <c r="F17" s="12">
        <v>3.91</v>
      </c>
      <c r="G17" s="12">
        <v>4.3499999999999996</v>
      </c>
      <c r="H17" s="12">
        <v>4.93</v>
      </c>
    </row>
    <row r="18" spans="1:8" x14ac:dyDescent="0.35">
      <c r="A18" s="5"/>
      <c r="B18" s="13" t="s">
        <v>0</v>
      </c>
      <c r="C18" s="14">
        <f>AVERAGE(C15:C17)</f>
        <v>2.5266666666666668</v>
      </c>
      <c r="D18" s="14">
        <f t="shared" ref="D18:H18" si="3">AVERAGE(D15:D17)</f>
        <v>2.8766666666666669</v>
      </c>
      <c r="E18" s="14">
        <f t="shared" si="3"/>
        <v>3.3933333333333331</v>
      </c>
      <c r="F18" s="14">
        <f t="shared" si="3"/>
        <v>3.93</v>
      </c>
      <c r="G18" s="14">
        <f t="shared" si="3"/>
        <v>4.4266666666666667</v>
      </c>
      <c r="H18" s="14">
        <f t="shared" si="3"/>
        <v>4.9066666666666663</v>
      </c>
    </row>
    <row r="19" spans="1:8" s="19" customFormat="1" x14ac:dyDescent="0.35">
      <c r="A19" s="16"/>
      <c r="B19" s="17"/>
      <c r="C19" s="18"/>
      <c r="D19" s="18"/>
      <c r="E19" s="18"/>
      <c r="F19" s="18"/>
      <c r="G19" s="18"/>
      <c r="H19" s="18"/>
    </row>
    <row r="20" spans="1:8" x14ac:dyDescent="0.35">
      <c r="A20" t="s">
        <v>13</v>
      </c>
      <c r="F20" s="1" t="s">
        <v>12</v>
      </c>
    </row>
    <row r="21" spans="1:8" x14ac:dyDescent="0.35">
      <c r="A21" t="s">
        <v>14</v>
      </c>
      <c r="F21" s="1" t="s">
        <v>11</v>
      </c>
    </row>
    <row r="22" spans="1:8" x14ac:dyDescent="0.35">
      <c r="A22" t="s">
        <v>15</v>
      </c>
      <c r="F22" s="1" t="s">
        <v>16</v>
      </c>
    </row>
    <row r="23" spans="1:8" x14ac:dyDescent="0.35">
      <c r="A23" t="s">
        <v>17</v>
      </c>
      <c r="F23" s="1" t="s">
        <v>18</v>
      </c>
    </row>
    <row r="24" spans="1:8" x14ac:dyDescent="0.35">
      <c r="A24" t="s">
        <v>20</v>
      </c>
      <c r="F24" s="1" t="s">
        <v>19</v>
      </c>
    </row>
    <row r="25" spans="1:8" x14ac:dyDescent="0.35">
      <c r="A25" t="s">
        <v>21</v>
      </c>
      <c r="F25" s="1" t="s">
        <v>22</v>
      </c>
    </row>
    <row r="26" spans="1:8" x14ac:dyDescent="0.35">
      <c r="A26" t="s">
        <v>24</v>
      </c>
      <c r="F26" s="1" t="s">
        <v>23</v>
      </c>
    </row>
    <row r="27" spans="1:8" x14ac:dyDescent="0.35">
      <c r="A27" t="s">
        <v>25</v>
      </c>
      <c r="F27" s="1" t="s">
        <v>23</v>
      </c>
    </row>
  </sheetData>
  <mergeCells count="7">
    <mergeCell ref="C1:H1"/>
    <mergeCell ref="A3:A6"/>
    <mergeCell ref="A7:A10"/>
    <mergeCell ref="A11:A14"/>
    <mergeCell ref="A15:A18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219C-64C4-4EFF-88A5-1674F95B7E96}">
  <dimension ref="A1:U66"/>
  <sheetViews>
    <sheetView zoomScale="71" workbookViewId="0">
      <selection activeCell="K37" sqref="K37"/>
    </sheetView>
  </sheetViews>
  <sheetFormatPr defaultRowHeight="14.5" x14ac:dyDescent="0.35"/>
  <cols>
    <col min="2" max="2" width="26.26953125" customWidth="1"/>
    <col min="10" max="10" width="10" customWidth="1"/>
    <col min="11" max="11" width="22.36328125" customWidth="1"/>
    <col min="12" max="12" width="12.453125" style="46" bestFit="1" customWidth="1"/>
    <col min="13" max="13" width="11.6328125" style="46" bestFit="1" customWidth="1"/>
    <col min="14" max="16" width="12.6328125" style="46" bestFit="1" customWidth="1"/>
    <col min="17" max="17" width="11.6328125" style="46" bestFit="1" customWidth="1"/>
    <col min="18" max="18" width="5.1796875" style="46" customWidth="1"/>
    <col min="19" max="19" width="12.54296875" style="46" customWidth="1"/>
    <col min="20" max="20" width="18.54296875" style="46" customWidth="1"/>
    <col min="21" max="21" width="16.36328125" style="46" customWidth="1"/>
  </cols>
  <sheetData>
    <row r="1" spans="1:21" x14ac:dyDescent="0.35">
      <c r="A1" s="4" t="s">
        <v>10</v>
      </c>
      <c r="B1" s="5" t="s">
        <v>1</v>
      </c>
      <c r="C1" s="6" t="s">
        <v>2</v>
      </c>
      <c r="D1" s="6"/>
      <c r="E1" s="6"/>
      <c r="F1" s="6"/>
      <c r="G1" s="6"/>
      <c r="H1" s="6"/>
      <c r="J1" s="3"/>
      <c r="K1" s="35"/>
      <c r="L1" s="107"/>
      <c r="M1" s="107"/>
      <c r="N1" s="107"/>
      <c r="O1" s="107"/>
      <c r="P1" s="107"/>
      <c r="Q1" s="107"/>
      <c r="R1" s="107"/>
      <c r="S1" s="107"/>
      <c r="T1" s="90"/>
      <c r="U1" s="46" t="s">
        <v>59</v>
      </c>
    </row>
    <row r="2" spans="1:21" x14ac:dyDescent="0.35">
      <c r="A2" s="4"/>
      <c r="B2" s="5"/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J2" s="3"/>
      <c r="K2" s="35"/>
      <c r="L2" s="95"/>
      <c r="M2" s="95"/>
      <c r="N2" s="95"/>
      <c r="O2" s="95"/>
      <c r="P2" s="107"/>
      <c r="Q2" s="107"/>
      <c r="R2" s="107"/>
      <c r="S2" s="107"/>
      <c r="T2" s="90"/>
      <c r="U2" s="92" t="s">
        <v>56</v>
      </c>
    </row>
    <row r="3" spans="1:21" x14ac:dyDescent="0.35">
      <c r="A3" s="5">
        <v>0.26700000000000002</v>
      </c>
      <c r="B3" s="15" t="s">
        <v>94</v>
      </c>
      <c r="C3" s="12">
        <v>4.72</v>
      </c>
      <c r="D3" s="12">
        <v>5.56</v>
      </c>
      <c r="E3" s="12">
        <v>6.44</v>
      </c>
      <c r="F3" s="12">
        <v>7.53</v>
      </c>
      <c r="G3" s="12">
        <v>8.66</v>
      </c>
      <c r="H3" s="12">
        <v>9.99</v>
      </c>
      <c r="J3" s="3"/>
      <c r="K3" s="17"/>
      <c r="L3" s="95"/>
      <c r="M3" s="95"/>
      <c r="N3" s="95"/>
      <c r="O3" s="95"/>
      <c r="P3" s="95"/>
      <c r="Q3" s="95"/>
      <c r="R3" s="95"/>
      <c r="S3" s="100"/>
      <c r="U3" s="46">
        <f>Q4-T3*Q3</f>
        <v>0</v>
      </c>
    </row>
    <row r="4" spans="1:21" x14ac:dyDescent="0.35">
      <c r="A4" s="5"/>
      <c r="B4" s="9" t="s">
        <v>95</v>
      </c>
      <c r="C4" s="7">
        <v>4.7699999999999996</v>
      </c>
      <c r="D4" s="7">
        <v>5.5</v>
      </c>
      <c r="E4" s="7">
        <v>6.41</v>
      </c>
      <c r="F4" s="7">
        <v>7.5</v>
      </c>
      <c r="G4" s="7">
        <v>8.81</v>
      </c>
      <c r="H4" s="7">
        <v>9.91</v>
      </c>
      <c r="J4" s="3"/>
      <c r="K4" s="17"/>
      <c r="L4" s="95"/>
      <c r="M4" s="95"/>
      <c r="N4" s="95"/>
      <c r="O4" s="95"/>
      <c r="P4" s="95"/>
      <c r="Q4" s="95"/>
      <c r="R4" s="95"/>
      <c r="S4" s="95"/>
      <c r="T4" s="99"/>
      <c r="U4" s="98" t="e">
        <f>(1/4+Q3^2/P9)*P8/2</f>
        <v>#DIV/0!</v>
      </c>
    </row>
    <row r="5" spans="1:21" x14ac:dyDescent="0.35">
      <c r="A5" s="5"/>
      <c r="B5" s="15" t="s">
        <v>96</v>
      </c>
      <c r="C5" s="12">
        <v>4.8099999999999996</v>
      </c>
      <c r="D5" s="12">
        <v>5.47</v>
      </c>
      <c r="E5" s="12">
        <v>6.4</v>
      </c>
      <c r="F5" s="12">
        <v>7.69</v>
      </c>
      <c r="G5" s="12">
        <v>8.81</v>
      </c>
      <c r="H5" s="12">
        <v>10.029999999999999</v>
      </c>
      <c r="J5" s="3"/>
      <c r="K5" s="17"/>
      <c r="L5" s="95"/>
      <c r="M5" s="95"/>
      <c r="N5" s="95"/>
      <c r="O5" s="95"/>
      <c r="P5" s="95"/>
      <c r="Q5" s="95"/>
      <c r="R5" s="95"/>
      <c r="S5" s="95"/>
      <c r="T5" s="95"/>
    </row>
    <row r="6" spans="1:21" x14ac:dyDescent="0.35">
      <c r="A6" s="5"/>
      <c r="B6" s="13" t="s">
        <v>97</v>
      </c>
      <c r="C6" s="14">
        <f>AVERAGE(C3:C5)</f>
        <v>4.7666666666666657</v>
      </c>
      <c r="D6" s="14">
        <f t="shared" ref="D6:H6" si="0">AVERAGE(D3:D5)</f>
        <v>5.5099999999999989</v>
      </c>
      <c r="E6" s="14">
        <f t="shared" si="0"/>
        <v>6.416666666666667</v>
      </c>
      <c r="F6" s="14">
        <f t="shared" si="0"/>
        <v>7.5733333333333341</v>
      </c>
      <c r="G6" s="14">
        <f t="shared" si="0"/>
        <v>8.76</v>
      </c>
      <c r="H6" s="14">
        <f t="shared" si="0"/>
        <v>9.9766666666666666</v>
      </c>
      <c r="J6" s="3"/>
      <c r="K6" s="17"/>
      <c r="L6" s="95"/>
      <c r="M6" s="95"/>
      <c r="N6" s="95"/>
      <c r="O6" s="95"/>
      <c r="P6" s="95"/>
      <c r="Q6" s="95"/>
      <c r="R6" s="95"/>
      <c r="S6" s="95"/>
      <c r="T6" s="95"/>
    </row>
    <row r="7" spans="1:21" x14ac:dyDescent="0.35">
      <c r="A7" s="5"/>
      <c r="B7" s="13" t="s">
        <v>98</v>
      </c>
      <c r="C7" s="14">
        <f xml:space="preserve"> SQRT(((C3-C6)^2 + (C4-C6)^2 + (C5-C6)^2)/(3*2))*$F$53</f>
        <v>6.125839162469443E-2</v>
      </c>
      <c r="D7" s="14">
        <f xml:space="preserve"> SQRT(((D3-D6)^2 + (D4-D6)^2 + (D5-D6)^2)/(3*2))*$F$53</f>
        <v>6.2254528349349685E-2</v>
      </c>
      <c r="E7" s="14">
        <f xml:space="preserve"> SQRT(((E3-E6)^2 + (E4-E6)^2 + (E5-E6)^2)/(3*2))*$F$53</f>
        <v>2.8279540503889301E-2</v>
      </c>
      <c r="F7" s="14">
        <f xml:space="preserve"> SQRT(((F3-F6)^2 + (F4-F6)^2 + (F5-F6)^2)/(3*2))*$F$53</f>
        <v>0.13876273182827051</v>
      </c>
      <c r="G7" s="14">
        <f xml:space="preserve"> SQRT(((G3-G6)^2 + (G4-G6)^2 + (G5-G6)^2)/(3*2))*$F$53</f>
        <v>0.1176500000000003</v>
      </c>
      <c r="H7" s="14">
        <f xml:space="preserve"> SQRT(((H3-H6)^2 + (H4-H6)^2 + (H5-H6)^2)/(3*2))*$F$53</f>
        <v>8.3006037799132654E-2</v>
      </c>
      <c r="J7" s="3"/>
      <c r="K7" s="17"/>
      <c r="L7" s="95"/>
      <c r="M7" s="95"/>
      <c r="N7" s="95"/>
      <c r="O7" s="95"/>
      <c r="P7" s="95"/>
      <c r="Q7" s="95"/>
      <c r="R7" s="95"/>
      <c r="S7" s="95"/>
      <c r="T7" s="95"/>
    </row>
    <row r="8" spans="1:21" x14ac:dyDescent="0.35">
      <c r="A8" s="5"/>
      <c r="B8" s="29" t="s">
        <v>99</v>
      </c>
      <c r="C8" s="30">
        <f>2*$F$54/C6^2</f>
        <v>6.1616704973348348E-2</v>
      </c>
      <c r="D8" s="30">
        <f>2*$F$54/D6^2</f>
        <v>4.6113155095009586E-2</v>
      </c>
      <c r="E8" s="30">
        <f>2*$F$54/E6^2</f>
        <v>3.4002361275088544E-2</v>
      </c>
      <c r="F8" s="30">
        <f>2*$F$54/F6^2</f>
        <v>2.4409219400912511E-2</v>
      </c>
      <c r="G8" s="30">
        <f>2*$F$54/G6^2</f>
        <v>1.8243989908467297E-2</v>
      </c>
      <c r="H8" s="30">
        <f>2*$F$54/H6^2</f>
        <v>1.4065562713488172E-2</v>
      </c>
      <c r="J8" s="3"/>
      <c r="K8" s="17"/>
      <c r="L8" s="95"/>
      <c r="M8" s="95"/>
      <c r="N8" s="95"/>
      <c r="O8" s="95"/>
      <c r="P8" s="95"/>
    </row>
    <row r="9" spans="1:21" x14ac:dyDescent="0.35">
      <c r="A9" s="5"/>
      <c r="B9" s="29" t="s">
        <v>100</v>
      </c>
      <c r="C9" s="43">
        <f>2*C8*($G$54/$F$54+C7/C6)</f>
        <v>2.1118663647364576E-3</v>
      </c>
      <c r="D9" s="43">
        <f>2*D8*($G$54/$F$54+D7/D6)</f>
        <v>1.4372711218660474E-3</v>
      </c>
      <c r="E9" s="43">
        <f>2*E8*($G$54/$F$54+E7/E6)</f>
        <v>5.9115930014701679E-4</v>
      </c>
      <c r="F9" s="43">
        <f>2*F8*($G$54/$F$54+F7/F6)</f>
        <v>1.1036998645227994E-3</v>
      </c>
      <c r="G9" s="43">
        <f>2*G8*($G$54/$F$54+G7/G6)</f>
        <v>6.4642395424212285E-4</v>
      </c>
      <c r="H9" s="43">
        <f>2*H8*($G$54/$F$54+H7/H6)</f>
        <v>3.5461341220887119E-4</v>
      </c>
      <c r="J9" s="3"/>
      <c r="K9" s="17"/>
      <c r="L9" s="95"/>
      <c r="M9" s="95"/>
      <c r="N9" s="95"/>
      <c r="O9" s="95"/>
      <c r="P9" s="95"/>
    </row>
    <row r="10" spans="1:21" x14ac:dyDescent="0.35">
      <c r="A10" s="5"/>
      <c r="B10" s="20" t="s">
        <v>104</v>
      </c>
      <c r="C10" s="21">
        <f>2*C8/$F$60</f>
        <v>2.678987172754276</v>
      </c>
      <c r="D10" s="21">
        <f>2*D8/$F$60</f>
        <v>2.0049197867395474</v>
      </c>
      <c r="E10" s="21">
        <f>2*E8/$F$60</f>
        <v>1.478363533699502</v>
      </c>
      <c r="F10" s="21">
        <f>2*F8/$F$60</f>
        <v>1.0612704087353266</v>
      </c>
      <c r="G10" s="21">
        <f>2*G8/$F$60</f>
        <v>0.79321695254205637</v>
      </c>
      <c r="H10" s="21">
        <f>2*H8/$F$60</f>
        <v>0.61154620493426837</v>
      </c>
      <c r="J10" s="3"/>
      <c r="K10" s="17"/>
      <c r="L10" s="95"/>
      <c r="M10" s="95"/>
      <c r="N10" s="95"/>
      <c r="O10" s="95"/>
      <c r="P10" s="95"/>
    </row>
    <row r="11" spans="1:21" x14ac:dyDescent="0.35">
      <c r="A11" s="5"/>
      <c r="B11" s="20" t="s">
        <v>101</v>
      </c>
      <c r="C11" s="21">
        <f>C10*(2*(C9/C8) + ($G$60/$F$60))</f>
        <v>0.4748348113634176</v>
      </c>
      <c r="D11" s="21">
        <f>D10*(2*(D9/D8) + ($G$60/$F$60))</f>
        <v>0.34290616132960716</v>
      </c>
      <c r="E11" s="21">
        <f>E10*(2*(E9/E8) + ($G$60/$F$60))</f>
        <v>0.21209684498012127</v>
      </c>
      <c r="F11" s="21">
        <f>F10*(2*(F9/F8) + ($G$60/$F$60))</f>
        <v>0.21132938047321373</v>
      </c>
      <c r="G11" s="21">
        <f>G10*(2*(G9/G8) + ($G$60/$F$60))</f>
        <v>0.14243001260171248</v>
      </c>
      <c r="H11" s="21">
        <f>H10*(2*(H9/H8) + ($G$60/$F$60))</f>
        <v>9.7308362467539711E-2</v>
      </c>
      <c r="J11" s="3"/>
      <c r="K11" s="17"/>
      <c r="L11" s="95"/>
      <c r="M11" s="95"/>
      <c r="N11" s="95"/>
      <c r="O11" s="95"/>
      <c r="P11" s="95"/>
    </row>
    <row r="12" spans="1:21" x14ac:dyDescent="0.35">
      <c r="A12" s="5"/>
      <c r="B12" s="33" t="s">
        <v>102</v>
      </c>
      <c r="C12" s="34">
        <f>$A$3*$F$60*($F$52-C8)/2</f>
        <v>5.9923161314758673E-2</v>
      </c>
      <c r="D12" s="34">
        <f>$A$3*$F$60*($F$52-D8)/2</f>
        <v>6.0018368614561557E-2</v>
      </c>
      <c r="E12" s="34">
        <f>$A$3*$F$60*($F$52-E8)/2</f>
        <v>6.0092740999409686E-2</v>
      </c>
      <c r="F12" s="34">
        <f>$A$3*$F$60*($F$52-F8)/2</f>
        <v>6.0151652483659002E-2</v>
      </c>
      <c r="G12" s="34">
        <f>$A$3*$F$60*($F$52-G8)/2</f>
        <v>6.0189513157972101E-2</v>
      </c>
      <c r="H12" s="34">
        <f>$A$3*$F$60*($F$52-H8)/2</f>
        <v>6.0215172879376472E-2</v>
      </c>
      <c r="J12" s="3"/>
      <c r="K12" s="17"/>
      <c r="L12" s="95"/>
      <c r="M12" s="95"/>
      <c r="N12" s="95"/>
      <c r="O12" s="95"/>
      <c r="P12" s="95"/>
    </row>
    <row r="13" spans="1:21" x14ac:dyDescent="0.35">
      <c r="A13" s="5"/>
      <c r="B13" s="33" t="s">
        <v>103</v>
      </c>
      <c r="C13" s="40">
        <f>1/2*C12*(C9/C8+$G$60/$F$60+(($G$55+$G$56)/$A$3))</f>
        <v>5.4057608414446621E-3</v>
      </c>
      <c r="D13" s="40">
        <f>1/2*D12*(D9/D8+$G$60/$F$60+(($G$55+$G$56)/$A$3))</f>
        <v>5.32114421325121E-3</v>
      </c>
      <c r="E13" s="40">
        <f>1/2*E12*(E9/E8+$G$60/$F$60+(($G$55+$G$56)/$A$3))</f>
        <v>4.9136231792322937E-3</v>
      </c>
      <c r="F13" s="40">
        <f>1/2*F12*(F9/F8+$G$60/$F$60+(($G$55+$G$56)/$A$3))</f>
        <v>5.7554710723500867E-3</v>
      </c>
      <c r="G13" s="40">
        <f>1/2*G12*(G9/G8+$G$60/$F$60+(($G$55+$G$56)/$A$3))</f>
        <v>5.4646358396682219E-3</v>
      </c>
      <c r="H13" s="40">
        <f>1/2*H12*(H9/H8+$G$60/$F$60+(($G$55+$G$56)/$A$3))</f>
        <v>5.1592450016018062E-3</v>
      </c>
      <c r="J13" s="3"/>
      <c r="K13" s="3"/>
      <c r="L13" s="104"/>
      <c r="M13" s="104"/>
      <c r="N13" s="104"/>
      <c r="O13" s="104"/>
      <c r="P13" s="104"/>
    </row>
    <row r="14" spans="1:21" x14ac:dyDescent="0.35">
      <c r="A14" s="5">
        <v>0.48699999999999999</v>
      </c>
      <c r="B14" s="15" t="s">
        <v>94</v>
      </c>
      <c r="C14" s="12">
        <v>3.38</v>
      </c>
      <c r="D14" s="12">
        <v>3.91</v>
      </c>
      <c r="E14" s="12">
        <v>4.8099999999999996</v>
      </c>
      <c r="F14" s="12">
        <v>5.59</v>
      </c>
      <c r="G14" s="12">
        <v>6.41</v>
      </c>
      <c r="H14" s="12">
        <v>7.12</v>
      </c>
      <c r="J14" s="106"/>
      <c r="K14" s="85"/>
      <c r="L14" s="85"/>
      <c r="M14" s="85"/>
      <c r="N14" s="85"/>
      <c r="O14" s="85"/>
      <c r="P14" s="85"/>
    </row>
    <row r="15" spans="1:21" x14ac:dyDescent="0.35">
      <c r="A15" s="5"/>
      <c r="B15" s="9" t="s">
        <v>95</v>
      </c>
      <c r="C15" s="7">
        <v>3.5</v>
      </c>
      <c r="D15" s="7">
        <v>4</v>
      </c>
      <c r="E15" s="7">
        <v>4.75</v>
      </c>
      <c r="F15" s="7">
        <v>5.56</v>
      </c>
      <c r="G15" s="7">
        <v>6.21</v>
      </c>
      <c r="H15" s="7">
        <v>7.19</v>
      </c>
      <c r="J15" s="106"/>
      <c r="K15" s="2"/>
      <c r="L15" s="2"/>
      <c r="M15" s="2"/>
      <c r="N15" s="2"/>
      <c r="O15" s="2"/>
      <c r="P15" s="2"/>
    </row>
    <row r="16" spans="1:21" x14ac:dyDescent="0.35">
      <c r="A16" s="5"/>
      <c r="B16" s="15" t="s">
        <v>96</v>
      </c>
      <c r="C16" s="12">
        <v>3.44</v>
      </c>
      <c r="D16" s="12">
        <v>4.0599999999999996</v>
      </c>
      <c r="E16" s="12">
        <v>4.79</v>
      </c>
      <c r="F16" s="12">
        <v>5.46</v>
      </c>
      <c r="G16" s="12">
        <v>6.31</v>
      </c>
      <c r="H16" s="12">
        <v>7.13</v>
      </c>
      <c r="J16" s="3"/>
      <c r="K16" s="105"/>
      <c r="L16" s="105"/>
      <c r="M16" s="105"/>
      <c r="N16" s="105"/>
      <c r="O16" s="105"/>
      <c r="P16" s="105"/>
    </row>
    <row r="17" spans="1:10" x14ac:dyDescent="0.35">
      <c r="A17" s="5"/>
      <c r="B17" s="13" t="s">
        <v>97</v>
      </c>
      <c r="C17" s="14">
        <f>AVERAGE(C14:C16)</f>
        <v>3.44</v>
      </c>
      <c r="D17" s="14">
        <f t="shared" ref="D17:H17" si="1">AVERAGE(D14:D16)</f>
        <v>3.9899999999999998</v>
      </c>
      <c r="E17" s="14">
        <f t="shared" si="1"/>
        <v>4.7833333333333323</v>
      </c>
      <c r="F17" s="14">
        <f t="shared" si="1"/>
        <v>5.5366666666666662</v>
      </c>
      <c r="G17" s="14">
        <f t="shared" si="1"/>
        <v>6.31</v>
      </c>
      <c r="H17" s="14">
        <f t="shared" si="1"/>
        <v>7.1466666666666674</v>
      </c>
      <c r="J17" s="3"/>
    </row>
    <row r="18" spans="1:10" x14ac:dyDescent="0.35">
      <c r="A18" s="5"/>
      <c r="B18" s="13" t="s">
        <v>98</v>
      </c>
      <c r="C18" s="14">
        <f xml:space="preserve"> SQRT(((C14-C17)^2 + (C15-C17)^2 + (C16-C17)^2)/(3*2))*$F$53</f>
        <v>8.1510311004191441E-2</v>
      </c>
      <c r="D18" s="14">
        <f xml:space="preserve"> SQRT(((D14-D17)^2 + (D15-D17)^2 + (D16-D17)^2)/(3*2))*$F$53</f>
        <v>0.10256489214151171</v>
      </c>
      <c r="E18" s="14">
        <f xml:space="preserve"> SQRT(((E14-E17)^2 + (E15-E17)^2 + (E16-E17)^2)/(3*2))*$F$53</f>
        <v>4.1503018899566327E-2</v>
      </c>
      <c r="F18" s="14">
        <f xml:space="preserve"> SQRT(((F14-F17)^2 + (F15-F17)^2 + (F16-F17)^2)/(3*2))*$F$53</f>
        <v>9.2471536221212888E-2</v>
      </c>
      <c r="G18" s="14">
        <f xml:space="preserve"> SQRT(((G14-G17)^2 + (G15-G17)^2 + (G16-G17)^2)/(3*2))*$F$53</f>
        <v>0.13585051834031908</v>
      </c>
      <c r="H18" s="14">
        <f xml:space="preserve"> SQRT(((H14-H17)^2 + (H15-H17)^2 + (H16-H17)^2)/(3*2))*$F$53</f>
        <v>5.1432176158942321E-2</v>
      </c>
      <c r="J18" s="3"/>
    </row>
    <row r="19" spans="1:10" x14ac:dyDescent="0.35">
      <c r="A19" s="5"/>
      <c r="B19" s="29" t="s">
        <v>99</v>
      </c>
      <c r="C19" s="30">
        <f>2*$F$54/C17^2</f>
        <v>0.11830719307733911</v>
      </c>
      <c r="D19" s="30">
        <f>2*$F$54/D17^2</f>
        <v>8.7939146110891264E-2</v>
      </c>
      <c r="E19" s="30">
        <f>2*$F$54/E17^2</f>
        <v>6.1188068326676323E-2</v>
      </c>
      <c r="F19" s="30">
        <f>2*$F$54/F17^2</f>
        <v>4.5670028246550011E-2</v>
      </c>
      <c r="G19" s="30">
        <f>2*$F$54/G17^2</f>
        <v>3.5161655712136551E-2</v>
      </c>
      <c r="H19" s="30">
        <f>2*$F$54/H17^2</f>
        <v>2.7410754065493422E-2</v>
      </c>
      <c r="J19" s="3"/>
    </row>
    <row r="20" spans="1:10" x14ac:dyDescent="0.35">
      <c r="A20" s="5"/>
      <c r="B20" s="29" t="s">
        <v>100</v>
      </c>
      <c r="C20" s="43">
        <f>2*C19*($G$54/$F$54+C18/C17)</f>
        <v>6.6206059001618972E-3</v>
      </c>
      <c r="D20" s="43">
        <f>2*D19*($G$54/$F$54+D18/D17)</f>
        <v>5.2748012202388185E-3</v>
      </c>
      <c r="E20" s="43">
        <f>2*E19*($G$54/$F$54+E18/E17)</f>
        <v>1.5862766370258684E-3</v>
      </c>
      <c r="F20" s="43">
        <f>2*F19*($G$54/$F$54+F18/F17)</f>
        <v>1.916988151216545E-3</v>
      </c>
      <c r="G20" s="43">
        <f>2*G19*($G$54/$F$54+G18/G17)</f>
        <v>1.8154043697392163E-3</v>
      </c>
      <c r="H20" s="43">
        <f>2*H19*($G$54/$F$54+H18/H17)</f>
        <v>6.2948142832608357E-4</v>
      </c>
      <c r="J20" s="3"/>
    </row>
    <row r="21" spans="1:10" x14ac:dyDescent="0.35">
      <c r="A21" s="5"/>
      <c r="B21" s="20" t="s">
        <v>104</v>
      </c>
      <c r="C21" s="21">
        <f>2*C19/$F$60</f>
        <v>5.14379100336257</v>
      </c>
      <c r="D21" s="21">
        <f>2*D19/$F$60</f>
        <v>3.8234411352561422</v>
      </c>
      <c r="E21" s="21">
        <f>2*E19/$F$60</f>
        <v>2.6603507968120139</v>
      </c>
      <c r="F21" s="21">
        <f>2*F19/$F$60</f>
        <v>1.9856534020239136</v>
      </c>
      <c r="G21" s="21">
        <f>2*G19/$F$60</f>
        <v>1.5287676396581109</v>
      </c>
      <c r="H21" s="21">
        <f>2*H19/$F$60</f>
        <v>1.1917719158910183</v>
      </c>
      <c r="J21" s="3"/>
    </row>
    <row r="22" spans="1:10" x14ac:dyDescent="0.35">
      <c r="A22" s="5"/>
      <c r="B22" s="20" t="s">
        <v>101</v>
      </c>
      <c r="C22" s="21">
        <f>C21*(2*(C20/C19) + ($G$60/$F$60))</f>
        <v>1.1348125786404444</v>
      </c>
      <c r="D22" s="21">
        <f>D21*(2*(D20/D19) + ($G$60/$F$60))</f>
        <v>0.87426979472252153</v>
      </c>
      <c r="E22" s="21">
        <f>E21*(2*(E20/E19) + ($G$60/$F$60))</f>
        <v>0.42710566374268577</v>
      </c>
      <c r="F22" s="21">
        <f>F21*(2*(F20/F19) + ($G$60/$F$60))</f>
        <v>0.38252651336925542</v>
      </c>
      <c r="G22" s="21">
        <f>G21*(2*(G20/G19) + ($G$60/$F$60))</f>
        <v>0.32403164515755262</v>
      </c>
      <c r="H22" s="21">
        <f>H21*(2*(H20/H19) + ($G$60/$F$60))</f>
        <v>0.18427794114694407</v>
      </c>
      <c r="J22" s="3"/>
    </row>
    <row r="23" spans="1:10" x14ac:dyDescent="0.35">
      <c r="A23" s="5"/>
      <c r="B23" s="33" t="s">
        <v>102</v>
      </c>
      <c r="C23" s="34">
        <f>$A$14*$F$60*($F$52-C19)/2</f>
        <v>0.10866306063034072</v>
      </c>
      <c r="D23" s="34">
        <f>$A$14*$F$60*($F$52-D19)/2</f>
        <v>0.1090032131244119</v>
      </c>
      <c r="E23" s="34">
        <f>$A$14*$F$60*($F$52-E19)/2</f>
        <v>0.1093028519466729</v>
      </c>
      <c r="F23" s="34">
        <f>$A$14*$F$60*($F$52-F19)/2</f>
        <v>0.10947666951361039</v>
      </c>
      <c r="G23" s="34">
        <f>$A$14*$F$60*($F$52-G19)/2</f>
        <v>0.10959437379436836</v>
      </c>
      <c r="H23" s="34">
        <f>$A$14*$F$60*($F$52-H19)/2</f>
        <v>0.10968119164371239</v>
      </c>
      <c r="J23" s="3"/>
    </row>
    <row r="24" spans="1:10" x14ac:dyDescent="0.35">
      <c r="A24" s="5"/>
      <c r="B24" s="33" t="s">
        <v>103</v>
      </c>
      <c r="C24" s="39">
        <f>1/2*C23*(C20/C19+$G$60/$F$60+(($G$55+2*$G$56)/$A$14))</f>
        <v>1.0619511486869118E-2</v>
      </c>
      <c r="D24" s="39">
        <f>1/2*D23*(D20/D19+$G$60/$F$60+(($G$55+2*$G$56)/$A$14))</f>
        <v>1.0871919195700106E-2</v>
      </c>
      <c r="E24" s="39">
        <f>1/2*E23*(E20/E19+$G$60/$F$60+(($G$55+2*$G$56)/$A$14))</f>
        <v>9.0404979481931783E-3</v>
      </c>
      <c r="F24" s="39">
        <f>1/2*F23*(F20/F19+$G$60/$F$60+(($G$55+2*$G$56)/$A$14))</f>
        <v>9.9334327417637605E-3</v>
      </c>
      <c r="G24" s="39">
        <f>1/2*G23*(G20/G19+$G$60/$F$60+(($G$55+2*$G$56)/$A$14))</f>
        <v>1.0473205691432043E-2</v>
      </c>
      <c r="H24" s="39">
        <f>1/2*H23*(H20/H19+$G$60/$F$60+(($G$55+2*$G$56)/$A$14))</f>
        <v>8.9094709243059782E-3</v>
      </c>
      <c r="J24" s="3"/>
    </row>
    <row r="25" spans="1:10" x14ac:dyDescent="0.35">
      <c r="A25" s="5">
        <v>0.70699999999999996</v>
      </c>
      <c r="B25" s="15" t="s">
        <v>94</v>
      </c>
      <c r="C25" s="12">
        <v>2.94</v>
      </c>
      <c r="D25" s="12">
        <v>3.28</v>
      </c>
      <c r="E25" s="12">
        <v>3.81</v>
      </c>
      <c r="F25" s="12">
        <v>4.47</v>
      </c>
      <c r="G25" s="12">
        <v>5.19</v>
      </c>
      <c r="H25" s="12">
        <v>5.71</v>
      </c>
      <c r="J25" s="3"/>
    </row>
    <row r="26" spans="1:10" x14ac:dyDescent="0.35">
      <c r="A26" s="5"/>
      <c r="B26" s="9" t="s">
        <v>95</v>
      </c>
      <c r="C26" s="7">
        <v>2.84</v>
      </c>
      <c r="D26" s="7">
        <v>3.37</v>
      </c>
      <c r="E26" s="7">
        <v>4</v>
      </c>
      <c r="F26" s="7">
        <v>4.47</v>
      </c>
      <c r="G26" s="7">
        <v>5</v>
      </c>
      <c r="H26" s="7">
        <v>5.68</v>
      </c>
      <c r="J26" s="3"/>
    </row>
    <row r="27" spans="1:10" x14ac:dyDescent="0.35">
      <c r="A27" s="5"/>
      <c r="B27" s="15" t="s">
        <v>96</v>
      </c>
      <c r="C27" s="12">
        <v>2.8</v>
      </c>
      <c r="D27" s="12">
        <v>3.4</v>
      </c>
      <c r="E27" s="12">
        <v>3.84</v>
      </c>
      <c r="F27" s="12">
        <v>4.5599999999999996</v>
      </c>
      <c r="G27" s="12">
        <v>5.12</v>
      </c>
      <c r="H27" s="12">
        <v>5.65</v>
      </c>
      <c r="J27" s="3"/>
    </row>
    <row r="28" spans="1:10" x14ac:dyDescent="0.35">
      <c r="A28" s="5"/>
      <c r="B28" s="13" t="s">
        <v>97</v>
      </c>
      <c r="C28" s="14">
        <f>AVERAGE(C25:C27)</f>
        <v>2.8599999999999994</v>
      </c>
      <c r="D28" s="14">
        <f t="shared" ref="D28:H28" si="2">AVERAGE(D25:D27)</f>
        <v>3.35</v>
      </c>
      <c r="E28" s="14">
        <f t="shared" si="2"/>
        <v>3.8833333333333333</v>
      </c>
      <c r="F28" s="14">
        <f t="shared" si="2"/>
        <v>4.5</v>
      </c>
      <c r="G28" s="14">
        <f t="shared" si="2"/>
        <v>5.1033333333333344</v>
      </c>
      <c r="H28" s="14">
        <f t="shared" si="2"/>
        <v>5.68</v>
      </c>
    </row>
    <row r="29" spans="1:10" x14ac:dyDescent="0.35">
      <c r="A29" s="5"/>
      <c r="B29" s="13" t="s">
        <v>98</v>
      </c>
      <c r="C29" s="14">
        <f xml:space="preserve"> SQRT(((C25-C28)^2 + (C26-C28)^2 + (C27-C28)^2)/(3*2))*$F$53</f>
        <v>9.7963201934876315E-2</v>
      </c>
      <c r="D29" s="14">
        <f xml:space="preserve"> SQRT(((D25-D28)^2 + (D26-D28)^2 + (D27-D28)^2)/(3*2))*$F$53</f>
        <v>8.4838621511667794E-2</v>
      </c>
      <c r="E29" s="14">
        <f xml:space="preserve"> SQRT(((E25-E28)^2 + (E26-E28)^2 + (E27-E28)^2)/(3*2))*$F$53</f>
        <v>0.13876273182827026</v>
      </c>
      <c r="F29" s="14">
        <f xml:space="preserve"> SQRT(((F25-F28)^2 + (F26-F28)^2 + (F27-F28)^2)/(3*2))*$F$53</f>
        <v>7.0589999999999903E-2</v>
      </c>
      <c r="G29" s="14">
        <f xml:space="preserve"> SQRT(((G25-G28)^2 + (G26-G28)^2 + (G27-G28)^2)/(3*2))*$F$53</f>
        <v>0.13053908282366822</v>
      </c>
      <c r="H29" s="14">
        <f xml:space="preserve"> SQRT(((H25-H28)^2 + (H26-H28)^2 + (H27-H28)^2)/(3*2))*$F$53</f>
        <v>4.0755155502095415E-2</v>
      </c>
    </row>
    <row r="30" spans="1:10" x14ac:dyDescent="0.35">
      <c r="A30" s="5"/>
      <c r="B30" s="29" t="s">
        <v>99</v>
      </c>
      <c r="C30" s="30">
        <f>2*$F$54/C28^2</f>
        <v>0.17115751381485653</v>
      </c>
      <c r="D30" s="30">
        <f>2*$F$54/D28^2</f>
        <v>0.12474938739140119</v>
      </c>
      <c r="E30" s="30">
        <f>2*$F$54/E28^2</f>
        <v>9.2836486212676594E-2</v>
      </c>
      <c r="F30" s="30">
        <f>2*$F$54/F28^2</f>
        <v>6.9135802469135796E-2</v>
      </c>
      <c r="G30" s="30">
        <f>2*$F$54/G28^2</f>
        <v>5.3755160602074838E-2</v>
      </c>
      <c r="H30" s="30">
        <f>2*$F$54/H28^2</f>
        <v>4.3394167823844476E-2</v>
      </c>
    </row>
    <row r="31" spans="1:10" x14ac:dyDescent="0.35">
      <c r="A31" s="5"/>
      <c r="B31" s="29" t="s">
        <v>100</v>
      </c>
      <c r="C31" s="43">
        <f>2*C30*($G$54/$F$54+C29/C28)</f>
        <v>1.3192335794698095E-2</v>
      </c>
      <c r="D31" s="43">
        <f>2*D30*($G$54/$F$54+D29/D28)</f>
        <v>7.3878273652721854E-3</v>
      </c>
      <c r="E31" s="43">
        <f>2*E30*($G$54/$F$54+E29/E28)</f>
        <v>7.4303736401155141E-3</v>
      </c>
      <c r="F31" s="43">
        <f>2*F30*($G$54/$F$54+F29/F28)</f>
        <v>2.7616131687242763E-3</v>
      </c>
      <c r="G31" s="43">
        <f>2*G30*($G$54/$F$54+G29/G28)</f>
        <v>3.2107843961415219E-3</v>
      </c>
      <c r="H31" s="43">
        <f>2*H30*($G$54/$F$54+H29/H28)</f>
        <v>9.9467397384289473E-4</v>
      </c>
    </row>
    <row r="32" spans="1:10" x14ac:dyDescent="0.35">
      <c r="A32" s="5"/>
      <c r="B32" s="20" t="s">
        <v>104</v>
      </c>
      <c r="C32" s="21">
        <f>2*C30/$F$60</f>
        <v>7.4416310354285446</v>
      </c>
      <c r="D32" s="21">
        <f>2*D30/$F$60</f>
        <v>5.423886408321791</v>
      </c>
      <c r="E32" s="21">
        <f>2*E30/$F$60</f>
        <v>4.0363689657685473</v>
      </c>
      <c r="F32" s="21">
        <f>2*F30/$F$60</f>
        <v>3.0059044551798171</v>
      </c>
      <c r="G32" s="21">
        <f>2*G30/$F$60</f>
        <v>2.3371808957423843</v>
      </c>
      <c r="H32" s="21">
        <f>2*H30/$F$60</f>
        <v>1.8867029488628033</v>
      </c>
    </row>
    <row r="33" spans="1:21" x14ac:dyDescent="0.35">
      <c r="A33" s="5"/>
      <c r="B33" s="20" t="s">
        <v>101</v>
      </c>
      <c r="C33" s="21">
        <f>C32*(2*(C31/C30) + ($G$60/$F$60))</f>
        <v>1.9560325729551109</v>
      </c>
      <c r="D33" s="21">
        <f t="shared" ref="D33:H33" si="3">D32*(2*(D31/D30) + ($G$60/$F$60))</f>
        <v>1.2319726413629934</v>
      </c>
      <c r="E33" s="21">
        <f t="shared" si="3"/>
        <v>1.0848552041153217</v>
      </c>
      <c r="F33" s="21">
        <f t="shared" si="3"/>
        <v>0.56686902066948242</v>
      </c>
      <c r="G33" s="21">
        <f t="shared" si="3"/>
        <v>0.53324004485386978</v>
      </c>
      <c r="H33" s="21">
        <f t="shared" si="3"/>
        <v>0.29156979651490428</v>
      </c>
    </row>
    <row r="34" spans="1:21" x14ac:dyDescent="0.35">
      <c r="A34" s="5"/>
      <c r="B34" s="33" t="s">
        <v>102</v>
      </c>
      <c r="C34" s="34">
        <f>$A$25*$F$60*($F$52-C30)/2</f>
        <v>0.15689169716785659</v>
      </c>
      <c r="D34" s="34">
        <f>$A$25*$F$60*($F$52-D30)/2</f>
        <v>0.15764633971162839</v>
      </c>
      <c r="E34" s="34">
        <f>$A$25*$F$60*($F$52-E30)/2</f>
        <v>0.15816527539769562</v>
      </c>
      <c r="F34" s="34">
        <f>$A$25*$F$60*($F$52-F30)/2</f>
        <v>0.15855067221604935</v>
      </c>
      <c r="G34" s="34">
        <f>$A$25*$F$60*($F$52-G30)/2</f>
        <v>0.15880077683344965</v>
      </c>
      <c r="H34" s="34">
        <f>$A$25*$F$60*($F$52-H30)/2</f>
        <v>0.15896925693701644</v>
      </c>
    </row>
    <row r="35" spans="1:21" x14ac:dyDescent="0.35">
      <c r="A35" s="5"/>
      <c r="B35" s="33" t="s">
        <v>103</v>
      </c>
      <c r="C35" s="39">
        <f>1/2*C34*(C31/C30+$G$60/$F$60+(($G$55+3*$G$56)/$A$25))</f>
        <v>1.6792224995333536E-2</v>
      </c>
      <c r="D35" s="39">
        <f>1/2*D34*(D31/D30+$G$60/$F$60+(($G$55+3*$G$56)/$A$25))</f>
        <v>1.5465543171700338E-2</v>
      </c>
      <c r="E35" s="39">
        <f>1/2*E34*(E31/E30+$G$60/$F$60+(($G$55+3*$G$56)/$A$25))</f>
        <v>1.7162625422719114E-2</v>
      </c>
      <c r="F35" s="39">
        <f>1/2*F34*(F31/F30+$G$60/$F$60+(($G$55+3*$G$56)/$A$25))</f>
        <v>1.4026102550755015E-2</v>
      </c>
      <c r="G35" s="39">
        <f>1/2*G34*(G31/G30+$G$60/$F$60+(($G$55+3*$G$56)/$A$25))</f>
        <v>1.561916675520433E-2</v>
      </c>
      <c r="H35" s="39">
        <f>1/2*H34*(H31/H30+$G$60/$F$60+(($G$55+3*$G$56)/$A$25))</f>
        <v>1.2710071444220806E-2</v>
      </c>
    </row>
    <row r="36" spans="1:21" x14ac:dyDescent="0.35">
      <c r="A36" s="5">
        <v>0.92700000000000005</v>
      </c>
      <c r="B36" s="15" t="s">
        <v>94</v>
      </c>
      <c r="C36" s="12">
        <v>2.56</v>
      </c>
      <c r="D36" s="12">
        <v>2.94</v>
      </c>
      <c r="E36" s="12">
        <v>3.44</v>
      </c>
      <c r="F36" s="12">
        <v>3.91</v>
      </c>
      <c r="G36" s="12">
        <v>4.5</v>
      </c>
      <c r="H36" s="12">
        <v>4.88</v>
      </c>
    </row>
    <row r="37" spans="1:21" x14ac:dyDescent="0.35">
      <c r="A37" s="5"/>
      <c r="B37" s="9" t="s">
        <v>95</v>
      </c>
      <c r="C37" s="7">
        <v>2.58</v>
      </c>
      <c r="D37" s="7">
        <v>2.88</v>
      </c>
      <c r="E37" s="7">
        <v>3.46</v>
      </c>
      <c r="F37" s="7">
        <v>3.97</v>
      </c>
      <c r="G37" s="7">
        <v>4.43</v>
      </c>
      <c r="H37" s="7">
        <v>4.91</v>
      </c>
    </row>
    <row r="38" spans="1:21" x14ac:dyDescent="0.35">
      <c r="A38" s="5"/>
      <c r="B38" s="15" t="s">
        <v>96</v>
      </c>
      <c r="C38" s="12">
        <v>2.44</v>
      </c>
      <c r="D38" s="12">
        <v>2.81</v>
      </c>
      <c r="E38" s="12">
        <v>3.28</v>
      </c>
      <c r="F38" s="12">
        <v>3.91</v>
      </c>
      <c r="G38" s="12">
        <v>4.3499999999999996</v>
      </c>
      <c r="H38" s="12">
        <v>4.93</v>
      </c>
    </row>
    <row r="39" spans="1:21" x14ac:dyDescent="0.35">
      <c r="A39" s="5"/>
      <c r="B39" s="13" t="s">
        <v>97</v>
      </c>
      <c r="C39" s="14">
        <f>AVERAGE(C36:C38)</f>
        <v>2.5266666666666668</v>
      </c>
      <c r="D39" s="14">
        <f t="shared" ref="D39:H39" si="4">AVERAGE(D36:D38)</f>
        <v>2.8766666666666669</v>
      </c>
      <c r="E39" s="14">
        <f t="shared" si="4"/>
        <v>3.3933333333333331</v>
      </c>
      <c r="F39" s="14">
        <f t="shared" si="4"/>
        <v>3.93</v>
      </c>
      <c r="G39" s="14">
        <f t="shared" si="4"/>
        <v>4.4266666666666667</v>
      </c>
      <c r="H39" s="14">
        <f t="shared" si="4"/>
        <v>4.9066666666666663</v>
      </c>
    </row>
    <row r="40" spans="1:21" x14ac:dyDescent="0.35">
      <c r="A40" s="5"/>
      <c r="B40" s="13" t="s">
        <v>98</v>
      </c>
      <c r="C40" s="14">
        <f xml:space="preserve"> SQRT(((C36-C39)^2 + (C37-C39)^2 + (C38-C39)^2)/(3*2))*$F$53</f>
        <v>0.10286435231788416</v>
      </c>
      <c r="D40" s="14">
        <f t="shared" ref="D40:H40" si="5" xml:space="preserve"> SQRT(((D36-D39)^2 + (D37-D39)^2 + (D38-D39)^2)/(3*2))*$F$53</f>
        <v>8.8389877688442156E-2</v>
      </c>
      <c r="E40" s="14">
        <f t="shared" si="5"/>
        <v>0.13402693875154781</v>
      </c>
      <c r="F40" s="14">
        <f t="shared" si="5"/>
        <v>4.7060000000000046E-2</v>
      </c>
      <c r="G40" s="14">
        <f t="shared" si="5"/>
        <v>0.10196333333333357</v>
      </c>
      <c r="H40" s="14">
        <f t="shared" si="5"/>
        <v>3.4188297380503933E-2</v>
      </c>
    </row>
    <row r="41" spans="1:21" x14ac:dyDescent="0.35">
      <c r="A41" s="5"/>
      <c r="B41" s="29" t="s">
        <v>99</v>
      </c>
      <c r="C41" s="30">
        <f>2*$F$54/C39^2</f>
        <v>0.21929671890337712</v>
      </c>
      <c r="D41" s="30">
        <f t="shared" ref="D41:H41" si="6">2*$F$54/D39^2</f>
        <v>0.1691799739248008</v>
      </c>
      <c r="E41" s="30">
        <f t="shared" si="6"/>
        <v>0.12158359740776051</v>
      </c>
      <c r="F41" s="30">
        <f t="shared" si="6"/>
        <v>9.064480831860354E-2</v>
      </c>
      <c r="G41" s="30">
        <f t="shared" si="6"/>
        <v>7.14454202351575E-2</v>
      </c>
      <c r="H41" s="30">
        <f t="shared" si="6"/>
        <v>5.8150697069943295E-2</v>
      </c>
    </row>
    <row r="42" spans="1:21" x14ac:dyDescent="0.35">
      <c r="A42" s="5"/>
      <c r="B42" s="29" t="s">
        <v>100</v>
      </c>
      <c r="C42" s="43">
        <f>2*C41*($G$54/$F$54+C40/C39)</f>
        <v>1.973547636421865E-2</v>
      </c>
      <c r="D42" s="43">
        <f t="shared" ref="D42:H42" si="7">2*D41*($G$54/$F$54+D40/D39)</f>
        <v>1.1846728571515227E-2</v>
      </c>
      <c r="E42" s="43">
        <f t="shared" si="7"/>
        <v>1.0646552210792819E-2</v>
      </c>
      <c r="F42" s="43">
        <f t="shared" si="7"/>
        <v>2.9478179321757733E-3</v>
      </c>
      <c r="G42" s="43">
        <f t="shared" si="7"/>
        <v>3.9037205807188765E-3</v>
      </c>
      <c r="H42" s="43">
        <f t="shared" si="7"/>
        <v>1.3087905208970145E-3</v>
      </c>
    </row>
    <row r="43" spans="1:21" x14ac:dyDescent="0.35">
      <c r="A43" s="5"/>
      <c r="B43" s="20" t="s">
        <v>104</v>
      </c>
      <c r="C43" s="21">
        <f>2*C41/$F$60</f>
        <v>9.5346399523207452</v>
      </c>
      <c r="D43" s="21">
        <f>2*D41/$F$60</f>
        <v>7.3556510402087305</v>
      </c>
      <c r="E43" s="21">
        <f>2*E41/$F$60</f>
        <v>5.2862433655548049</v>
      </c>
      <c r="F43" s="21">
        <f>2*F41/$F$60</f>
        <v>3.9410786225479799</v>
      </c>
      <c r="G43" s="21">
        <f>2*G41/$F$60</f>
        <v>3.1063226189198914</v>
      </c>
      <c r="H43" s="21">
        <f>2*H41/$F$60</f>
        <v>2.5282911769540566</v>
      </c>
    </row>
    <row r="44" spans="1:21" x14ac:dyDescent="0.35">
      <c r="A44" s="5"/>
      <c r="B44" s="20" t="s">
        <v>101</v>
      </c>
      <c r="C44" s="21">
        <f>C43*(2*(C42/C41) + ($G$60/$F$60))</f>
        <v>2.7525022873582246</v>
      </c>
      <c r="D44" s="21">
        <f t="shared" ref="D44:H44" si="8">D43*(2*(D42/D41) + ($G$60/$F$60))</f>
        <v>1.8296775975457513</v>
      </c>
      <c r="E44" s="21">
        <f t="shared" si="8"/>
        <v>1.5003788189335936</v>
      </c>
      <c r="F44" s="21">
        <f t="shared" si="8"/>
        <v>0.68471010524876075</v>
      </c>
      <c r="G44" s="21">
        <f t="shared" si="8"/>
        <v>0.67709772646684707</v>
      </c>
      <c r="H44" s="21">
        <f t="shared" si="8"/>
        <v>0.38862212974692051</v>
      </c>
    </row>
    <row r="45" spans="1:21" x14ac:dyDescent="0.35">
      <c r="A45" s="5"/>
      <c r="B45" s="33" t="s">
        <v>102</v>
      </c>
      <c r="C45" s="34">
        <f>$A$36*$F$60*($F$52-C41)/2</f>
        <v>0.20468593415626107</v>
      </c>
      <c r="D45" s="34">
        <f>$A$36*$F$60*($F$52-D41)/2</f>
        <v>0.20575447327594934</v>
      </c>
      <c r="E45" s="34">
        <f>$A$36*$F$60*($F$52-E41)/2</f>
        <v>0.20676927561966915</v>
      </c>
      <c r="F45" s="34">
        <f>$A$36*$F$60*($F$52-F41)/2</f>
        <v>0.20742892154183903</v>
      </c>
      <c r="G45" s="34">
        <f>$A$36*$F$60*($F$52-G41)/2</f>
        <v>0.20783827169516619</v>
      </c>
      <c r="H45" s="34">
        <f>$A$36*$F$60*($F$52-H41)/2</f>
        <v>0.20812172848777175</v>
      </c>
    </row>
    <row r="46" spans="1:21" x14ac:dyDescent="0.35">
      <c r="A46" s="5"/>
      <c r="B46" s="33" t="s">
        <v>103</v>
      </c>
      <c r="C46" s="39">
        <f>1/2*C45*(C42/C41+$G$60/$F$60+(($G$55+4*$G$56)/$A$36))</f>
        <v>2.3094587783148712E-2</v>
      </c>
      <c r="D46" s="39">
        <f>1/2*D45*(D42/D41+$G$60/$F$60+(($G$55+4*$G$56)/$A$36))</f>
        <v>2.1160693569660841E-2</v>
      </c>
      <c r="E46" s="39">
        <f>1/2*E45*(E42/E41+$G$60/$F$60+(($G$55+4*$G$56)/$A$36))</f>
        <v>2.3078559262096239E-2</v>
      </c>
      <c r="F46" s="39">
        <f>1/2*F45*(F42/F41+$G$60/$F$60+(($G$55+4*$G$56)/$A$36))</f>
        <v>1.7443206882186795E-2</v>
      </c>
      <c r="G46" s="39">
        <f>1/2*G45*(G42/G41+$G$60/$F$60+(($G$55+4*$G$56)/$A$36))</f>
        <v>1.9776182347615669E-2</v>
      </c>
      <c r="H46" s="39">
        <f>1/2*H45*(H42/H41+$G$60/$F$60+(($G$55+4*$G$56)/$A$36))</f>
        <v>1.6459436384164354E-2</v>
      </c>
    </row>
    <row r="47" spans="1:21" s="19" customFormat="1" x14ac:dyDescent="0.35">
      <c r="T47" s="97"/>
      <c r="U47" s="97"/>
    </row>
    <row r="48" spans="1:21" s="19" customFormat="1" x14ac:dyDescent="0.35">
      <c r="T48" s="97"/>
      <c r="U48" s="97"/>
    </row>
    <row r="49" spans="1:21" s="19" customFormat="1" x14ac:dyDescent="0.35">
      <c r="T49" s="97"/>
      <c r="U49" s="97"/>
    </row>
    <row r="50" spans="1:21" s="19" customFormat="1" x14ac:dyDescent="0.35">
      <c r="T50" s="97"/>
      <c r="U50" s="97"/>
    </row>
    <row r="51" spans="1:21" s="19" customFormat="1" x14ac:dyDescent="0.35">
      <c r="A51" s="16"/>
      <c r="B51" s="17"/>
      <c r="C51" s="18"/>
      <c r="D51" s="18"/>
      <c r="E51" s="27" t="s">
        <v>32</v>
      </c>
      <c r="F51" s="27"/>
      <c r="G51" s="18" t="s">
        <v>71</v>
      </c>
      <c r="H51" s="18"/>
      <c r="T51" s="97"/>
      <c r="U51" s="97"/>
    </row>
    <row r="52" spans="1:21" s="19" customFormat="1" x14ac:dyDescent="0.35">
      <c r="A52" s="37" t="s">
        <v>42</v>
      </c>
      <c r="B52" s="37"/>
      <c r="C52" s="37"/>
      <c r="D52" s="37"/>
      <c r="E52" s="23"/>
      <c r="F52" s="36">
        <v>9.8194999999999997</v>
      </c>
      <c r="G52" s="18">
        <v>0</v>
      </c>
      <c r="H52" s="18"/>
      <c r="T52" s="97"/>
      <c r="U52" s="97"/>
    </row>
    <row r="53" spans="1:21" x14ac:dyDescent="0.35">
      <c r="A53" s="37" t="s">
        <v>26</v>
      </c>
      <c r="B53" s="37"/>
      <c r="C53" s="37"/>
      <c r="D53" s="37"/>
      <c r="E53" s="18"/>
      <c r="F53" s="18">
        <v>2.3530000000000002</v>
      </c>
      <c r="G53" s="18">
        <v>0</v>
      </c>
      <c r="H53" s="18"/>
    </row>
    <row r="54" spans="1:21" x14ac:dyDescent="0.35">
      <c r="A54" s="37" t="s">
        <v>28</v>
      </c>
      <c r="B54" s="37"/>
      <c r="C54" s="37"/>
      <c r="D54" s="37"/>
      <c r="E54" s="18"/>
      <c r="F54" s="18">
        <v>0.7</v>
      </c>
      <c r="G54" s="42">
        <v>3.0000000000000001E-3</v>
      </c>
      <c r="H54" s="18"/>
    </row>
    <row r="55" spans="1:21" x14ac:dyDescent="0.35">
      <c r="A55" s="38" t="s">
        <v>38</v>
      </c>
      <c r="B55" s="38"/>
      <c r="C55" s="38"/>
      <c r="D55" s="38"/>
      <c r="E55" s="1"/>
      <c r="F55" s="28">
        <v>4.7E-2</v>
      </c>
      <c r="G55" s="28">
        <v>5.0000000000000001E-3</v>
      </c>
    </row>
    <row r="56" spans="1:21" x14ac:dyDescent="0.35">
      <c r="A56" s="38" t="s">
        <v>39</v>
      </c>
      <c r="B56" s="38"/>
      <c r="C56" s="38"/>
      <c r="D56" s="38"/>
      <c r="E56" s="1"/>
      <c r="F56" s="28">
        <v>0.22</v>
      </c>
      <c r="G56" s="28">
        <v>5.0000000000000001E-3</v>
      </c>
    </row>
    <row r="57" spans="1:21" x14ac:dyDescent="0.35">
      <c r="A57" s="38" t="s">
        <v>40</v>
      </c>
      <c r="B57" s="38"/>
      <c r="C57" s="38"/>
      <c r="D57" s="38"/>
      <c r="E57" s="1"/>
      <c r="F57" s="28">
        <v>0.40799999999999997</v>
      </c>
      <c r="G57" s="28">
        <v>5.0000000000000001E-3</v>
      </c>
    </row>
    <row r="58" spans="1:21" x14ac:dyDescent="0.35">
      <c r="A58" s="38" t="s">
        <v>36</v>
      </c>
      <c r="B58" s="38"/>
      <c r="C58" s="38"/>
      <c r="D58" s="38"/>
      <c r="E58" s="1"/>
      <c r="F58" s="28">
        <v>5.7000000000000002E-2</v>
      </c>
      <c r="G58" s="28">
        <v>5.0000000000000001E-3</v>
      </c>
    </row>
    <row r="59" spans="1:21" x14ac:dyDescent="0.35">
      <c r="A59" s="38" t="s">
        <v>37</v>
      </c>
      <c r="B59" s="38"/>
      <c r="C59" s="38"/>
      <c r="D59" s="38"/>
      <c r="E59" s="1"/>
      <c r="F59" s="28">
        <v>2.5000000000000001E-2</v>
      </c>
      <c r="G59" s="28">
        <v>2E-3</v>
      </c>
    </row>
    <row r="60" spans="1:21" x14ac:dyDescent="0.35">
      <c r="A60" s="38" t="s">
        <v>33</v>
      </c>
      <c r="B60" s="38"/>
      <c r="C60" s="38"/>
      <c r="D60" s="38"/>
      <c r="E60" s="1"/>
      <c r="F60" s="28">
        <v>4.5999999999999999E-2</v>
      </c>
      <c r="G60" s="28">
        <v>5.0000000000000001E-3</v>
      </c>
    </row>
    <row r="61" spans="1:21" x14ac:dyDescent="0.35">
      <c r="A61" s="38" t="s">
        <v>34</v>
      </c>
      <c r="B61" s="38"/>
      <c r="C61" s="38"/>
      <c r="D61" s="38"/>
      <c r="E61" s="1"/>
      <c r="F61" s="28">
        <v>0.04</v>
      </c>
      <c r="G61" s="28">
        <v>5.0000000000000001E-3</v>
      </c>
    </row>
    <row r="62" spans="1:21" x14ac:dyDescent="0.35">
      <c r="A62" s="38" t="s">
        <v>35</v>
      </c>
      <c r="B62" s="38"/>
      <c r="C62" s="38"/>
      <c r="D62" s="38"/>
      <c r="E62" s="1"/>
      <c r="F62" s="28">
        <v>0.04</v>
      </c>
      <c r="G62" s="28">
        <v>5.0000000000000001E-3</v>
      </c>
    </row>
    <row r="66" spans="11:19" x14ac:dyDescent="0.35">
      <c r="K66" s="16"/>
      <c r="L66" s="17"/>
      <c r="M66" s="18"/>
      <c r="N66" s="18"/>
      <c r="O66" s="18"/>
      <c r="P66" s="18"/>
      <c r="Q66" s="18"/>
      <c r="R66" s="18"/>
      <c r="S66" s="19"/>
    </row>
  </sheetData>
  <mergeCells count="19">
    <mergeCell ref="A62:D62"/>
    <mergeCell ref="A36:A46"/>
    <mergeCell ref="A25:A35"/>
    <mergeCell ref="A14:A24"/>
    <mergeCell ref="A3:A13"/>
    <mergeCell ref="A56:D56"/>
    <mergeCell ref="A57:D57"/>
    <mergeCell ref="A58:D58"/>
    <mergeCell ref="A59:D59"/>
    <mergeCell ref="A60:D60"/>
    <mergeCell ref="A61:D61"/>
    <mergeCell ref="E51:F51"/>
    <mergeCell ref="A52:D52"/>
    <mergeCell ref="A55:D55"/>
    <mergeCell ref="A53:D53"/>
    <mergeCell ref="A54:D54"/>
    <mergeCell ref="A1:A2"/>
    <mergeCell ref="B1:B2"/>
    <mergeCell ref="C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92BB-2F9D-47BB-B40B-6934A7A0E13B}">
  <dimension ref="A1:AZ82"/>
  <sheetViews>
    <sheetView topLeftCell="A7" zoomScale="78" workbookViewId="0">
      <selection activeCell="G1" sqref="G1:J27"/>
    </sheetView>
  </sheetViews>
  <sheetFormatPr defaultRowHeight="14.5" x14ac:dyDescent="0.35"/>
  <cols>
    <col min="2" max="2" width="16.81640625" customWidth="1"/>
    <col min="7" max="10" width="8.7265625" style="46"/>
    <col min="41" max="41" width="13.1796875" customWidth="1"/>
    <col min="42" max="42" width="13.7265625" customWidth="1"/>
    <col min="43" max="43" width="10.36328125" customWidth="1"/>
    <col min="46" max="46" width="13" customWidth="1"/>
    <col min="47" max="47" width="14" customWidth="1"/>
    <col min="48" max="48" width="11.36328125" customWidth="1"/>
    <col min="49" max="49" width="11" customWidth="1"/>
    <col min="50" max="51" width="11.81640625" customWidth="1"/>
  </cols>
  <sheetData>
    <row r="1" spans="1:52" x14ac:dyDescent="0.35">
      <c r="A1" s="110"/>
      <c r="B1" s="110"/>
      <c r="C1" s="110"/>
      <c r="D1" s="110"/>
      <c r="E1" s="110"/>
      <c r="F1" s="110"/>
      <c r="G1" s="111" t="s">
        <v>75</v>
      </c>
      <c r="H1" s="111" t="s">
        <v>78</v>
      </c>
      <c r="I1" s="111" t="s">
        <v>76</v>
      </c>
      <c r="J1" s="111" t="s">
        <v>78</v>
      </c>
      <c r="K1" s="112" t="s">
        <v>68</v>
      </c>
      <c r="L1" s="113"/>
    </row>
    <row r="2" spans="1:52" x14ac:dyDescent="0.35">
      <c r="A2" s="114">
        <v>1</v>
      </c>
      <c r="B2" s="114" t="s">
        <v>77</v>
      </c>
      <c r="C2" s="115">
        <v>2.67898717275428</v>
      </c>
      <c r="D2" s="116">
        <v>5.14379100336257</v>
      </c>
      <c r="E2" s="116">
        <v>7.4416310354285446</v>
      </c>
      <c r="F2" s="116">
        <v>9.5346399523207452</v>
      </c>
      <c r="G2" s="111">
        <v>2.1080000000000002E-2</v>
      </c>
      <c r="H2" s="111">
        <v>4.8000000000000001E-4</v>
      </c>
      <c r="I2" s="112">
        <v>1.9E-3</v>
      </c>
      <c r="J2" s="112">
        <v>3.2000000000000002E-3</v>
      </c>
      <c r="K2" s="117">
        <f>$F$40+(A2-1)*$F$41+0.5*$F$44</f>
        <v>7.6999999999999999E-2</v>
      </c>
      <c r="L2" s="123">
        <f>K2*K2</f>
        <v>5.9290000000000002E-3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9"/>
    </row>
    <row r="3" spans="1:52" x14ac:dyDescent="0.35">
      <c r="A3" s="114"/>
      <c r="B3" s="114" t="s">
        <v>71</v>
      </c>
      <c r="C3" s="115">
        <v>0.4748348113634176</v>
      </c>
      <c r="D3" s="116">
        <v>5.14379100336257</v>
      </c>
      <c r="E3" s="116">
        <v>7.4416310354285446</v>
      </c>
      <c r="F3" s="116">
        <v>9.5346399523207452</v>
      </c>
      <c r="G3" s="111"/>
      <c r="H3" s="111"/>
      <c r="I3" s="112"/>
      <c r="J3" s="112"/>
      <c r="K3" s="117"/>
      <c r="L3" s="123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9"/>
    </row>
    <row r="4" spans="1:52" x14ac:dyDescent="0.35">
      <c r="A4" s="114"/>
      <c r="B4" s="114" t="s">
        <v>79</v>
      </c>
      <c r="C4" s="110">
        <v>5.9923161314758673E-2</v>
      </c>
      <c r="D4" s="110">
        <v>0.10866306063034072</v>
      </c>
      <c r="E4" s="110">
        <v>0.15689169716785659</v>
      </c>
      <c r="F4" s="110">
        <v>0.20468593415626107</v>
      </c>
      <c r="G4" s="111"/>
      <c r="H4" s="111"/>
      <c r="I4" s="112"/>
      <c r="J4" s="112"/>
      <c r="K4" s="117"/>
      <c r="L4" s="11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9"/>
    </row>
    <row r="5" spans="1:52" x14ac:dyDescent="0.35">
      <c r="A5" s="114"/>
      <c r="B5" s="114" t="s">
        <v>71</v>
      </c>
      <c r="C5" s="110">
        <v>5.4057608414446621E-3</v>
      </c>
      <c r="D5" s="110">
        <v>1.0619511486869118E-2</v>
      </c>
      <c r="E5" s="110">
        <v>1.6792224995333536E-2</v>
      </c>
      <c r="F5" s="110">
        <v>2.3094587783148712E-2</v>
      </c>
      <c r="G5" s="111"/>
      <c r="H5" s="111"/>
      <c r="I5" s="112"/>
      <c r="J5" s="112"/>
      <c r="K5" s="117"/>
      <c r="L5" s="11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9"/>
    </row>
    <row r="6" spans="1:52" x14ac:dyDescent="0.35">
      <c r="A6" s="114"/>
      <c r="B6" s="114" t="s">
        <v>80</v>
      </c>
      <c r="C6" s="110">
        <f>C2*$G$2+$I$2</f>
        <v>5.8373049601660225E-2</v>
      </c>
      <c r="D6" s="110">
        <f t="shared" ref="D6:F6" si="0">D2*$G$2+$I$2</f>
        <v>0.11033111435088298</v>
      </c>
      <c r="E6" s="110">
        <f t="shared" si="0"/>
        <v>0.15876958222683374</v>
      </c>
      <c r="F6" s="110">
        <f t="shared" si="0"/>
        <v>0.20289021019492134</v>
      </c>
      <c r="G6" s="111"/>
      <c r="H6" s="118"/>
      <c r="I6" s="118"/>
      <c r="J6" s="118"/>
      <c r="K6" s="113"/>
      <c r="L6" s="113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9"/>
    </row>
    <row r="7" spans="1:52" ht="19.5" customHeight="1" x14ac:dyDescent="0.35">
      <c r="A7" s="114">
        <v>2</v>
      </c>
      <c r="B7" s="114" t="s">
        <v>77</v>
      </c>
      <c r="C7" s="116">
        <v>2.0049197867395474</v>
      </c>
      <c r="D7" s="116">
        <v>3.8234411352561422</v>
      </c>
      <c r="E7" s="116">
        <v>5.423886408321791</v>
      </c>
      <c r="F7" s="116">
        <v>7.3556510402087305</v>
      </c>
      <c r="G7" s="111">
        <v>2.7490000000000001E-2</v>
      </c>
      <c r="H7" s="111">
        <v>7.1000000000000002E-4</v>
      </c>
      <c r="I7" s="112">
        <v>5.1999999999999998E-3</v>
      </c>
      <c r="J7" s="112">
        <v>3.5999999999999999E-3</v>
      </c>
      <c r="K7" s="119">
        <f>$F$40+(A7-1)*$F$41+0.5*$F$44</f>
        <v>0.10200000000000001</v>
      </c>
      <c r="L7" s="123">
        <f>K7*K7</f>
        <v>1.0404000000000002E-2</v>
      </c>
      <c r="M7" s="18"/>
      <c r="N7" s="18"/>
      <c r="O7" s="18"/>
      <c r="P7" s="42"/>
      <c r="Q7" s="18"/>
      <c r="R7" s="18"/>
      <c r="S7" s="18"/>
      <c r="T7" s="18"/>
      <c r="U7" s="18"/>
      <c r="V7" s="18"/>
      <c r="W7" s="42"/>
      <c r="X7" s="18"/>
      <c r="Y7" s="18"/>
      <c r="Z7" s="18"/>
      <c r="AA7" s="42"/>
      <c r="AB7" s="18"/>
      <c r="AC7" s="18"/>
      <c r="AD7" s="18"/>
      <c r="AE7" s="18"/>
      <c r="AF7" s="18"/>
      <c r="AG7" s="18"/>
      <c r="AH7" s="42"/>
      <c r="AI7" s="18"/>
      <c r="AJ7" s="18"/>
      <c r="AK7" s="18"/>
      <c r="AL7" s="42"/>
      <c r="AM7" s="19"/>
      <c r="AO7" s="16"/>
      <c r="AP7" s="109"/>
      <c r="AQ7" s="109"/>
      <c r="AR7" s="109"/>
      <c r="AS7" s="108"/>
      <c r="AT7" s="108"/>
      <c r="AU7" s="108"/>
      <c r="AV7" s="108"/>
      <c r="AW7" s="108"/>
      <c r="AX7" s="108"/>
      <c r="AY7" s="108"/>
      <c r="AZ7" s="108"/>
    </row>
    <row r="8" spans="1:52" ht="19.5" customHeight="1" x14ac:dyDescent="0.35">
      <c r="A8" s="114"/>
      <c r="B8" s="114" t="s">
        <v>71</v>
      </c>
      <c r="C8" s="113">
        <v>0.34290616132960716</v>
      </c>
      <c r="D8" s="113">
        <v>0.87426979472252153</v>
      </c>
      <c r="E8" s="113">
        <v>1.2319726413629934</v>
      </c>
      <c r="F8" s="113">
        <v>1.8296775975457513</v>
      </c>
      <c r="G8" s="111"/>
      <c r="H8" s="111"/>
      <c r="I8" s="112"/>
      <c r="J8" s="112"/>
      <c r="K8" s="119"/>
      <c r="L8" s="123"/>
      <c r="M8" s="18"/>
      <c r="N8" s="18"/>
      <c r="O8" s="18"/>
      <c r="P8" s="42"/>
      <c r="Q8" s="18"/>
      <c r="R8" s="18"/>
      <c r="S8" s="18"/>
      <c r="T8" s="18"/>
      <c r="U8" s="18"/>
      <c r="V8" s="18"/>
      <c r="W8" s="42"/>
      <c r="X8" s="18"/>
      <c r="Y8" s="18"/>
      <c r="Z8" s="18"/>
      <c r="AA8" s="42"/>
      <c r="AB8" s="18"/>
      <c r="AC8" s="18"/>
      <c r="AD8" s="18"/>
      <c r="AE8" s="18"/>
      <c r="AF8" s="18"/>
      <c r="AG8" s="18"/>
      <c r="AH8" s="42"/>
      <c r="AI8" s="18"/>
      <c r="AJ8" s="18"/>
      <c r="AK8" s="18"/>
      <c r="AL8" s="42"/>
      <c r="AM8" s="19"/>
      <c r="AO8" s="16"/>
      <c r="AP8" s="109"/>
      <c r="AQ8" s="109"/>
      <c r="AR8" s="109"/>
      <c r="AS8" s="108"/>
      <c r="AT8" s="108"/>
      <c r="AU8" s="108"/>
      <c r="AV8" s="108"/>
      <c r="AW8" s="108"/>
      <c r="AX8" s="108"/>
      <c r="AY8" s="108"/>
      <c r="AZ8" s="108"/>
    </row>
    <row r="9" spans="1:52" ht="19.5" customHeight="1" x14ac:dyDescent="0.35">
      <c r="A9" s="114"/>
      <c r="B9" s="114" t="s">
        <v>81</v>
      </c>
      <c r="C9" s="110">
        <v>6.0018368614561557E-2</v>
      </c>
      <c r="D9" s="110">
        <v>0.1090032131244119</v>
      </c>
      <c r="E9" s="110">
        <v>0.15764633971162839</v>
      </c>
      <c r="F9" s="110">
        <v>0.20575447327594934</v>
      </c>
      <c r="G9" s="111"/>
      <c r="H9" s="111"/>
      <c r="I9" s="112"/>
      <c r="J9" s="112"/>
      <c r="K9" s="119"/>
      <c r="L9" s="110"/>
      <c r="M9" s="18"/>
      <c r="N9" s="18"/>
      <c r="O9" s="18"/>
      <c r="P9" s="42"/>
      <c r="Q9" s="18"/>
      <c r="R9" s="18"/>
      <c r="S9" s="18"/>
      <c r="T9" s="18"/>
      <c r="U9" s="18"/>
      <c r="V9" s="18"/>
      <c r="W9" s="42"/>
      <c r="X9" s="18"/>
      <c r="Y9" s="18"/>
      <c r="Z9" s="18"/>
      <c r="AA9" s="42"/>
      <c r="AB9" s="18"/>
      <c r="AC9" s="18"/>
      <c r="AD9" s="18"/>
      <c r="AE9" s="18"/>
      <c r="AF9" s="18"/>
      <c r="AG9" s="18"/>
      <c r="AH9" s="42"/>
      <c r="AI9" s="18"/>
      <c r="AJ9" s="18"/>
      <c r="AK9" s="18"/>
      <c r="AL9" s="42"/>
      <c r="AM9" s="19"/>
      <c r="AO9" s="16"/>
      <c r="AP9" s="109"/>
      <c r="AQ9" s="109"/>
      <c r="AR9" s="109"/>
      <c r="AS9" s="108"/>
      <c r="AT9" s="108"/>
      <c r="AU9" s="108"/>
      <c r="AV9" s="108"/>
      <c r="AW9" s="108"/>
      <c r="AX9" s="108"/>
      <c r="AY9" s="108"/>
      <c r="AZ9" s="108"/>
    </row>
    <row r="10" spans="1:52" ht="19.5" customHeight="1" x14ac:dyDescent="0.35">
      <c r="A10" s="114"/>
      <c r="B10" s="114" t="s">
        <v>71</v>
      </c>
      <c r="C10" s="113">
        <v>5.32114421325121E-3</v>
      </c>
      <c r="D10" s="113">
        <v>1.0871919195700106E-2</v>
      </c>
      <c r="E10" s="113">
        <v>1.5465543171700338E-2</v>
      </c>
      <c r="F10" s="113">
        <v>2.1160693569660841E-2</v>
      </c>
      <c r="G10" s="111"/>
      <c r="H10" s="111"/>
      <c r="I10" s="112"/>
      <c r="J10" s="112"/>
      <c r="K10" s="119"/>
      <c r="L10" s="110"/>
      <c r="M10" s="18"/>
      <c r="N10" s="18"/>
      <c r="O10" s="18"/>
      <c r="P10" s="42"/>
      <c r="Q10" s="18"/>
      <c r="R10" s="18"/>
      <c r="S10" s="18"/>
      <c r="T10" s="18"/>
      <c r="U10" s="18"/>
      <c r="V10" s="18"/>
      <c r="W10" s="42"/>
      <c r="X10" s="18"/>
      <c r="Y10" s="18"/>
      <c r="Z10" s="18"/>
      <c r="AA10" s="42"/>
      <c r="AB10" s="18"/>
      <c r="AC10" s="18"/>
      <c r="AD10" s="18"/>
      <c r="AE10" s="18"/>
      <c r="AF10" s="18"/>
      <c r="AG10" s="18"/>
      <c r="AH10" s="42"/>
      <c r="AI10" s="18"/>
      <c r="AJ10" s="18"/>
      <c r="AK10" s="18"/>
      <c r="AL10" s="42"/>
      <c r="AM10" s="19"/>
      <c r="AO10" s="16"/>
      <c r="AP10" s="109"/>
      <c r="AQ10" s="109"/>
      <c r="AR10" s="109"/>
      <c r="AS10" s="108"/>
      <c r="AT10" s="108"/>
      <c r="AU10" s="108"/>
      <c r="AV10" s="108"/>
      <c r="AW10" s="108"/>
      <c r="AX10" s="108"/>
      <c r="AY10" s="108"/>
      <c r="AZ10" s="108"/>
    </row>
    <row r="11" spans="1:52" ht="19.5" customHeight="1" x14ac:dyDescent="0.35">
      <c r="A11" s="114"/>
      <c r="B11" s="114" t="s">
        <v>82</v>
      </c>
      <c r="C11" s="110">
        <f>C7*$G$7+$I$7</f>
        <v>6.0315244937470161E-2</v>
      </c>
      <c r="D11" s="110">
        <f t="shared" ref="D11:F11" si="1">D7*$G$7+$I$7</f>
        <v>0.11030639680819135</v>
      </c>
      <c r="E11" s="110">
        <f t="shared" si="1"/>
        <v>0.15430263736476604</v>
      </c>
      <c r="F11" s="110">
        <f t="shared" si="1"/>
        <v>0.20740684709533802</v>
      </c>
      <c r="G11" s="118"/>
      <c r="H11" s="118"/>
      <c r="I11" s="118"/>
      <c r="J11" s="118"/>
      <c r="K11" s="113"/>
      <c r="L11" s="113"/>
      <c r="O11" s="18"/>
      <c r="P11" s="42"/>
      <c r="Q11" s="18"/>
      <c r="R11" s="18"/>
      <c r="S11" s="18"/>
      <c r="T11" s="18"/>
      <c r="U11" s="18"/>
      <c r="V11" s="18"/>
      <c r="W11" s="42"/>
      <c r="X11" s="18"/>
      <c r="Y11" s="18"/>
      <c r="Z11" s="18"/>
      <c r="AA11" s="42"/>
      <c r="AB11" s="18"/>
      <c r="AC11" s="18"/>
      <c r="AD11" s="18"/>
      <c r="AE11" s="18"/>
      <c r="AF11" s="18"/>
      <c r="AG11" s="18"/>
      <c r="AH11" s="42"/>
      <c r="AI11" s="18"/>
      <c r="AJ11" s="18"/>
      <c r="AK11" s="18"/>
      <c r="AL11" s="42"/>
      <c r="AM11" s="19"/>
      <c r="AO11" s="16"/>
      <c r="AP11" s="109"/>
      <c r="AQ11" s="109"/>
      <c r="AR11" s="109"/>
      <c r="AS11" s="108"/>
      <c r="AT11" s="108"/>
      <c r="AU11" s="108"/>
      <c r="AV11" s="108"/>
      <c r="AW11" s="108"/>
      <c r="AX11" s="108"/>
      <c r="AY11" s="108"/>
      <c r="AZ11" s="108"/>
    </row>
    <row r="12" spans="1:52" ht="19.5" customHeight="1" x14ac:dyDescent="0.35">
      <c r="A12" s="114">
        <v>3</v>
      </c>
      <c r="B12" s="114" t="s">
        <v>77</v>
      </c>
      <c r="C12" s="116">
        <v>1.478363533699502</v>
      </c>
      <c r="D12" s="116">
        <v>2.6603507968120139</v>
      </c>
      <c r="E12" s="116">
        <v>4.0363689657685473</v>
      </c>
      <c r="F12" s="116">
        <v>5.2862433655548049</v>
      </c>
      <c r="G12" s="111">
        <v>3.8170000000000003E-2</v>
      </c>
      <c r="H12" s="111">
        <v>7.9000000000000001E-4</v>
      </c>
      <c r="I12" s="112">
        <v>5.1000000000000004E-3</v>
      </c>
      <c r="J12" s="112">
        <v>2.8999999999999998E-3</v>
      </c>
      <c r="K12" s="119">
        <f>$F$40+(A12-1)*$F$41+0.5*$F$44</f>
        <v>0.127</v>
      </c>
      <c r="L12" s="123">
        <f>K12*K12</f>
        <v>1.6129000000000001E-2</v>
      </c>
      <c r="M12" s="18"/>
      <c r="N12" s="18"/>
      <c r="O12" s="18"/>
      <c r="P12" s="42"/>
      <c r="Q12" s="18"/>
      <c r="R12" s="18"/>
      <c r="S12" s="18"/>
      <c r="T12" s="18"/>
      <c r="U12" s="18"/>
      <c r="V12" s="18"/>
      <c r="W12" s="42"/>
      <c r="X12" s="18"/>
      <c r="Y12" s="18"/>
      <c r="Z12" s="18"/>
      <c r="AA12" s="42"/>
      <c r="AB12" s="18"/>
      <c r="AC12" s="18"/>
      <c r="AD12" s="18"/>
      <c r="AE12" s="18"/>
      <c r="AF12" s="18"/>
      <c r="AG12" s="18"/>
      <c r="AH12" s="42"/>
      <c r="AI12" s="18"/>
      <c r="AJ12" s="18"/>
      <c r="AK12" s="18"/>
      <c r="AL12" s="42"/>
      <c r="AM12" s="19"/>
      <c r="AO12" s="17"/>
      <c r="AP12" s="109"/>
      <c r="AQ12" s="109"/>
      <c r="AR12" s="109"/>
      <c r="AS12" s="108"/>
      <c r="AT12" s="108"/>
      <c r="AU12" s="108"/>
      <c r="AV12" s="108"/>
      <c r="AW12" s="108"/>
      <c r="AX12" s="108"/>
      <c r="AY12" s="108"/>
      <c r="AZ12" s="108"/>
    </row>
    <row r="13" spans="1:52" ht="19.5" customHeight="1" x14ac:dyDescent="0.35">
      <c r="A13" s="114"/>
      <c r="B13" s="114" t="s">
        <v>71</v>
      </c>
      <c r="C13" s="113">
        <v>0.21209684498012127</v>
      </c>
      <c r="D13" s="113">
        <v>0.42710566374268577</v>
      </c>
      <c r="E13" s="113">
        <v>1.0848552041153217</v>
      </c>
      <c r="F13" s="113">
        <v>1.5003788189335936</v>
      </c>
      <c r="G13" s="118"/>
      <c r="H13" s="111"/>
      <c r="I13" s="112"/>
      <c r="J13" s="112"/>
      <c r="K13" s="119"/>
      <c r="L13" s="123"/>
      <c r="M13" s="18"/>
      <c r="N13" s="18"/>
      <c r="O13" s="18"/>
      <c r="P13" s="42"/>
      <c r="Q13" s="18"/>
      <c r="R13" s="18"/>
      <c r="S13" s="18"/>
      <c r="T13" s="18"/>
      <c r="U13" s="18"/>
      <c r="V13" s="18"/>
      <c r="W13" s="42"/>
      <c r="X13" s="18"/>
      <c r="Y13" s="18"/>
      <c r="Z13" s="18"/>
      <c r="AA13" s="42"/>
      <c r="AB13" s="18"/>
      <c r="AC13" s="18"/>
      <c r="AD13" s="18"/>
      <c r="AE13" s="18"/>
      <c r="AF13" s="18"/>
      <c r="AG13" s="18"/>
      <c r="AH13" s="42"/>
      <c r="AI13" s="18"/>
      <c r="AJ13" s="18"/>
      <c r="AK13" s="18"/>
      <c r="AL13" s="42"/>
      <c r="AM13" s="19"/>
      <c r="AO13" s="17"/>
      <c r="AP13" s="109"/>
      <c r="AQ13" s="109"/>
      <c r="AR13" s="109"/>
      <c r="AS13" s="108"/>
      <c r="AT13" s="108"/>
      <c r="AU13" s="108"/>
      <c r="AV13" s="108"/>
      <c r="AW13" s="108"/>
      <c r="AX13" s="108"/>
      <c r="AY13" s="108"/>
      <c r="AZ13" s="108"/>
    </row>
    <row r="14" spans="1:52" ht="19.5" customHeight="1" x14ac:dyDescent="0.35">
      <c r="A14" s="114"/>
      <c r="B14" s="114" t="s">
        <v>83</v>
      </c>
      <c r="C14" s="110">
        <v>6.0092740999409686E-2</v>
      </c>
      <c r="D14" s="110">
        <v>0.1093028519466729</v>
      </c>
      <c r="E14" s="110">
        <v>0.15816527539769562</v>
      </c>
      <c r="F14" s="110">
        <v>0.20676927561966915</v>
      </c>
      <c r="G14" s="111"/>
      <c r="H14" s="111"/>
      <c r="I14" s="112"/>
      <c r="J14" s="112"/>
      <c r="K14" s="119"/>
      <c r="L14" s="110"/>
      <c r="M14" s="18"/>
      <c r="N14" s="18"/>
      <c r="O14" s="18"/>
      <c r="P14" s="42"/>
      <c r="Q14" s="18"/>
      <c r="R14" s="18"/>
      <c r="S14" s="18"/>
      <c r="T14" s="18"/>
      <c r="U14" s="18"/>
      <c r="V14" s="18"/>
      <c r="W14" s="42"/>
      <c r="X14" s="18"/>
      <c r="Y14" s="18"/>
      <c r="Z14" s="18"/>
      <c r="AA14" s="42"/>
      <c r="AB14" s="18"/>
      <c r="AC14" s="18"/>
      <c r="AD14" s="18"/>
      <c r="AE14" s="18"/>
      <c r="AF14" s="18"/>
      <c r="AG14" s="18"/>
      <c r="AH14" s="42"/>
      <c r="AI14" s="18"/>
      <c r="AJ14" s="18"/>
      <c r="AK14" s="18"/>
      <c r="AL14" s="42"/>
      <c r="AM14" s="19"/>
      <c r="AO14" s="17"/>
      <c r="AP14" s="109"/>
      <c r="AQ14" s="109"/>
      <c r="AR14" s="109"/>
      <c r="AS14" s="108"/>
      <c r="AT14" s="108"/>
      <c r="AU14" s="108"/>
      <c r="AV14" s="108"/>
      <c r="AW14" s="108"/>
      <c r="AX14" s="108"/>
      <c r="AY14" s="108"/>
      <c r="AZ14" s="108"/>
    </row>
    <row r="15" spans="1:52" ht="19.5" customHeight="1" x14ac:dyDescent="0.35">
      <c r="A15" s="114"/>
      <c r="B15" s="114" t="s">
        <v>71</v>
      </c>
      <c r="C15" s="113">
        <v>4.9136231792322937E-3</v>
      </c>
      <c r="D15" s="113">
        <v>9.0404979481931783E-3</v>
      </c>
      <c r="E15" s="113">
        <v>1.7162625422719114E-2</v>
      </c>
      <c r="F15" s="113">
        <v>2.3078559262096239E-2</v>
      </c>
      <c r="G15" s="111"/>
      <c r="H15" s="111"/>
      <c r="I15" s="112"/>
      <c r="J15" s="112"/>
      <c r="K15" s="119"/>
      <c r="L15" s="110"/>
      <c r="M15" s="18"/>
      <c r="N15" s="18"/>
      <c r="O15" s="18"/>
      <c r="P15" s="42"/>
      <c r="Q15" s="18"/>
      <c r="R15" s="18"/>
      <c r="S15" s="18"/>
      <c r="T15" s="18"/>
      <c r="U15" s="18"/>
      <c r="V15" s="18"/>
      <c r="W15" s="42"/>
      <c r="X15" s="18"/>
      <c r="Y15" s="18"/>
      <c r="Z15" s="18"/>
      <c r="AA15" s="42"/>
      <c r="AB15" s="18"/>
      <c r="AC15" s="18"/>
      <c r="AD15" s="18"/>
      <c r="AE15" s="18"/>
      <c r="AF15" s="18"/>
      <c r="AG15" s="18"/>
      <c r="AH15" s="42"/>
      <c r="AI15" s="18"/>
      <c r="AJ15" s="18"/>
      <c r="AK15" s="18"/>
      <c r="AL15" s="42"/>
      <c r="AM15" s="19"/>
      <c r="AO15" s="17"/>
      <c r="AP15" s="109"/>
      <c r="AQ15" s="109"/>
      <c r="AR15" s="109"/>
      <c r="AS15" s="108"/>
      <c r="AT15" s="108"/>
      <c r="AU15" s="108"/>
      <c r="AV15" s="108"/>
      <c r="AW15" s="108"/>
      <c r="AX15" s="108"/>
      <c r="AY15" s="108"/>
      <c r="AZ15" s="108"/>
    </row>
    <row r="16" spans="1:52" ht="19.5" customHeight="1" x14ac:dyDescent="0.35">
      <c r="A16" s="114"/>
      <c r="B16" s="114" t="s">
        <v>84</v>
      </c>
      <c r="C16" s="110">
        <f>C12*$G$12+$I$12</f>
        <v>6.1529136081309999E-2</v>
      </c>
      <c r="D16" s="110">
        <f t="shared" ref="D16:F16" si="2">D12*$G$12+$I$12</f>
        <v>0.10664558991431458</v>
      </c>
      <c r="E16" s="110">
        <f t="shared" si="2"/>
        <v>0.15916820342338545</v>
      </c>
      <c r="F16" s="110">
        <f t="shared" si="2"/>
        <v>0.20687590926322691</v>
      </c>
      <c r="G16" s="118"/>
      <c r="H16" s="118"/>
      <c r="I16" s="118"/>
      <c r="J16" s="113"/>
      <c r="K16" s="113"/>
      <c r="L16" s="113"/>
      <c r="O16" s="18"/>
      <c r="P16" s="42"/>
      <c r="Q16" s="18"/>
      <c r="R16" s="18"/>
      <c r="S16" s="18"/>
      <c r="T16" s="18"/>
      <c r="U16" s="18"/>
      <c r="V16" s="18"/>
      <c r="W16" s="42"/>
      <c r="X16" s="18"/>
      <c r="Y16" s="18"/>
      <c r="Z16" s="18"/>
      <c r="AA16" s="42"/>
      <c r="AB16" s="18"/>
      <c r="AC16" s="18"/>
      <c r="AD16" s="18"/>
      <c r="AE16" s="18"/>
      <c r="AF16" s="18"/>
      <c r="AG16" s="18"/>
      <c r="AH16" s="42"/>
      <c r="AI16" s="18"/>
      <c r="AJ16" s="18"/>
      <c r="AK16" s="18"/>
      <c r="AL16" s="42"/>
      <c r="AM16" s="19"/>
      <c r="AO16" s="17"/>
      <c r="AP16" s="109"/>
      <c r="AQ16" s="109"/>
      <c r="AR16" s="109"/>
      <c r="AS16" s="108"/>
      <c r="AT16" s="108"/>
      <c r="AU16" s="108"/>
      <c r="AV16" s="108"/>
      <c r="AW16" s="108"/>
      <c r="AX16" s="108"/>
      <c r="AY16" s="108"/>
      <c r="AZ16" s="108"/>
    </row>
    <row r="17" spans="1:52" ht="19.5" customHeight="1" x14ac:dyDescent="0.35">
      <c r="A17" s="114">
        <v>4</v>
      </c>
      <c r="B17" s="114" t="s">
        <v>77</v>
      </c>
      <c r="C17" s="116">
        <v>1.0612704087353266</v>
      </c>
      <c r="D17" s="116">
        <v>1.9856534020239136</v>
      </c>
      <c r="E17" s="116">
        <v>3.0059044551798171</v>
      </c>
      <c r="F17" s="116">
        <v>3.9410786225479799</v>
      </c>
      <c r="G17" s="111">
        <v>5.0799999999999998E-2</v>
      </c>
      <c r="H17" s="111">
        <v>6.9999999999999999E-4</v>
      </c>
      <c r="I17" s="112">
        <v>7.0000000000000001E-3</v>
      </c>
      <c r="J17" s="112">
        <v>1.9E-3</v>
      </c>
      <c r="K17" s="119">
        <f>$F$40+(A17-1)*$F$41+0.5*$F$44</f>
        <v>0.152</v>
      </c>
      <c r="L17" s="123">
        <f>K17*K17</f>
        <v>2.3104E-2</v>
      </c>
      <c r="M17" s="18"/>
      <c r="N17" s="18"/>
      <c r="O17" s="18"/>
      <c r="P17" s="42"/>
      <c r="Q17" s="18"/>
      <c r="R17" s="18"/>
      <c r="S17" s="18"/>
      <c r="T17" s="18"/>
      <c r="U17" s="18"/>
      <c r="V17" s="18"/>
      <c r="W17" s="42"/>
      <c r="X17" s="18"/>
      <c r="Y17" s="18"/>
      <c r="Z17" s="18"/>
      <c r="AA17" s="42"/>
      <c r="AB17" s="18"/>
      <c r="AC17" s="18"/>
      <c r="AD17" s="18"/>
      <c r="AE17" s="18"/>
      <c r="AF17" s="18"/>
      <c r="AG17" s="18"/>
      <c r="AH17" s="42"/>
      <c r="AI17" s="18"/>
      <c r="AJ17" s="18"/>
      <c r="AK17" s="18"/>
      <c r="AL17" s="42"/>
      <c r="AM17" s="19"/>
      <c r="AO17" s="18"/>
      <c r="AP17" s="109"/>
      <c r="AQ17" s="109"/>
      <c r="AR17" s="109"/>
      <c r="AS17" s="108"/>
      <c r="AT17" s="108"/>
      <c r="AU17" s="108"/>
      <c r="AV17" s="108"/>
      <c r="AW17" s="108"/>
      <c r="AX17" s="108"/>
      <c r="AY17" s="108"/>
      <c r="AZ17" s="108"/>
    </row>
    <row r="18" spans="1:52" ht="19.5" customHeight="1" x14ac:dyDescent="0.35">
      <c r="A18" s="114"/>
      <c r="B18" s="114" t="s">
        <v>71</v>
      </c>
      <c r="C18" s="113">
        <v>0.21132938047321373</v>
      </c>
      <c r="D18" s="113">
        <v>0.38252651336925542</v>
      </c>
      <c r="E18" s="113">
        <v>0.56686902066948242</v>
      </c>
      <c r="F18" s="113">
        <v>0.68471010524876075</v>
      </c>
      <c r="G18" s="111"/>
      <c r="H18" s="111"/>
      <c r="I18" s="112"/>
      <c r="J18" s="112"/>
      <c r="K18" s="119"/>
      <c r="L18" s="123"/>
      <c r="M18" s="18"/>
      <c r="N18" s="18"/>
      <c r="O18" s="18"/>
      <c r="P18" s="42"/>
      <c r="Q18" s="18"/>
      <c r="R18" s="18"/>
      <c r="S18" s="18"/>
      <c r="T18" s="18"/>
      <c r="U18" s="18"/>
      <c r="V18" s="18"/>
      <c r="W18" s="42"/>
      <c r="X18" s="18"/>
      <c r="Y18" s="18"/>
      <c r="Z18" s="18"/>
      <c r="AA18" s="42"/>
      <c r="AB18" s="18"/>
      <c r="AC18" s="18"/>
      <c r="AD18" s="18"/>
      <c r="AE18" s="18"/>
      <c r="AF18" s="18"/>
      <c r="AG18" s="18"/>
      <c r="AH18" s="42"/>
      <c r="AI18" s="18"/>
      <c r="AJ18" s="18"/>
      <c r="AK18" s="18"/>
      <c r="AL18" s="42"/>
      <c r="AM18" s="19"/>
      <c r="AO18" s="18"/>
      <c r="AP18" s="109"/>
      <c r="AQ18" s="109"/>
      <c r="AR18" s="109"/>
      <c r="AS18" s="108"/>
      <c r="AT18" s="108"/>
      <c r="AU18" s="108"/>
      <c r="AV18" s="108"/>
      <c r="AW18" s="108"/>
      <c r="AX18" s="108"/>
      <c r="AY18" s="108"/>
      <c r="AZ18" s="108"/>
    </row>
    <row r="19" spans="1:52" ht="19.5" customHeight="1" x14ac:dyDescent="0.35">
      <c r="A19" s="114"/>
      <c r="B19" s="114" t="s">
        <v>85</v>
      </c>
      <c r="C19" s="110">
        <v>6.0151652483659002E-2</v>
      </c>
      <c r="D19" s="110">
        <v>0.10947666951361039</v>
      </c>
      <c r="E19" s="110">
        <v>0.15855067221604935</v>
      </c>
      <c r="F19" s="110">
        <v>0.20742892154183903</v>
      </c>
      <c r="G19" s="111"/>
      <c r="H19" s="111"/>
      <c r="I19" s="111"/>
      <c r="J19" s="111"/>
      <c r="K19" s="119"/>
      <c r="L19" s="110"/>
      <c r="M19" s="18"/>
      <c r="N19" s="18"/>
      <c r="O19" s="18"/>
      <c r="P19" s="42"/>
      <c r="Q19" s="18"/>
      <c r="R19" s="18"/>
      <c r="S19" s="18"/>
      <c r="T19" s="18"/>
      <c r="U19" s="18"/>
      <c r="V19" s="18"/>
      <c r="W19" s="42"/>
      <c r="X19" s="18"/>
      <c r="Y19" s="18"/>
      <c r="Z19" s="18"/>
      <c r="AA19" s="42"/>
      <c r="AB19" s="18"/>
      <c r="AC19" s="18"/>
      <c r="AD19" s="18"/>
      <c r="AE19" s="18"/>
      <c r="AF19" s="18"/>
      <c r="AG19" s="18"/>
      <c r="AH19" s="42"/>
      <c r="AI19" s="18"/>
      <c r="AJ19" s="18"/>
      <c r="AK19" s="18"/>
      <c r="AL19" s="42"/>
      <c r="AM19" s="19"/>
      <c r="AO19" s="18"/>
      <c r="AP19" s="109"/>
      <c r="AQ19" s="109"/>
      <c r="AR19" s="109"/>
      <c r="AS19" s="108"/>
      <c r="AT19" s="108"/>
      <c r="AU19" s="108"/>
      <c r="AV19" s="108"/>
      <c r="AW19" s="108"/>
      <c r="AX19" s="108"/>
      <c r="AY19" s="108"/>
      <c r="AZ19" s="108"/>
    </row>
    <row r="20" spans="1:52" ht="19.5" customHeight="1" x14ac:dyDescent="0.35">
      <c r="A20" s="114"/>
      <c r="B20" s="114" t="s">
        <v>71</v>
      </c>
      <c r="C20" s="113">
        <v>5.7554710723500867E-3</v>
      </c>
      <c r="D20" s="113">
        <v>9.9334327417637605E-3</v>
      </c>
      <c r="E20" s="113">
        <v>1.4026102550755015E-2</v>
      </c>
      <c r="F20" s="113">
        <v>1.7443206882186795E-2</v>
      </c>
      <c r="G20" s="111"/>
      <c r="H20" s="111"/>
      <c r="I20" s="111"/>
      <c r="J20" s="111"/>
      <c r="K20" s="119"/>
      <c r="L20" s="110"/>
      <c r="M20" s="18"/>
      <c r="N20" s="18"/>
      <c r="O20" s="18"/>
      <c r="P20" s="42"/>
      <c r="Q20" s="18"/>
      <c r="R20" s="18"/>
      <c r="S20" s="18"/>
      <c r="T20" s="18"/>
      <c r="U20" s="18"/>
      <c r="V20" s="18"/>
      <c r="W20" s="42"/>
      <c r="X20" s="18"/>
      <c r="Y20" s="18"/>
      <c r="Z20" s="18"/>
      <c r="AA20" s="42"/>
      <c r="AB20" s="18"/>
      <c r="AC20" s="18"/>
      <c r="AD20" s="18"/>
      <c r="AE20" s="18"/>
      <c r="AF20" s="18"/>
      <c r="AG20" s="18"/>
      <c r="AH20" s="42"/>
      <c r="AI20" s="18"/>
      <c r="AJ20" s="18"/>
      <c r="AK20" s="18"/>
      <c r="AL20" s="42"/>
      <c r="AM20" s="19"/>
      <c r="AO20" s="18"/>
      <c r="AP20" s="109"/>
      <c r="AQ20" s="109"/>
      <c r="AR20" s="109"/>
      <c r="AS20" s="108"/>
      <c r="AT20" s="108"/>
      <c r="AU20" s="108"/>
      <c r="AV20" s="108"/>
      <c r="AW20" s="108"/>
      <c r="AX20" s="108"/>
      <c r="AY20" s="108"/>
      <c r="AZ20" s="108"/>
    </row>
    <row r="21" spans="1:52" ht="19.5" customHeight="1" x14ac:dyDescent="0.35">
      <c r="A21" s="114"/>
      <c r="B21" s="114" t="s">
        <v>86</v>
      </c>
      <c r="C21" s="110">
        <f>C17*$G$17+$I$17</f>
        <v>6.0912536763754591E-2</v>
      </c>
      <c r="D21" s="110">
        <f t="shared" ref="D21:F21" si="3">D17*$G$17+$I$17</f>
        <v>0.10787119282281481</v>
      </c>
      <c r="E21" s="110">
        <f t="shared" si="3"/>
        <v>0.15969994632313469</v>
      </c>
      <c r="F21" s="110">
        <f t="shared" si="3"/>
        <v>0.20720679402543737</v>
      </c>
      <c r="G21" s="113"/>
      <c r="H21" s="118"/>
      <c r="I21" s="113"/>
      <c r="J21" s="118"/>
      <c r="K21" s="113"/>
      <c r="L21" s="113"/>
      <c r="O21" s="18"/>
      <c r="P21" s="42"/>
      <c r="Q21" s="18"/>
      <c r="R21" s="18"/>
      <c r="S21" s="18"/>
      <c r="T21" s="18"/>
      <c r="U21" s="18"/>
      <c r="V21" s="18"/>
      <c r="W21" s="42"/>
      <c r="X21" s="18"/>
      <c r="Y21" s="18"/>
      <c r="Z21" s="18"/>
      <c r="AA21" s="42"/>
      <c r="AB21" s="18"/>
      <c r="AC21" s="18"/>
      <c r="AD21" s="18"/>
      <c r="AE21" s="18"/>
      <c r="AF21" s="18"/>
      <c r="AG21" s="18"/>
      <c r="AH21" s="42"/>
      <c r="AI21" s="18"/>
      <c r="AJ21" s="18"/>
      <c r="AK21" s="18"/>
      <c r="AL21" s="42"/>
      <c r="AM21" s="19"/>
      <c r="AO21" s="18"/>
      <c r="AP21" s="109"/>
      <c r="AQ21" s="109"/>
      <c r="AR21" s="109"/>
      <c r="AS21" s="108"/>
      <c r="AT21" s="108"/>
      <c r="AU21" s="108"/>
      <c r="AV21" s="108"/>
      <c r="AW21" s="108"/>
      <c r="AX21" s="108"/>
      <c r="AY21" s="108"/>
      <c r="AZ21" s="108"/>
    </row>
    <row r="22" spans="1:52" ht="19.5" customHeight="1" x14ac:dyDescent="0.35">
      <c r="A22" s="114">
        <v>5</v>
      </c>
      <c r="B22" s="114" t="s">
        <v>77</v>
      </c>
      <c r="C22" s="116">
        <v>0.79321695254205637</v>
      </c>
      <c r="D22" s="116">
        <v>1.5287676396581109</v>
      </c>
      <c r="E22" s="116">
        <v>2.3371808957423843</v>
      </c>
      <c r="F22" s="116">
        <v>3.1063226189198914</v>
      </c>
      <c r="G22" s="111">
        <v>6.3500000000000001E-2</v>
      </c>
      <c r="H22" s="111">
        <v>8.3000000000000001E-4</v>
      </c>
      <c r="I22" s="112">
        <v>1.0800000000000001E-2</v>
      </c>
      <c r="J22" s="112">
        <v>1.8E-3</v>
      </c>
      <c r="K22" s="119">
        <f>$F$40+(A22-1)*$F$41+0.5*$F$44</f>
        <v>0.17699999999999999</v>
      </c>
      <c r="L22" s="123">
        <f>K22*K22</f>
        <v>3.1328999999999996E-2</v>
      </c>
      <c r="M22" s="18"/>
      <c r="N22" s="18"/>
      <c r="O22" s="18"/>
      <c r="P22" s="42"/>
      <c r="Q22" s="18"/>
      <c r="R22" s="18"/>
      <c r="S22" s="18"/>
      <c r="T22" s="18"/>
      <c r="U22" s="18"/>
      <c r="V22" s="18"/>
      <c r="W22" s="42"/>
      <c r="X22" s="18"/>
      <c r="Y22" s="18"/>
      <c r="Z22" s="18"/>
      <c r="AA22" s="42"/>
      <c r="AB22" s="18"/>
      <c r="AC22" s="18"/>
      <c r="AD22" s="18"/>
      <c r="AE22" s="18"/>
      <c r="AF22" s="18"/>
      <c r="AG22" s="18"/>
      <c r="AH22" s="42"/>
      <c r="AI22" s="18"/>
      <c r="AJ22" s="18"/>
      <c r="AK22" s="18"/>
      <c r="AL22" s="42"/>
      <c r="AM22" s="19"/>
      <c r="AO22" s="18"/>
      <c r="AP22" s="109"/>
      <c r="AQ22" s="109"/>
      <c r="AR22" s="109"/>
      <c r="AS22" s="108"/>
      <c r="AT22" s="108"/>
      <c r="AU22" s="108"/>
      <c r="AV22" s="108"/>
      <c r="AW22" s="108"/>
      <c r="AX22" s="108"/>
      <c r="AY22" s="108"/>
      <c r="AZ22" s="108"/>
    </row>
    <row r="23" spans="1:52" ht="19.5" customHeight="1" x14ac:dyDescent="0.35">
      <c r="A23" s="114"/>
      <c r="B23" s="114" t="s">
        <v>71</v>
      </c>
      <c r="C23" s="113">
        <v>0.14243001260171201</v>
      </c>
      <c r="D23" s="113">
        <v>0.32403164515755262</v>
      </c>
      <c r="E23" s="113">
        <v>0.53324004485386978</v>
      </c>
      <c r="F23" s="113">
        <v>0.67709772646684707</v>
      </c>
      <c r="G23" s="111"/>
      <c r="H23" s="111"/>
      <c r="I23" s="112"/>
      <c r="J23" s="112"/>
      <c r="K23" s="119"/>
      <c r="L23" s="123"/>
      <c r="M23" s="18"/>
      <c r="N23" s="18"/>
      <c r="O23" s="18"/>
      <c r="P23" s="42"/>
      <c r="Q23" s="18"/>
      <c r="R23" s="18"/>
      <c r="S23" s="18"/>
      <c r="T23" s="18"/>
      <c r="U23" s="18"/>
      <c r="V23" s="18"/>
      <c r="W23" s="42"/>
      <c r="X23" s="18"/>
      <c r="Y23" s="18"/>
      <c r="Z23" s="18"/>
      <c r="AA23" s="42"/>
      <c r="AB23" s="18"/>
      <c r="AC23" s="18"/>
      <c r="AD23" s="18"/>
      <c r="AE23" s="18"/>
      <c r="AF23" s="18"/>
      <c r="AG23" s="18"/>
      <c r="AH23" s="42"/>
      <c r="AI23" s="18"/>
      <c r="AJ23" s="18"/>
      <c r="AK23" s="18"/>
      <c r="AL23" s="42"/>
      <c r="AM23" s="19"/>
      <c r="AO23" s="18"/>
      <c r="AP23" s="109"/>
      <c r="AQ23" s="109"/>
      <c r="AR23" s="109"/>
      <c r="AS23" s="108"/>
      <c r="AT23" s="108"/>
      <c r="AU23" s="108"/>
      <c r="AV23" s="108"/>
      <c r="AW23" s="108"/>
      <c r="AX23" s="108"/>
      <c r="AY23" s="108"/>
      <c r="AZ23" s="108"/>
    </row>
    <row r="24" spans="1:52" ht="19.5" customHeight="1" x14ac:dyDescent="0.35">
      <c r="A24" s="114"/>
      <c r="B24" s="114" t="s">
        <v>87</v>
      </c>
      <c r="C24" s="110">
        <v>6.0189513157972101E-2</v>
      </c>
      <c r="D24" s="110">
        <v>0.10959437379436836</v>
      </c>
      <c r="E24" s="110">
        <v>0.15880077683344965</v>
      </c>
      <c r="F24" s="110">
        <v>0.20783827169516619</v>
      </c>
      <c r="G24" s="111"/>
      <c r="H24" s="111"/>
      <c r="I24" s="112"/>
      <c r="J24" s="112"/>
      <c r="K24" s="119"/>
      <c r="L24" s="110"/>
      <c r="M24" s="18"/>
      <c r="N24" s="18"/>
      <c r="O24" s="18"/>
      <c r="P24" s="42"/>
      <c r="Q24" s="18"/>
      <c r="R24" s="18"/>
      <c r="S24" s="18"/>
      <c r="T24" s="18"/>
      <c r="U24" s="18"/>
      <c r="V24" s="18"/>
      <c r="W24" s="42"/>
      <c r="X24" s="18"/>
      <c r="Y24" s="18"/>
      <c r="Z24" s="18"/>
      <c r="AA24" s="42"/>
      <c r="AB24" s="18"/>
      <c r="AC24" s="18"/>
      <c r="AD24" s="18"/>
      <c r="AE24" s="18"/>
      <c r="AF24" s="18"/>
      <c r="AG24" s="18"/>
      <c r="AH24" s="42"/>
      <c r="AI24" s="18"/>
      <c r="AJ24" s="18"/>
      <c r="AK24" s="18"/>
      <c r="AL24" s="42"/>
      <c r="AM24" s="19"/>
      <c r="AO24" s="18"/>
      <c r="AP24" s="109"/>
      <c r="AQ24" s="109"/>
      <c r="AR24" s="109"/>
      <c r="AS24" s="108"/>
      <c r="AT24" s="108"/>
      <c r="AU24" s="108"/>
      <c r="AV24" s="108"/>
      <c r="AW24" s="108"/>
      <c r="AX24" s="108"/>
      <c r="AY24" s="108"/>
      <c r="AZ24" s="108"/>
    </row>
    <row r="25" spans="1:52" ht="19.5" customHeight="1" x14ac:dyDescent="0.35">
      <c r="A25" s="114"/>
      <c r="B25" s="114" t="s">
        <v>71</v>
      </c>
      <c r="C25" s="113">
        <v>5.4646358396682219E-3</v>
      </c>
      <c r="D25" s="113">
        <v>1.0473205691432043E-2</v>
      </c>
      <c r="E25" s="113">
        <v>1.561916675520433E-2</v>
      </c>
      <c r="F25" s="113">
        <v>1.9776182347615669E-2</v>
      </c>
      <c r="G25" s="111"/>
      <c r="H25" s="111"/>
      <c r="I25" s="112"/>
      <c r="J25" s="112"/>
      <c r="K25" s="119"/>
      <c r="L25" s="110"/>
      <c r="M25" s="18"/>
      <c r="N25" s="18"/>
      <c r="O25" s="18"/>
      <c r="P25" s="42"/>
      <c r="Q25" s="18"/>
      <c r="R25" s="18"/>
      <c r="S25" s="18"/>
      <c r="T25" s="18"/>
      <c r="U25" s="18"/>
      <c r="V25" s="18"/>
      <c r="W25" s="42"/>
      <c r="X25" s="18"/>
      <c r="Y25" s="18"/>
      <c r="Z25" s="18"/>
      <c r="AA25" s="42"/>
      <c r="AB25" s="18"/>
      <c r="AC25" s="18"/>
      <c r="AD25" s="18"/>
      <c r="AE25" s="18"/>
      <c r="AF25" s="18"/>
      <c r="AG25" s="18"/>
      <c r="AH25" s="42"/>
      <c r="AI25" s="18"/>
      <c r="AJ25" s="18"/>
      <c r="AK25" s="18"/>
      <c r="AL25" s="42"/>
      <c r="AM25" s="19"/>
      <c r="AO25" s="18"/>
      <c r="AP25" s="109"/>
      <c r="AQ25" s="109"/>
      <c r="AR25" s="109"/>
      <c r="AS25" s="108"/>
      <c r="AT25" s="108"/>
      <c r="AU25" s="108"/>
      <c r="AV25" s="108"/>
      <c r="AW25" s="108"/>
      <c r="AX25" s="108"/>
      <c r="AY25" s="108"/>
      <c r="AZ25" s="108"/>
    </row>
    <row r="26" spans="1:52" ht="19.5" customHeight="1" x14ac:dyDescent="0.35">
      <c r="A26" s="114"/>
      <c r="B26" s="114" t="s">
        <v>88</v>
      </c>
      <c r="C26" s="110">
        <f>C22*$G$22+$I$22</f>
        <v>6.1169276486420579E-2</v>
      </c>
      <c r="D26" s="110">
        <f t="shared" ref="D26:F26" si="4">D22*$G$22+$I$22</f>
        <v>0.10787674511829005</v>
      </c>
      <c r="E26" s="110">
        <f t="shared" si="4"/>
        <v>0.15921098687964141</v>
      </c>
      <c r="F26" s="110">
        <f t="shared" si="4"/>
        <v>0.2080514863014131</v>
      </c>
      <c r="G26" s="118"/>
      <c r="H26" s="118"/>
      <c r="I26" s="118"/>
      <c r="J26" s="118"/>
      <c r="K26" s="113"/>
      <c r="L26" s="113"/>
      <c r="O26" s="18"/>
      <c r="P26" s="42"/>
      <c r="Q26" s="18"/>
      <c r="R26" s="18"/>
      <c r="S26" s="18"/>
      <c r="T26" s="18"/>
      <c r="U26" s="18"/>
      <c r="V26" s="18"/>
      <c r="W26" s="42"/>
      <c r="X26" s="18"/>
      <c r="Y26" s="18"/>
      <c r="Z26" s="18"/>
      <c r="AA26" s="42"/>
      <c r="AB26" s="18"/>
      <c r="AC26" s="18"/>
      <c r="AD26" s="18"/>
      <c r="AE26" s="18"/>
      <c r="AF26" s="18"/>
      <c r="AG26" s="18"/>
      <c r="AH26" s="42"/>
      <c r="AI26" s="18"/>
      <c r="AJ26" s="18"/>
      <c r="AK26" s="18"/>
      <c r="AL26" s="42"/>
      <c r="AM26" s="19"/>
      <c r="AO26" s="18"/>
      <c r="AP26" s="109"/>
      <c r="AQ26" s="109"/>
      <c r="AR26" s="109"/>
      <c r="AS26" s="108"/>
      <c r="AT26" s="108"/>
      <c r="AU26" s="108"/>
      <c r="AV26" s="108"/>
      <c r="AW26" s="108"/>
      <c r="AX26" s="108"/>
      <c r="AY26" s="108"/>
      <c r="AZ26" s="108"/>
    </row>
    <row r="27" spans="1:52" ht="19.5" customHeight="1" x14ac:dyDescent="0.35">
      <c r="A27" s="114">
        <v>6</v>
      </c>
      <c r="B27" s="114" t="s">
        <v>77</v>
      </c>
      <c r="C27" s="120">
        <v>0.61154620493426837</v>
      </c>
      <c r="D27" s="116">
        <v>1.1917719158910183</v>
      </c>
      <c r="E27" s="116">
        <v>1.8867029488628033</v>
      </c>
      <c r="F27" s="116">
        <v>2.5282911769540566</v>
      </c>
      <c r="G27" s="111">
        <v>7.6399999999999996E-2</v>
      </c>
      <c r="H27" s="111">
        <v>1.9E-3</v>
      </c>
      <c r="I27" s="112">
        <v>1.54E-2</v>
      </c>
      <c r="J27" s="112">
        <v>3.2000000000000002E-3</v>
      </c>
      <c r="K27" s="119">
        <f>$F$40+(A27-1)*$F$41+0.5*$F$44</f>
        <v>0.20199999999999999</v>
      </c>
      <c r="L27" s="123">
        <f>K27*K27</f>
        <v>4.0803999999999993E-2</v>
      </c>
      <c r="M27" s="18"/>
      <c r="N27" s="18"/>
      <c r="O27" s="18"/>
      <c r="P27" s="42"/>
      <c r="Q27" s="18"/>
      <c r="R27" s="18"/>
      <c r="S27" s="18"/>
      <c r="T27" s="18"/>
      <c r="U27" s="18"/>
      <c r="V27" s="18"/>
      <c r="W27" s="42"/>
      <c r="X27" s="18"/>
      <c r="Y27" s="18"/>
      <c r="Z27" s="18"/>
      <c r="AA27" s="42"/>
      <c r="AB27" s="18"/>
      <c r="AC27" s="18"/>
      <c r="AD27" s="18"/>
      <c r="AE27" s="18"/>
      <c r="AF27" s="18"/>
      <c r="AG27" s="18"/>
      <c r="AH27" s="42"/>
      <c r="AI27" s="18"/>
      <c r="AJ27" s="18"/>
      <c r="AK27" s="18"/>
      <c r="AL27" s="42"/>
      <c r="AM27" s="19"/>
      <c r="AO27" s="35"/>
      <c r="AP27" s="23"/>
      <c r="AQ27" s="18"/>
      <c r="AR27" s="18"/>
      <c r="AS27" s="1"/>
      <c r="AT27" s="1"/>
      <c r="AU27" s="1"/>
      <c r="AV27" s="1"/>
      <c r="AW27" s="1"/>
      <c r="AX27" s="1"/>
      <c r="AY27" s="1"/>
      <c r="AZ27" s="1"/>
    </row>
    <row r="28" spans="1:52" ht="19.5" customHeight="1" x14ac:dyDescent="0.35">
      <c r="A28" s="114"/>
      <c r="B28" s="114" t="s">
        <v>71</v>
      </c>
      <c r="C28" s="113">
        <v>9.7308362467539697E-2</v>
      </c>
      <c r="D28" s="113">
        <v>0.18427794114694407</v>
      </c>
      <c r="E28" s="113">
        <v>0.29156979651490428</v>
      </c>
      <c r="F28" s="113">
        <v>0.38862212974692051</v>
      </c>
      <c r="G28" s="111"/>
      <c r="H28" s="111"/>
      <c r="I28" s="112"/>
      <c r="J28" s="112"/>
      <c r="K28" s="119"/>
      <c r="L28" s="123"/>
      <c r="M28" s="18"/>
      <c r="N28" s="18"/>
      <c r="O28" s="18"/>
      <c r="P28" s="42"/>
      <c r="Q28" s="18"/>
      <c r="R28" s="18"/>
      <c r="S28" s="18"/>
      <c r="T28" s="18"/>
      <c r="U28" s="18"/>
      <c r="V28" s="18"/>
      <c r="W28" s="42"/>
      <c r="X28" s="18"/>
      <c r="Y28" s="18"/>
      <c r="Z28" s="18"/>
      <c r="AA28" s="42"/>
      <c r="AB28" s="18"/>
      <c r="AC28" s="18"/>
      <c r="AD28" s="18"/>
      <c r="AE28" s="18"/>
      <c r="AF28" s="18"/>
      <c r="AG28" s="18"/>
      <c r="AH28" s="42"/>
      <c r="AI28" s="18"/>
      <c r="AJ28" s="18"/>
      <c r="AK28" s="18"/>
      <c r="AL28" s="42"/>
      <c r="AM28" s="19"/>
      <c r="AO28" s="35"/>
      <c r="AP28" s="23"/>
      <c r="AQ28" s="18"/>
      <c r="AR28" s="18"/>
      <c r="AS28" s="1"/>
      <c r="AT28" s="1"/>
      <c r="AU28" s="1"/>
      <c r="AV28" s="1"/>
      <c r="AW28" s="1"/>
      <c r="AX28" s="1"/>
      <c r="AY28" s="1"/>
      <c r="AZ28" s="1"/>
    </row>
    <row r="29" spans="1:52" ht="19.5" customHeight="1" x14ac:dyDescent="0.35">
      <c r="A29" s="114"/>
      <c r="B29" s="114" t="s">
        <v>89</v>
      </c>
      <c r="C29" s="119">
        <v>6.0215172879376472E-2</v>
      </c>
      <c r="D29" s="110">
        <v>0.10968119164371239</v>
      </c>
      <c r="E29" s="110">
        <v>0.15896925693701644</v>
      </c>
      <c r="F29" s="110">
        <v>0.20812172848777175</v>
      </c>
      <c r="G29" s="111"/>
      <c r="H29" s="111"/>
      <c r="I29" s="112"/>
      <c r="J29" s="112"/>
      <c r="K29" s="119"/>
      <c r="L29" s="121"/>
      <c r="M29" s="18"/>
      <c r="N29" s="18"/>
      <c r="O29" s="18"/>
      <c r="P29" s="42"/>
      <c r="Q29" s="18"/>
      <c r="R29" s="18"/>
      <c r="S29" s="18"/>
      <c r="T29" s="18"/>
      <c r="U29" s="18"/>
      <c r="V29" s="18"/>
      <c r="W29" s="42"/>
      <c r="X29" s="18"/>
      <c r="Y29" s="18"/>
      <c r="Z29" s="18"/>
      <c r="AA29" s="42"/>
      <c r="AB29" s="18"/>
      <c r="AC29" s="18"/>
      <c r="AD29" s="18"/>
      <c r="AE29" s="18"/>
      <c r="AF29" s="18"/>
      <c r="AG29" s="18"/>
      <c r="AH29" s="42"/>
      <c r="AI29" s="18"/>
      <c r="AJ29" s="18"/>
      <c r="AK29" s="18"/>
      <c r="AL29" s="42"/>
      <c r="AM29" s="19"/>
      <c r="AO29" s="35"/>
      <c r="AP29" s="23"/>
      <c r="AQ29" s="18"/>
      <c r="AR29" s="18"/>
      <c r="AS29" s="1"/>
      <c r="AT29" s="1"/>
      <c r="AU29" s="1"/>
      <c r="AV29" s="1"/>
      <c r="AW29" s="1"/>
      <c r="AX29" s="1"/>
      <c r="AY29" s="1"/>
      <c r="AZ29" s="1"/>
    </row>
    <row r="30" spans="1:52" ht="19.5" customHeight="1" x14ac:dyDescent="0.35">
      <c r="A30" s="114"/>
      <c r="B30" s="114" t="s">
        <v>71</v>
      </c>
      <c r="C30" s="113">
        <v>5.1592450016018062E-3</v>
      </c>
      <c r="D30" s="113">
        <v>8.9094709243059782E-3</v>
      </c>
      <c r="E30" s="113">
        <v>1.2710071444220806E-2</v>
      </c>
      <c r="F30" s="113">
        <v>1.6459436384164354E-2</v>
      </c>
      <c r="G30" s="111"/>
      <c r="H30" s="111"/>
      <c r="I30" s="112"/>
      <c r="J30" s="112"/>
      <c r="K30" s="119"/>
      <c r="L30" s="121"/>
      <c r="M30" s="18"/>
      <c r="N30" s="18"/>
      <c r="O30" s="18"/>
      <c r="P30" s="42"/>
      <c r="Q30" s="18"/>
      <c r="R30" s="18"/>
      <c r="S30" s="18"/>
      <c r="T30" s="18"/>
      <c r="U30" s="18"/>
      <c r="V30" s="18"/>
      <c r="W30" s="42"/>
      <c r="X30" s="18"/>
      <c r="Y30" s="18"/>
      <c r="Z30" s="18"/>
      <c r="AA30" s="42"/>
      <c r="AB30" s="18"/>
      <c r="AC30" s="18"/>
      <c r="AD30" s="18"/>
      <c r="AE30" s="18"/>
      <c r="AF30" s="18"/>
      <c r="AG30" s="18"/>
      <c r="AH30" s="42"/>
      <c r="AI30" s="18"/>
      <c r="AJ30" s="18"/>
      <c r="AK30" s="18"/>
      <c r="AL30" s="42"/>
      <c r="AM30" s="19"/>
      <c r="AO30" s="35"/>
      <c r="AP30" s="23"/>
      <c r="AQ30" s="18"/>
      <c r="AR30" s="18"/>
      <c r="AS30" s="1"/>
      <c r="AT30" s="1"/>
      <c r="AU30" s="1"/>
      <c r="AV30" s="1"/>
      <c r="AW30" s="1"/>
      <c r="AX30" s="1"/>
      <c r="AY30" s="1"/>
      <c r="AZ30" s="1"/>
    </row>
    <row r="31" spans="1:52" ht="19.5" customHeight="1" x14ac:dyDescent="0.35">
      <c r="A31" s="122"/>
      <c r="B31" s="114" t="s">
        <v>90</v>
      </c>
      <c r="C31" s="110">
        <f>C27*$G$27+$I$27</f>
        <v>6.21221300569781E-2</v>
      </c>
      <c r="D31" s="110">
        <f t="shared" ref="D31:F31" si="5">D27*$G$27+$I$27</f>
        <v>0.10645137437407379</v>
      </c>
      <c r="E31" s="110">
        <f t="shared" si="5"/>
        <v>0.15954410529311816</v>
      </c>
      <c r="F31" s="110">
        <f t="shared" si="5"/>
        <v>0.20856144591928991</v>
      </c>
      <c r="G31" s="111"/>
      <c r="H31" s="111"/>
      <c r="I31" s="112"/>
      <c r="J31" s="112"/>
      <c r="K31" s="119"/>
      <c r="L31" s="121"/>
      <c r="M31" s="18"/>
      <c r="N31" s="18"/>
      <c r="O31" s="18"/>
      <c r="P31" s="42"/>
      <c r="Q31" s="18"/>
      <c r="R31" s="18"/>
      <c r="S31" s="18"/>
      <c r="T31" s="18"/>
      <c r="U31" s="18"/>
      <c r="V31" s="18"/>
      <c r="W31" s="42"/>
      <c r="X31" s="18"/>
      <c r="Y31" s="18"/>
      <c r="Z31" s="18"/>
      <c r="AA31" s="42"/>
      <c r="AB31" s="18"/>
      <c r="AC31" s="18"/>
      <c r="AD31" s="18"/>
      <c r="AE31" s="18"/>
      <c r="AF31" s="18"/>
      <c r="AG31" s="18"/>
      <c r="AH31" s="42"/>
      <c r="AI31" s="18"/>
      <c r="AJ31" s="18"/>
      <c r="AK31" s="18"/>
      <c r="AL31" s="42"/>
      <c r="AM31" s="19"/>
      <c r="AO31" s="35"/>
      <c r="AP31" s="36"/>
      <c r="AQ31" s="18"/>
      <c r="AR31" s="18"/>
      <c r="AS31" s="28"/>
      <c r="AT31" s="28"/>
      <c r="AU31" s="28"/>
      <c r="AV31" s="28"/>
      <c r="AW31" s="28"/>
      <c r="AX31" s="28"/>
      <c r="AY31" s="28"/>
      <c r="AZ31" s="28"/>
    </row>
    <row r="32" spans="1:52" ht="19.5" customHeight="1" x14ac:dyDescent="0.35">
      <c r="A32" s="3"/>
      <c r="B32" s="3"/>
      <c r="C32" s="3"/>
      <c r="D32" s="3"/>
      <c r="E32" s="3"/>
      <c r="F32" s="3"/>
      <c r="G32" s="104"/>
      <c r="H32" s="104"/>
      <c r="I32" s="104"/>
      <c r="J32" s="104"/>
      <c r="K32" s="3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9"/>
      <c r="AN32" s="19"/>
      <c r="AO32" s="18"/>
      <c r="AP32" s="18"/>
      <c r="AQ32" s="18"/>
      <c r="AR32" s="42"/>
      <c r="AS32" s="28"/>
      <c r="AT32" s="28"/>
      <c r="AU32" s="28"/>
      <c r="AV32" s="28"/>
      <c r="AW32" s="28"/>
      <c r="AX32" s="28"/>
      <c r="AY32" s="28"/>
      <c r="AZ32" s="28"/>
    </row>
    <row r="33" spans="1:8" x14ac:dyDescent="0.35">
      <c r="A33" s="16"/>
      <c r="B33" s="17"/>
      <c r="C33" s="18"/>
      <c r="D33" s="18"/>
      <c r="E33" s="27" t="s">
        <v>32</v>
      </c>
      <c r="F33" s="27"/>
      <c r="G33" s="18" t="s">
        <v>71</v>
      </c>
      <c r="H33" s="104"/>
    </row>
    <row r="34" spans="1:8" x14ac:dyDescent="0.35">
      <c r="A34" s="37" t="s">
        <v>42</v>
      </c>
      <c r="B34" s="37"/>
      <c r="C34" s="37"/>
      <c r="D34" s="37"/>
      <c r="E34" s="23"/>
      <c r="F34" s="36">
        <v>9.8194999999999997</v>
      </c>
      <c r="G34" s="18">
        <v>0</v>
      </c>
      <c r="H34" s="104"/>
    </row>
    <row r="35" spans="1:8" x14ac:dyDescent="0.35">
      <c r="A35" s="37" t="s">
        <v>26</v>
      </c>
      <c r="B35" s="37"/>
      <c r="C35" s="37"/>
      <c r="D35" s="37"/>
      <c r="E35" s="18"/>
      <c r="F35" s="18">
        <v>2.3530000000000002</v>
      </c>
      <c r="G35" s="18">
        <v>0</v>
      </c>
      <c r="H35" s="104"/>
    </row>
    <row r="36" spans="1:8" x14ac:dyDescent="0.35">
      <c r="A36" s="37" t="s">
        <v>28</v>
      </c>
      <c r="B36" s="37"/>
      <c r="C36" s="37"/>
      <c r="D36" s="37"/>
      <c r="E36" s="18"/>
      <c r="F36" s="18">
        <v>0.7</v>
      </c>
      <c r="G36" s="42">
        <v>3.0000000000000001E-3</v>
      </c>
    </row>
    <row r="37" spans="1:8" x14ac:dyDescent="0.35">
      <c r="A37" s="38" t="s">
        <v>38</v>
      </c>
      <c r="B37" s="38"/>
      <c r="C37" s="38"/>
      <c r="D37" s="38"/>
      <c r="E37" s="1"/>
      <c r="F37" s="28">
        <v>4.7E-2</v>
      </c>
      <c r="G37" s="28">
        <v>5.0000000000000001E-3</v>
      </c>
    </row>
    <row r="38" spans="1:8" x14ac:dyDescent="0.35">
      <c r="A38" s="38" t="s">
        <v>39</v>
      </c>
      <c r="B38" s="38"/>
      <c r="C38" s="38"/>
      <c r="D38" s="38"/>
      <c r="E38" s="1"/>
      <c r="F38" s="28">
        <v>0.22</v>
      </c>
      <c r="G38" s="28">
        <v>5.0000000000000001E-3</v>
      </c>
    </row>
    <row r="39" spans="1:8" x14ac:dyDescent="0.35">
      <c r="A39" s="38" t="s">
        <v>40</v>
      </c>
      <c r="B39" s="38"/>
      <c r="C39" s="38"/>
      <c r="D39" s="38"/>
      <c r="E39" s="1"/>
      <c r="F39" s="28">
        <v>0.40799999999999997</v>
      </c>
      <c r="G39" s="28">
        <v>5.0000000000000001E-3</v>
      </c>
    </row>
    <row r="40" spans="1:8" x14ac:dyDescent="0.35">
      <c r="A40" s="38" t="s">
        <v>36</v>
      </c>
      <c r="B40" s="38"/>
      <c r="C40" s="38"/>
      <c r="D40" s="38"/>
      <c r="E40" s="1"/>
      <c r="F40" s="28">
        <v>5.7000000000000002E-2</v>
      </c>
      <c r="G40" s="28">
        <v>5.0000000000000001E-3</v>
      </c>
    </row>
    <row r="41" spans="1:8" x14ac:dyDescent="0.35">
      <c r="A41" s="38" t="s">
        <v>37</v>
      </c>
      <c r="B41" s="38"/>
      <c r="C41" s="38"/>
      <c r="D41" s="38"/>
      <c r="E41" s="1"/>
      <c r="F41" s="28">
        <v>2.5000000000000001E-2</v>
      </c>
      <c r="G41" s="28">
        <v>2E-3</v>
      </c>
    </row>
    <row r="42" spans="1:8" x14ac:dyDescent="0.35">
      <c r="A42" s="38" t="s">
        <v>33</v>
      </c>
      <c r="B42" s="38"/>
      <c r="C42" s="38"/>
      <c r="D42" s="38"/>
      <c r="E42" s="1"/>
      <c r="F42" s="28">
        <v>4.5999999999999999E-2</v>
      </c>
      <c r="G42" s="28">
        <v>5.0000000000000001E-3</v>
      </c>
    </row>
    <row r="43" spans="1:8" x14ac:dyDescent="0.35">
      <c r="A43" s="38" t="s">
        <v>34</v>
      </c>
      <c r="B43" s="38"/>
      <c r="C43" s="38"/>
      <c r="D43" s="38"/>
      <c r="E43" s="1"/>
      <c r="F43" s="28">
        <v>0.04</v>
      </c>
      <c r="G43" s="28">
        <v>5.0000000000000001E-3</v>
      </c>
    </row>
    <row r="44" spans="1:8" x14ac:dyDescent="0.35">
      <c r="A44" s="38" t="s">
        <v>35</v>
      </c>
      <c r="B44" s="38"/>
      <c r="C44" s="38"/>
      <c r="D44" s="38"/>
      <c r="E44" s="1"/>
      <c r="F44" s="28">
        <v>0.04</v>
      </c>
      <c r="G44" s="28">
        <v>5.0000000000000001E-3</v>
      </c>
    </row>
    <row r="45" spans="1:8" x14ac:dyDescent="0.35">
      <c r="A45" s="84"/>
      <c r="B45" s="84"/>
    </row>
    <row r="46" spans="1:8" x14ac:dyDescent="0.35">
      <c r="A46" s="84"/>
      <c r="B46" s="84"/>
    </row>
    <row r="47" spans="1:8" x14ac:dyDescent="0.35">
      <c r="A47" s="84"/>
      <c r="B47" s="84"/>
    </row>
    <row r="48" spans="1:8" x14ac:dyDescent="0.35">
      <c r="A48" s="84"/>
      <c r="B48" s="84"/>
    </row>
    <row r="49" spans="1:2" x14ac:dyDescent="0.35">
      <c r="A49" s="84"/>
      <c r="B49" s="84"/>
    </row>
    <row r="50" spans="1:2" x14ac:dyDescent="0.35">
      <c r="A50" s="84"/>
      <c r="B50" s="84"/>
    </row>
    <row r="51" spans="1:2" x14ac:dyDescent="0.35">
      <c r="A51" s="84"/>
      <c r="B51" s="84"/>
    </row>
    <row r="52" spans="1:2" x14ac:dyDescent="0.35">
      <c r="A52" s="84"/>
      <c r="B52" s="84"/>
    </row>
    <row r="53" spans="1:2" x14ac:dyDescent="0.35">
      <c r="A53" s="84"/>
      <c r="B53" s="84"/>
    </row>
    <row r="54" spans="1:2" x14ac:dyDescent="0.35">
      <c r="A54" s="84"/>
      <c r="B54" s="84"/>
    </row>
    <row r="55" spans="1:2" x14ac:dyDescent="0.35">
      <c r="A55" s="84"/>
      <c r="B55" s="84"/>
    </row>
    <row r="56" spans="1:2" x14ac:dyDescent="0.35">
      <c r="A56" s="84"/>
      <c r="B56" s="84"/>
    </row>
    <row r="57" spans="1:2" x14ac:dyDescent="0.35">
      <c r="A57" s="84"/>
      <c r="B57" s="84"/>
    </row>
    <row r="58" spans="1:2" x14ac:dyDescent="0.35">
      <c r="A58" s="45"/>
      <c r="B58" s="84"/>
    </row>
    <row r="59" spans="1:2" x14ac:dyDescent="0.35">
      <c r="A59" s="84"/>
      <c r="B59" s="84"/>
    </row>
    <row r="60" spans="1:2" x14ac:dyDescent="0.35">
      <c r="A60" s="84"/>
      <c r="B60" s="84"/>
    </row>
    <row r="61" spans="1:2" x14ac:dyDescent="0.35">
      <c r="A61" s="84"/>
      <c r="B61" s="84"/>
    </row>
    <row r="62" spans="1:2" x14ac:dyDescent="0.35">
      <c r="A62" s="84"/>
      <c r="B62" s="84"/>
    </row>
    <row r="63" spans="1:2" x14ac:dyDescent="0.35">
      <c r="A63" s="84"/>
      <c r="B63" s="84"/>
    </row>
    <row r="64" spans="1:2" x14ac:dyDescent="0.35">
      <c r="A64" s="84"/>
      <c r="B64" s="84"/>
    </row>
    <row r="65" spans="1:4" x14ac:dyDescent="0.35">
      <c r="A65" s="84"/>
      <c r="B65" s="84"/>
    </row>
    <row r="66" spans="1:4" x14ac:dyDescent="0.35">
      <c r="A66" s="84"/>
      <c r="B66" s="84"/>
    </row>
    <row r="67" spans="1:4" x14ac:dyDescent="0.35">
      <c r="A67" s="84"/>
      <c r="B67" s="84"/>
    </row>
    <row r="68" spans="1:4" x14ac:dyDescent="0.35">
      <c r="A68" s="84"/>
      <c r="B68" s="84"/>
    </row>
    <row r="69" spans="1:4" x14ac:dyDescent="0.35">
      <c r="A69" s="84"/>
      <c r="B69" s="84"/>
    </row>
    <row r="71" spans="1:4" x14ac:dyDescent="0.35">
      <c r="D71" s="84"/>
    </row>
    <row r="72" spans="1:4" x14ac:dyDescent="0.35">
      <c r="A72" s="84"/>
      <c r="B72" s="84"/>
      <c r="C72" s="84"/>
    </row>
    <row r="73" spans="1:4" x14ac:dyDescent="0.35">
      <c r="A73" s="84"/>
      <c r="B73" s="84"/>
      <c r="C73" s="84"/>
    </row>
    <row r="74" spans="1:4" x14ac:dyDescent="0.35">
      <c r="A74" s="84"/>
      <c r="B74" s="84"/>
      <c r="C74" s="84"/>
    </row>
    <row r="75" spans="1:4" x14ac:dyDescent="0.35">
      <c r="A75" s="84"/>
      <c r="B75" s="84"/>
      <c r="C75" s="84"/>
    </row>
    <row r="76" spans="1:4" x14ac:dyDescent="0.35">
      <c r="A76" s="84"/>
      <c r="B76" s="84"/>
      <c r="C76" s="84"/>
    </row>
    <row r="77" spans="1:4" x14ac:dyDescent="0.35">
      <c r="A77" s="84"/>
      <c r="B77" s="84"/>
      <c r="C77" s="84"/>
    </row>
    <row r="78" spans="1:4" x14ac:dyDescent="0.35">
      <c r="A78" s="84"/>
      <c r="B78" s="84"/>
      <c r="C78" s="84"/>
    </row>
    <row r="79" spans="1:4" x14ac:dyDescent="0.35">
      <c r="A79" s="84"/>
      <c r="B79" s="84"/>
      <c r="C79" s="84"/>
    </row>
    <row r="80" spans="1:4" x14ac:dyDescent="0.35">
      <c r="A80" s="84"/>
      <c r="B80" s="84"/>
      <c r="C80" s="84"/>
    </row>
    <row r="81" spans="1:3" x14ac:dyDescent="0.35">
      <c r="A81" s="84"/>
      <c r="B81" s="84"/>
      <c r="C81" s="84"/>
    </row>
    <row r="82" spans="1:3" x14ac:dyDescent="0.35">
      <c r="A82" s="84"/>
      <c r="B82" s="84"/>
      <c r="C82" s="84"/>
    </row>
  </sheetData>
  <mergeCells count="12">
    <mergeCell ref="A42:D42"/>
    <mergeCell ref="A43:D43"/>
    <mergeCell ref="A44:D44"/>
    <mergeCell ref="E33:F33"/>
    <mergeCell ref="A34:D34"/>
    <mergeCell ref="A35:D35"/>
    <mergeCell ref="A36:D36"/>
    <mergeCell ref="A37:D37"/>
    <mergeCell ref="A38:D38"/>
    <mergeCell ref="A39:D39"/>
    <mergeCell ref="A40:D40"/>
    <mergeCell ref="A41:D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4E3D-15C3-48E7-92B3-F4811EC1B773}">
  <dimension ref="A1:I7"/>
  <sheetViews>
    <sheetView topLeftCell="G3" workbookViewId="0">
      <selection activeCell="F17" sqref="F17"/>
    </sheetView>
  </sheetViews>
  <sheetFormatPr defaultRowHeight="14.5" x14ac:dyDescent="0.35"/>
  <cols>
    <col min="2" max="4" width="8.7265625" style="1"/>
  </cols>
  <sheetData>
    <row r="1" spans="1:9" x14ac:dyDescent="0.35">
      <c r="B1" s="1" t="s">
        <v>55</v>
      </c>
      <c r="C1" s="1" t="s">
        <v>68</v>
      </c>
      <c r="D1" s="1" t="s">
        <v>91</v>
      </c>
      <c r="F1" s="124" t="s">
        <v>93</v>
      </c>
      <c r="G1" s="113"/>
      <c r="H1" s="124" t="s">
        <v>92</v>
      </c>
      <c r="I1" s="113"/>
    </row>
    <row r="2" spans="1:9" x14ac:dyDescent="0.35">
      <c r="A2">
        <v>1</v>
      </c>
      <c r="B2" s="1">
        <v>2.1080000000000002E-2</v>
      </c>
      <c r="C2" s="1">
        <v>7.6999999999999999E-2</v>
      </c>
      <c r="D2" s="1">
        <v>5.9290000000000002E-3</v>
      </c>
      <c r="F2" s="123">
        <v>1.619</v>
      </c>
      <c r="G2" s="113">
        <v>4.4999999999999998E-2</v>
      </c>
      <c r="H2" s="113">
        <v>1.18E-2</v>
      </c>
      <c r="I2" s="113">
        <v>1.1000000000000001E-3</v>
      </c>
    </row>
    <row r="3" spans="1:9" x14ac:dyDescent="0.35">
      <c r="A3">
        <v>2</v>
      </c>
      <c r="B3" s="1">
        <v>2.7490000000000001E-2</v>
      </c>
      <c r="C3" s="1">
        <v>0.10200000000000001</v>
      </c>
      <c r="D3" s="1">
        <v>1.0404000000000002E-2</v>
      </c>
    </row>
    <row r="4" spans="1:9" x14ac:dyDescent="0.35">
      <c r="A4">
        <v>3</v>
      </c>
      <c r="B4" s="1">
        <v>3.8170000000000003E-2</v>
      </c>
      <c r="C4" s="1">
        <v>0.127</v>
      </c>
      <c r="D4" s="1">
        <v>1.6129000000000001E-2</v>
      </c>
    </row>
    <row r="5" spans="1:9" x14ac:dyDescent="0.35">
      <c r="A5">
        <v>4</v>
      </c>
      <c r="B5" s="1">
        <v>5.0799999999999998E-2</v>
      </c>
      <c r="C5" s="1">
        <v>0.152</v>
      </c>
      <c r="D5" s="1">
        <v>2.3104E-2</v>
      </c>
    </row>
    <row r="6" spans="1:9" x14ac:dyDescent="0.35">
      <c r="A6">
        <v>5</v>
      </c>
      <c r="B6" s="1">
        <v>6.3500000000000001E-2</v>
      </c>
      <c r="C6" s="1">
        <v>0.17699999999999999</v>
      </c>
      <c r="D6" s="1">
        <v>3.1328999999999996E-2</v>
      </c>
    </row>
    <row r="7" spans="1:9" x14ac:dyDescent="0.35">
      <c r="A7">
        <v>6</v>
      </c>
      <c r="B7" s="1">
        <v>7.6399999999999996E-2</v>
      </c>
      <c r="C7" s="1">
        <v>0.20199999999999999</v>
      </c>
      <c r="D7" s="1">
        <v>4.0803999999999993E-2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4CA3-5F2D-4AC7-8262-1C4D43938CD6}">
  <dimension ref="A1:Y23"/>
  <sheetViews>
    <sheetView topLeftCell="A11" zoomScale="83" workbookViewId="0">
      <selection activeCell="J42" sqref="J42"/>
    </sheetView>
  </sheetViews>
  <sheetFormatPr defaultRowHeight="14.5" x14ac:dyDescent="0.35"/>
  <cols>
    <col min="1" max="1" width="19.36328125" customWidth="1"/>
    <col min="19" max="19" width="8.7265625" customWidth="1"/>
  </cols>
  <sheetData>
    <row r="1" spans="1:25" x14ac:dyDescent="0.35">
      <c r="A1" s="9"/>
      <c r="B1" s="63" t="s">
        <v>43</v>
      </c>
      <c r="C1" s="64"/>
      <c r="D1" s="64"/>
      <c r="E1" s="64"/>
      <c r="F1" s="64"/>
      <c r="G1" s="65"/>
      <c r="H1" s="63" t="s">
        <v>44</v>
      </c>
      <c r="I1" s="64"/>
      <c r="J1" s="64"/>
      <c r="K1" s="64"/>
      <c r="L1" s="64"/>
      <c r="M1" s="65"/>
      <c r="N1" s="62" t="s">
        <v>45</v>
      </c>
      <c r="O1" s="32"/>
      <c r="P1" s="32"/>
      <c r="Q1" s="32"/>
      <c r="R1" s="32"/>
      <c r="S1" s="25"/>
      <c r="T1" s="63" t="s">
        <v>46</v>
      </c>
      <c r="U1" s="64"/>
      <c r="V1" s="64"/>
      <c r="W1" s="64"/>
      <c r="X1" s="64"/>
      <c r="Y1" s="65"/>
    </row>
    <row r="2" spans="1:25" s="47" customFormat="1" x14ac:dyDescent="0.35">
      <c r="A2" s="66" t="s">
        <v>30</v>
      </c>
      <c r="B2" s="51">
        <v>2.678987172754276</v>
      </c>
      <c r="C2" s="52">
        <v>2.0049197867395474</v>
      </c>
      <c r="D2" s="52">
        <v>1.478363533699502</v>
      </c>
      <c r="E2" s="52">
        <v>1.0612704087353266</v>
      </c>
      <c r="F2" s="52">
        <v>0.79321695254205637</v>
      </c>
      <c r="G2" s="53">
        <v>0.61154620493426837</v>
      </c>
      <c r="H2" s="51">
        <v>5.14379100336257</v>
      </c>
      <c r="I2" s="52">
        <v>3.8234411352561422</v>
      </c>
      <c r="J2" s="52">
        <v>2.6603507968120139</v>
      </c>
      <c r="K2" s="52">
        <v>1.9856534020239136</v>
      </c>
      <c r="L2" s="52">
        <v>1.5287676396581109</v>
      </c>
      <c r="M2" s="53">
        <v>1.1917719158910183</v>
      </c>
      <c r="N2" s="51">
        <v>7.4416310354285446</v>
      </c>
      <c r="O2" s="52">
        <v>5.423886408321791</v>
      </c>
      <c r="P2" s="52">
        <v>4.0363689657685473</v>
      </c>
      <c r="Q2" s="52">
        <v>3.0059044551798171</v>
      </c>
      <c r="R2" s="52">
        <v>2.3371808957423843</v>
      </c>
      <c r="S2" s="53">
        <v>1.8867029488628033</v>
      </c>
      <c r="T2" s="51">
        <v>9.5346399523207452</v>
      </c>
      <c r="U2" s="52">
        <v>7.3556510402087305</v>
      </c>
      <c r="V2" s="52">
        <v>5.2862433655548049</v>
      </c>
      <c r="W2" s="52">
        <v>3.9410786225479799</v>
      </c>
      <c r="X2" s="52">
        <v>3.1063226189198914</v>
      </c>
      <c r="Y2" s="53">
        <v>2.5282911769540566</v>
      </c>
    </row>
    <row r="3" spans="1:25" s="48" customFormat="1" x14ac:dyDescent="0.35">
      <c r="A3" s="67" t="s">
        <v>27</v>
      </c>
      <c r="B3" s="54">
        <v>0.4748348113634176</v>
      </c>
      <c r="C3" s="22">
        <v>0.34290616132960716</v>
      </c>
      <c r="D3" s="22">
        <v>0.21209684498012127</v>
      </c>
      <c r="E3" s="22">
        <v>0.21132938047321373</v>
      </c>
      <c r="F3" s="22">
        <v>0.14243001260171248</v>
      </c>
      <c r="G3" s="55">
        <v>9.7308362467539711E-2</v>
      </c>
      <c r="H3" s="54">
        <v>1.1348125786404444</v>
      </c>
      <c r="I3" s="22">
        <v>0.87426979472252153</v>
      </c>
      <c r="J3" s="22">
        <v>0.42710566374268577</v>
      </c>
      <c r="K3" s="22">
        <v>0.38252651336925542</v>
      </c>
      <c r="L3" s="22">
        <v>0.32403164515755262</v>
      </c>
      <c r="M3" s="55">
        <v>0.18427794114694407</v>
      </c>
      <c r="N3" s="54">
        <v>1.9560325729551109</v>
      </c>
      <c r="O3" s="22">
        <v>1.2319726413629934</v>
      </c>
      <c r="P3" s="22">
        <v>1.0848552041153217</v>
      </c>
      <c r="Q3" s="22">
        <v>0.56686902066948242</v>
      </c>
      <c r="R3" s="22">
        <v>0.53324004485386978</v>
      </c>
      <c r="S3" s="55">
        <v>0.29156979651490428</v>
      </c>
      <c r="T3" s="54">
        <v>2.7525022873582246</v>
      </c>
      <c r="U3" s="22">
        <v>1.8296775975457513</v>
      </c>
      <c r="V3" s="22">
        <v>1.5003788189335936</v>
      </c>
      <c r="W3" s="22">
        <v>0.68471010524876075</v>
      </c>
      <c r="X3" s="22">
        <v>0.67709772646684707</v>
      </c>
      <c r="Y3" s="55">
        <v>0.38862212974692051</v>
      </c>
    </row>
    <row r="4" spans="1:25" s="49" customFormat="1" x14ac:dyDescent="0.35">
      <c r="A4" s="68" t="s">
        <v>41</v>
      </c>
      <c r="B4" s="56">
        <v>5.9923161314758673E-2</v>
      </c>
      <c r="C4" s="57">
        <v>6.0018368614561557E-2</v>
      </c>
      <c r="D4" s="57">
        <v>6.0092740999409686E-2</v>
      </c>
      <c r="E4" s="57">
        <v>6.0151652483659002E-2</v>
      </c>
      <c r="F4" s="57">
        <v>6.0189513157972101E-2</v>
      </c>
      <c r="G4" s="58">
        <v>6.0215172879376472E-2</v>
      </c>
      <c r="H4" s="56">
        <v>0.10866306063034072</v>
      </c>
      <c r="I4" s="57">
        <v>0.1090032131244119</v>
      </c>
      <c r="J4" s="57">
        <v>0.1093028519466729</v>
      </c>
      <c r="K4" s="57">
        <v>0.10947666951361039</v>
      </c>
      <c r="L4" s="57">
        <v>0.10959437379436836</v>
      </c>
      <c r="M4" s="58">
        <v>0.10968119164371239</v>
      </c>
      <c r="N4" s="56">
        <v>0.15689169716785659</v>
      </c>
      <c r="O4" s="57">
        <v>0.15764633971162839</v>
      </c>
      <c r="P4" s="57">
        <v>0.15816527539769562</v>
      </c>
      <c r="Q4" s="57">
        <v>0.15855067221604935</v>
      </c>
      <c r="R4" s="57">
        <v>0.15880077683344965</v>
      </c>
      <c r="S4" s="58">
        <v>0.15896925693701644</v>
      </c>
      <c r="T4" s="56">
        <v>0.20468593415626107</v>
      </c>
      <c r="U4" s="57">
        <v>0.20575447327594934</v>
      </c>
      <c r="V4" s="57">
        <v>0.20676927561966915</v>
      </c>
      <c r="W4" s="57">
        <v>0.20742892154183903</v>
      </c>
      <c r="X4" s="57">
        <v>0.20783827169516619</v>
      </c>
      <c r="Y4" s="58">
        <v>0.20812172848777175</v>
      </c>
    </row>
    <row r="5" spans="1:25" s="50" customFormat="1" x14ac:dyDescent="0.35">
      <c r="A5" s="69" t="s">
        <v>27</v>
      </c>
      <c r="B5" s="59">
        <v>5.4057608414446621E-3</v>
      </c>
      <c r="C5" s="60">
        <v>5.32114421325121E-3</v>
      </c>
      <c r="D5" s="60">
        <v>4.9136231792322937E-3</v>
      </c>
      <c r="E5" s="60">
        <v>5.7554710723500867E-3</v>
      </c>
      <c r="F5" s="60">
        <v>5.4646358396682219E-3</v>
      </c>
      <c r="G5" s="61">
        <v>5.1592450016018062E-3</v>
      </c>
      <c r="H5" s="59">
        <v>1.0619511486869118E-2</v>
      </c>
      <c r="I5" s="60">
        <v>1.0871919195700106E-2</v>
      </c>
      <c r="J5" s="60">
        <v>9.0404979481931783E-3</v>
      </c>
      <c r="K5" s="60">
        <v>9.9334327417637605E-3</v>
      </c>
      <c r="L5" s="60">
        <v>1.0473205691432043E-2</v>
      </c>
      <c r="M5" s="61">
        <v>8.9094709243059782E-3</v>
      </c>
      <c r="N5" s="59">
        <v>1.6792224995333536E-2</v>
      </c>
      <c r="O5" s="60">
        <v>1.5465543171700338E-2</v>
      </c>
      <c r="P5" s="60">
        <v>1.7162625422719114E-2</v>
      </c>
      <c r="Q5" s="60">
        <v>1.4026102550755015E-2</v>
      </c>
      <c r="R5" s="60">
        <v>1.561916675520433E-2</v>
      </c>
      <c r="S5" s="61">
        <v>1.2710071444220806E-2</v>
      </c>
      <c r="T5" s="59">
        <v>2.3094587783148712E-2</v>
      </c>
      <c r="U5" s="60">
        <v>2.1160693569660841E-2</v>
      </c>
      <c r="V5" s="60">
        <v>2.3078559262096239E-2</v>
      </c>
      <c r="W5" s="60">
        <v>1.7443206882186795E-2</v>
      </c>
      <c r="X5" s="60">
        <v>1.9776182347615669E-2</v>
      </c>
      <c r="Y5" s="61">
        <v>1.6459436384164354E-2</v>
      </c>
    </row>
    <row r="6" spans="1:25" s="47" customFormat="1" x14ac:dyDescent="0.35">
      <c r="A6" s="70" t="s">
        <v>30</v>
      </c>
      <c r="B6" s="72">
        <f>AVERAGE(B2:G2)</f>
        <v>1.4380506765674965</v>
      </c>
      <c r="C6" s="72"/>
      <c r="D6" s="72"/>
      <c r="E6" s="72"/>
      <c r="F6" s="72"/>
      <c r="G6" s="72"/>
      <c r="H6" s="72">
        <f t="shared" ref="H6:H9" si="0">AVERAGE(H2:M2)</f>
        <v>2.7222959821672954</v>
      </c>
      <c r="I6" s="72"/>
      <c r="J6" s="72"/>
      <c r="K6" s="72"/>
      <c r="L6" s="72"/>
      <c r="M6" s="72"/>
      <c r="N6" s="72">
        <f t="shared" ref="N6:N9" si="1">AVERAGE(N2:S2)</f>
        <v>4.0219457848839815</v>
      </c>
      <c r="O6" s="72"/>
      <c r="P6" s="72"/>
      <c r="Q6" s="72"/>
      <c r="R6" s="72"/>
      <c r="S6" s="72"/>
      <c r="T6" s="72">
        <f t="shared" ref="T6:T9" si="2">AVERAGE(T2:Y2)</f>
        <v>5.2920377960843679</v>
      </c>
      <c r="U6" s="72"/>
      <c r="V6" s="72"/>
      <c r="W6" s="72"/>
      <c r="X6" s="72"/>
      <c r="Y6" s="72"/>
    </row>
    <row r="7" spans="1:25" s="48" customFormat="1" x14ac:dyDescent="0.35">
      <c r="A7" s="20" t="s">
        <v>27</v>
      </c>
      <c r="B7" s="73">
        <f t="shared" ref="B7:B9" si="3">AVERAGE(B3:G3)</f>
        <v>0.2468175955359353</v>
      </c>
      <c r="C7" s="73"/>
      <c r="D7" s="73"/>
      <c r="E7" s="73"/>
      <c r="F7" s="73"/>
      <c r="G7" s="73"/>
      <c r="H7" s="73">
        <f t="shared" si="0"/>
        <v>0.5545040227965673</v>
      </c>
      <c r="I7" s="73"/>
      <c r="J7" s="73"/>
      <c r="K7" s="73"/>
      <c r="L7" s="73"/>
      <c r="M7" s="73"/>
      <c r="N7" s="73">
        <f t="shared" si="1"/>
        <v>0.94408988007861394</v>
      </c>
      <c r="O7" s="73"/>
      <c r="P7" s="73"/>
      <c r="Q7" s="73"/>
      <c r="R7" s="73"/>
      <c r="S7" s="73"/>
      <c r="T7" s="73">
        <f t="shared" si="2"/>
        <v>1.3054981108833497</v>
      </c>
      <c r="U7" s="73"/>
      <c r="V7" s="73"/>
      <c r="W7" s="73"/>
      <c r="X7" s="73"/>
      <c r="Y7" s="73"/>
    </row>
    <row r="8" spans="1:25" s="49" customFormat="1" x14ac:dyDescent="0.35">
      <c r="A8" s="71" t="s">
        <v>41</v>
      </c>
      <c r="B8" s="74">
        <f t="shared" si="3"/>
        <v>6.0098434908289589E-2</v>
      </c>
      <c r="C8" s="74"/>
      <c r="D8" s="74"/>
      <c r="E8" s="74"/>
      <c r="F8" s="74"/>
      <c r="G8" s="74"/>
      <c r="H8" s="74">
        <f t="shared" si="0"/>
        <v>0.1092868934421861</v>
      </c>
      <c r="I8" s="74"/>
      <c r="J8" s="74"/>
      <c r="K8" s="74"/>
      <c r="L8" s="74"/>
      <c r="M8" s="74"/>
      <c r="N8" s="74">
        <f t="shared" si="1"/>
        <v>0.15817066971061602</v>
      </c>
      <c r="O8" s="74"/>
      <c r="P8" s="74"/>
      <c r="Q8" s="74"/>
      <c r="R8" s="74"/>
      <c r="S8" s="74"/>
      <c r="T8" s="74">
        <f t="shared" si="2"/>
        <v>0.20676643412944273</v>
      </c>
      <c r="U8" s="74"/>
      <c r="V8" s="74"/>
      <c r="W8" s="74"/>
      <c r="X8" s="74"/>
      <c r="Y8" s="74"/>
    </row>
    <row r="9" spans="1:25" s="76" customFormat="1" x14ac:dyDescent="0.35">
      <c r="A9" s="13" t="s">
        <v>27</v>
      </c>
      <c r="B9" s="75">
        <f>AVERAGE(B5:G5)</f>
        <v>5.3366466912580469E-3</v>
      </c>
      <c r="C9" s="75"/>
      <c r="D9" s="75"/>
      <c r="E9" s="75"/>
      <c r="F9" s="75"/>
      <c r="G9" s="75"/>
      <c r="H9" s="75">
        <f t="shared" si="0"/>
        <v>9.9746729980440315E-3</v>
      </c>
      <c r="I9" s="75"/>
      <c r="J9" s="75"/>
      <c r="K9" s="75"/>
      <c r="L9" s="75"/>
      <c r="M9" s="75"/>
      <c r="N9" s="75">
        <f t="shared" si="1"/>
        <v>1.5295955723322189E-2</v>
      </c>
      <c r="O9" s="75"/>
      <c r="P9" s="75"/>
      <c r="Q9" s="75"/>
      <c r="R9" s="75"/>
      <c r="S9" s="75"/>
      <c r="T9" s="75">
        <f t="shared" si="2"/>
        <v>2.0168777704812107E-2</v>
      </c>
      <c r="U9" s="75"/>
      <c r="V9" s="75"/>
      <c r="W9" s="75"/>
      <c r="X9" s="75"/>
      <c r="Y9" s="75"/>
    </row>
    <row r="12" spans="1:25" x14ac:dyDescent="0.35">
      <c r="E12" s="3"/>
      <c r="F12" s="3"/>
      <c r="G12" s="17"/>
      <c r="H12" s="17"/>
      <c r="I12" s="17"/>
      <c r="J12" s="17"/>
      <c r="K12" s="17"/>
      <c r="L12" s="17"/>
    </row>
    <row r="14" spans="1:25" x14ac:dyDescent="0.35">
      <c r="E14" s="3"/>
      <c r="F14" s="3"/>
      <c r="G14" s="18"/>
      <c r="H14" s="18"/>
      <c r="I14" s="18"/>
      <c r="J14" s="18"/>
      <c r="K14" s="18"/>
      <c r="L14" s="18"/>
    </row>
    <row r="16" spans="1:25" x14ac:dyDescent="0.35">
      <c r="E16" s="3"/>
      <c r="F16" s="3"/>
      <c r="G16" s="42"/>
      <c r="H16" s="42"/>
      <c r="I16" s="42"/>
      <c r="J16" s="42"/>
      <c r="K16" s="42"/>
      <c r="L16" s="42"/>
    </row>
    <row r="18" spans="5:8" x14ac:dyDescent="0.35">
      <c r="E18" s="3"/>
      <c r="F18" s="3"/>
      <c r="G18" s="3"/>
      <c r="H18" s="3"/>
    </row>
    <row r="20" spans="5:8" x14ac:dyDescent="0.35">
      <c r="E20" s="3"/>
      <c r="F20" s="3"/>
      <c r="G20" s="3"/>
      <c r="H20" s="3"/>
    </row>
    <row r="22" spans="5:8" x14ac:dyDescent="0.35">
      <c r="E22" s="3"/>
      <c r="F22" s="3"/>
      <c r="G22" s="3"/>
      <c r="H22" s="3"/>
    </row>
    <row r="23" spans="5:8" x14ac:dyDescent="0.35">
      <c r="E23" s="95"/>
      <c r="F23" s="3"/>
      <c r="G23" s="3"/>
      <c r="H23" s="3"/>
    </row>
  </sheetData>
  <mergeCells count="20">
    <mergeCell ref="T8:Y8"/>
    <mergeCell ref="H9:M9"/>
    <mergeCell ref="N9:S9"/>
    <mergeCell ref="T9:Y9"/>
    <mergeCell ref="B8:G8"/>
    <mergeCell ref="B9:G9"/>
    <mergeCell ref="H6:M6"/>
    <mergeCell ref="N6:S6"/>
    <mergeCell ref="T6:Y6"/>
    <mergeCell ref="H7:M7"/>
    <mergeCell ref="N7:S7"/>
    <mergeCell ref="T7:Y7"/>
    <mergeCell ref="H8:M8"/>
    <mergeCell ref="N8:S8"/>
    <mergeCell ref="B1:G1"/>
    <mergeCell ref="H1:M1"/>
    <mergeCell ref="N1:S1"/>
    <mergeCell ref="T1:Y1"/>
    <mergeCell ref="B6:G6"/>
    <mergeCell ref="B7:G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3424-4CDA-40B0-919C-5C7479F5EFB9}">
  <dimension ref="A1:V59"/>
  <sheetViews>
    <sheetView topLeftCell="A8" zoomScale="71" workbookViewId="0">
      <selection activeCell="M33" sqref="M33"/>
    </sheetView>
  </sheetViews>
  <sheetFormatPr defaultRowHeight="14.5" x14ac:dyDescent="0.35"/>
  <cols>
    <col min="2" max="2" width="19.453125" customWidth="1"/>
    <col min="11" max="11" width="10" customWidth="1"/>
    <col min="12" max="12" width="22.36328125" customWidth="1"/>
    <col min="13" max="13" width="12.453125" style="46" bestFit="1" customWidth="1"/>
    <col min="14" max="14" width="11.6328125" style="46" bestFit="1" customWidth="1"/>
    <col min="15" max="17" width="12.6328125" style="46" bestFit="1" customWidth="1"/>
    <col min="18" max="18" width="11.6328125" style="46" bestFit="1" customWidth="1"/>
    <col min="19" max="19" width="5.1796875" style="46" customWidth="1"/>
    <col min="20" max="20" width="12.54296875" style="46" customWidth="1"/>
    <col min="21" max="21" width="18.54296875" style="46" customWidth="1"/>
    <col min="22" max="22" width="16.36328125" style="46" customWidth="1"/>
  </cols>
  <sheetData>
    <row r="1" spans="1:22" x14ac:dyDescent="0.35">
      <c r="A1" s="4" t="s">
        <v>10</v>
      </c>
      <c r="B1" s="5" t="s">
        <v>1</v>
      </c>
      <c r="C1" s="6" t="s">
        <v>9</v>
      </c>
      <c r="D1" s="6"/>
      <c r="E1" s="6"/>
      <c r="F1" s="6"/>
      <c r="G1" s="6"/>
      <c r="H1" s="81"/>
      <c r="I1" s="11"/>
      <c r="L1" s="82" t="s">
        <v>48</v>
      </c>
      <c r="M1" s="86" t="s">
        <v>49</v>
      </c>
      <c r="N1" s="86"/>
      <c r="O1" s="86"/>
      <c r="P1" s="86"/>
      <c r="Q1" s="87" t="s">
        <v>54</v>
      </c>
      <c r="R1" s="88" t="s">
        <v>63</v>
      </c>
      <c r="S1" s="88"/>
      <c r="T1" s="89"/>
      <c r="U1" s="90" t="s">
        <v>58</v>
      </c>
      <c r="V1" s="46" t="s">
        <v>59</v>
      </c>
    </row>
    <row r="2" spans="1:22" x14ac:dyDescent="0.35">
      <c r="A2" s="4"/>
      <c r="B2" s="5"/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10" t="s">
        <v>8</v>
      </c>
      <c r="I2" s="9" t="s">
        <v>47</v>
      </c>
      <c r="L2" s="82"/>
      <c r="M2" s="91">
        <v>1</v>
      </c>
      <c r="N2" s="91">
        <v>2</v>
      </c>
      <c r="O2" s="91">
        <v>3</v>
      </c>
      <c r="P2" s="91">
        <v>4</v>
      </c>
      <c r="Q2" s="87"/>
      <c r="R2" s="88"/>
      <c r="S2" s="88"/>
      <c r="T2" s="89"/>
      <c r="U2" s="90" t="s">
        <v>55</v>
      </c>
      <c r="V2" s="92" t="s">
        <v>56</v>
      </c>
    </row>
    <row r="3" spans="1:22" x14ac:dyDescent="0.35">
      <c r="A3" s="25">
        <v>0.26700000000000002</v>
      </c>
      <c r="B3" s="9">
        <v>1</v>
      </c>
      <c r="C3" s="12">
        <v>4.72</v>
      </c>
      <c r="D3" s="12">
        <v>5.56</v>
      </c>
      <c r="E3" s="12">
        <v>6.44</v>
      </c>
      <c r="F3" s="12">
        <v>7.53</v>
      </c>
      <c r="G3" s="12">
        <v>8.66</v>
      </c>
      <c r="H3" s="24">
        <v>9.99</v>
      </c>
      <c r="I3" s="77"/>
      <c r="L3" s="20" t="s">
        <v>50</v>
      </c>
      <c r="M3" s="93">
        <v>1.4380506765675001</v>
      </c>
      <c r="N3" s="93">
        <v>2.7222959821672954</v>
      </c>
      <c r="O3" s="93">
        <v>4.0219457848839815</v>
      </c>
      <c r="P3" s="93">
        <v>5.2920377960843679</v>
      </c>
      <c r="Q3" s="94">
        <f>SUM(M3:P3)</f>
        <v>13.474330239703146</v>
      </c>
      <c r="R3" s="95">
        <f>Q3/4</f>
        <v>3.3685825599257866</v>
      </c>
      <c r="S3" s="95"/>
      <c r="T3" s="100" t="s">
        <v>61</v>
      </c>
      <c r="U3" s="46">
        <f>Q12/Q9</f>
        <v>3.8010948702368326E-2</v>
      </c>
      <c r="V3" s="46">
        <f>R4-U3*R3</f>
        <v>5.5375891626019691E-3</v>
      </c>
    </row>
    <row r="4" spans="1:22" x14ac:dyDescent="0.35">
      <c r="A4" s="26"/>
      <c r="B4" s="9">
        <v>2</v>
      </c>
      <c r="C4" s="7">
        <v>4.7699999999999996</v>
      </c>
      <c r="D4" s="7">
        <v>5.5</v>
      </c>
      <c r="E4" s="7">
        <v>6.41</v>
      </c>
      <c r="F4" s="7">
        <v>7.5</v>
      </c>
      <c r="G4" s="7">
        <v>8.81</v>
      </c>
      <c r="H4" s="10">
        <v>9.91</v>
      </c>
      <c r="I4" s="77"/>
      <c r="L4" s="33" t="s">
        <v>51</v>
      </c>
      <c r="M4" s="40">
        <v>6.0098434908289589E-2</v>
      </c>
      <c r="N4" s="40">
        <v>0.1092868934421861</v>
      </c>
      <c r="O4" s="40">
        <v>0.15817066971061602</v>
      </c>
      <c r="P4" s="40">
        <v>0.20676643412944273</v>
      </c>
      <c r="Q4" s="94">
        <f t="shared" ref="Q4:Q8" si="0">SUM(M4:P4)</f>
        <v>0.53432243219053444</v>
      </c>
      <c r="R4" s="95">
        <f>Q4/4</f>
        <v>0.13358060804763361</v>
      </c>
      <c r="S4" s="95"/>
      <c r="T4" s="95" t="s">
        <v>60</v>
      </c>
      <c r="U4" s="99">
        <f>Q8/(Q9*2)</f>
        <v>9.0468814699150823E-9</v>
      </c>
      <c r="V4" s="98">
        <f>(1/4+R3^2/Q9)*Q8/2</f>
        <v>1.2136526538000128E-7</v>
      </c>
    </row>
    <row r="5" spans="1:22" x14ac:dyDescent="0.35">
      <c r="A5" s="26"/>
      <c r="B5" s="9">
        <v>3</v>
      </c>
      <c r="C5" s="12">
        <v>4.8099999999999996</v>
      </c>
      <c r="D5" s="12">
        <v>5.47</v>
      </c>
      <c r="E5" s="12">
        <v>6.4</v>
      </c>
      <c r="F5" s="12">
        <v>7.69</v>
      </c>
      <c r="G5" s="12">
        <v>8.81</v>
      </c>
      <c r="H5" s="24">
        <v>10.029999999999999</v>
      </c>
      <c r="I5" s="77"/>
      <c r="L5" s="83" t="s">
        <v>52</v>
      </c>
      <c r="M5" s="96">
        <f>M3*M4</f>
        <v>8.6424594980513705E-2</v>
      </c>
      <c r="N5" s="96">
        <f t="shared" ref="N5:P5" si="1">N3*N4</f>
        <v>0.29751127092120855</v>
      </c>
      <c r="O5" s="96">
        <f t="shared" si="1"/>
        <v>0.63615385833488858</v>
      </c>
      <c r="P5" s="96">
        <f t="shared" si="1"/>
        <v>1.0942157843745997</v>
      </c>
      <c r="Q5" s="94">
        <f t="shared" si="0"/>
        <v>2.1143055086112104</v>
      </c>
      <c r="R5" s="95"/>
      <c r="S5" s="95"/>
      <c r="T5" s="95"/>
      <c r="U5" s="95"/>
    </row>
    <row r="6" spans="1:22" x14ac:dyDescent="0.35">
      <c r="A6" s="26"/>
      <c r="B6" s="13" t="s">
        <v>0</v>
      </c>
      <c r="C6" s="14">
        <f>AVERAGE(C3:C5)</f>
        <v>4.7666666666666657</v>
      </c>
      <c r="D6" s="14">
        <f t="shared" ref="D6:H6" si="2">AVERAGE(D3:D5)</f>
        <v>5.5099999999999989</v>
      </c>
      <c r="E6" s="14">
        <f t="shared" si="2"/>
        <v>6.416666666666667</v>
      </c>
      <c r="F6" s="14">
        <f t="shared" si="2"/>
        <v>7.5733333333333341</v>
      </c>
      <c r="G6" s="14">
        <f t="shared" si="2"/>
        <v>8.76</v>
      </c>
      <c r="H6" s="41">
        <f t="shared" si="2"/>
        <v>9.9766666666666666</v>
      </c>
      <c r="I6" s="77"/>
      <c r="L6" s="83" t="s">
        <v>53</v>
      </c>
      <c r="M6" s="96">
        <f>M3*M3</f>
        <v>2.0679897483762448</v>
      </c>
      <c r="N6" s="96">
        <f t="shared" ref="N6:P6" si="3">N3*N3</f>
        <v>7.4108954145241999</v>
      </c>
      <c r="O6" s="96">
        <f t="shared" si="3"/>
        <v>16.176047896546027</v>
      </c>
      <c r="P6" s="96">
        <f t="shared" si="3"/>
        <v>28.005664035185493</v>
      </c>
      <c r="Q6" s="94">
        <f t="shared" si="0"/>
        <v>53.660597094631967</v>
      </c>
      <c r="R6" s="95"/>
      <c r="S6" s="95"/>
      <c r="T6" s="95"/>
      <c r="U6" s="95"/>
    </row>
    <row r="7" spans="1:22" x14ac:dyDescent="0.35">
      <c r="A7" s="26"/>
      <c r="B7" s="13" t="s">
        <v>27</v>
      </c>
      <c r="C7" s="14">
        <f xml:space="preserve"> SQRT(((C3-C6)^2 + (C4-C6)^2 + (C5-C6)^2)/(3*2))*$F$50</f>
        <v>6.125839162469443E-2</v>
      </c>
      <c r="D7" s="14">
        <f xml:space="preserve"> SQRT(((D3-D6)^2 + (D4-D6)^2 + (D5-D6)^2)/(3*2))*$F$50</f>
        <v>6.2254528349349685E-2</v>
      </c>
      <c r="E7" s="14">
        <f xml:space="preserve"> SQRT(((E3-E6)^2 + (E4-E6)^2 + (E5-E6)^2)/(3*2))*$F$50</f>
        <v>2.8279540503889301E-2</v>
      </c>
      <c r="F7" s="14">
        <f xml:space="preserve"> SQRT(((F3-F6)^2 + (F4-F6)^2 + (F5-F6)^2)/(3*2))*$F$50</f>
        <v>0.13876273182827051</v>
      </c>
      <c r="G7" s="14">
        <f xml:space="preserve"> SQRT(((G3-G6)^2 + (G4-G6)^2 + (G5-G6)^2)/(3*2))*$F$50</f>
        <v>0.1176500000000003</v>
      </c>
      <c r="H7" s="41">
        <f xml:space="preserve"> SQRT(((H3-H6)^2 + (H4-H6)^2 + (H5-H6)^2)/(3*2))*$F$50</f>
        <v>8.3006037799132654E-2</v>
      </c>
      <c r="I7" s="77"/>
      <c r="L7" s="83" t="s">
        <v>57</v>
      </c>
      <c r="M7" s="96">
        <f>M4-($U$3*M3+$V$3)</f>
        <v>-1.0082475272569363E-4</v>
      </c>
      <c r="N7" s="96">
        <f>N4-($U$3*N3+$V$3)</f>
        <v>2.7225134875967505E-4</v>
      </c>
      <c r="O7" s="96">
        <f>O4-($U$3*O3+$V$3)</f>
        <v>-2.4489436491748062E-4</v>
      </c>
      <c r="P7" s="96">
        <f>P4-($U$3*P3+$V$3)</f>
        <v>7.3467768883533902E-5</v>
      </c>
      <c r="Q7" s="94">
        <f t="shared" si="0"/>
        <v>3.4694469519536142E-17</v>
      </c>
      <c r="R7" s="95"/>
      <c r="S7" s="95"/>
      <c r="T7" s="95"/>
      <c r="U7" s="95"/>
    </row>
    <row r="8" spans="1:22" x14ac:dyDescent="0.35">
      <c r="A8" s="26"/>
      <c r="B8" s="29" t="s">
        <v>29</v>
      </c>
      <c r="C8" s="30">
        <f>2*$F$51/C6^2</f>
        <v>6.1616704973348348E-2</v>
      </c>
      <c r="D8" s="30">
        <f>2*$F$51/D6^2</f>
        <v>4.6113155095009586E-2</v>
      </c>
      <c r="E8" s="30">
        <f>2*$F$51/E6^2</f>
        <v>3.4002361275088544E-2</v>
      </c>
      <c r="F8" s="30">
        <f>2*$F$51/F6^2</f>
        <v>2.4409219400912511E-2</v>
      </c>
      <c r="G8" s="30">
        <f>2*$F$51/G6^2</f>
        <v>1.8243989908467297E-2</v>
      </c>
      <c r="H8" s="31">
        <f>2*$F$51/H6^2</f>
        <v>1.4065562713488172E-2</v>
      </c>
      <c r="I8" s="77"/>
      <c r="L8" s="83" t="s">
        <v>62</v>
      </c>
      <c r="M8" s="91">
        <f>M7*M7</f>
        <v>1.0165630762197267E-8</v>
      </c>
      <c r="N8" s="91">
        <f t="shared" ref="N8:P8" si="4">N7*N7</f>
        <v>7.4120796901462219E-8</v>
      </c>
      <c r="O8" s="91">
        <f t="shared" si="4"/>
        <v>5.9973249968336159E-8</v>
      </c>
      <c r="P8" s="91">
        <f t="shared" si="4"/>
        <v>5.3975130647243518E-9</v>
      </c>
      <c r="Q8" s="94">
        <f t="shared" si="0"/>
        <v>1.4965719069671999E-7</v>
      </c>
    </row>
    <row r="9" spans="1:22" x14ac:dyDescent="0.35">
      <c r="A9" s="26"/>
      <c r="B9" s="29" t="s">
        <v>27</v>
      </c>
      <c r="C9" s="78">
        <f>2*C8*($G$51/$F$51+C7/C6)</f>
        <v>2.1118663647364576E-3</v>
      </c>
      <c r="D9" s="78">
        <f>2*D8*($G$51/$F$51+D7/D6)</f>
        <v>1.4372711218660474E-3</v>
      </c>
      <c r="E9" s="78">
        <f>2*E8*($G$51/$F$51+E7/E6)</f>
        <v>5.9115930014701679E-4</v>
      </c>
      <c r="F9" s="78">
        <f>2*F8*($G$51/$F$51+F7/F6)</f>
        <v>1.1036998645227994E-3</v>
      </c>
      <c r="G9" s="78">
        <f>2*G8*($G$51/$F$51+G7/G6)</f>
        <v>6.4642395424212285E-4</v>
      </c>
      <c r="H9" s="79">
        <f>2*H8*($G$51/$F$51+H7/H6)</f>
        <v>3.5461341220887119E-4</v>
      </c>
      <c r="I9" s="77"/>
      <c r="L9" s="83" t="s">
        <v>64</v>
      </c>
      <c r="M9" s="91">
        <f>(M3-$R$3)^2</f>
        <v>3.7269533526628926</v>
      </c>
      <c r="N9" s="91">
        <f>(N3-$R$3)^2</f>
        <v>0.4176863405907823</v>
      </c>
      <c r="O9" s="91">
        <f>(O3-$R$3)^2</f>
        <v>0.42688350372777278</v>
      </c>
      <c r="P9" s="91">
        <f>(P3-$R$3)^2</f>
        <v>3.6996800455058638</v>
      </c>
      <c r="Q9" s="94">
        <f>SUM(M9:P9)</f>
        <v>8.2712032424873101</v>
      </c>
    </row>
    <row r="10" spans="1:22" x14ac:dyDescent="0.35">
      <c r="A10" s="26"/>
      <c r="B10" s="20" t="s">
        <v>30</v>
      </c>
      <c r="C10" s="21">
        <f>2*C8/$F$57</f>
        <v>2.678987172754276</v>
      </c>
      <c r="D10" s="21">
        <f>2*D8/$F$57</f>
        <v>2.0049197867395474</v>
      </c>
      <c r="E10" s="21">
        <f>2*E8/$F$57</f>
        <v>1.478363533699502</v>
      </c>
      <c r="F10" s="21">
        <f>2*F8/$F$57</f>
        <v>1.0612704087353266</v>
      </c>
      <c r="G10" s="21">
        <f>2*G8/$F$57</f>
        <v>0.79321695254205637</v>
      </c>
      <c r="H10" s="21">
        <f>2*H8/$F$57</f>
        <v>0.61154620493426837</v>
      </c>
      <c r="I10" s="21">
        <f t="shared" ref="I10:I46" si="5" xml:space="preserve"> AVERAGE(C10:H10)</f>
        <v>1.4380506765674965</v>
      </c>
      <c r="L10" s="83" t="s">
        <v>65</v>
      </c>
      <c r="M10" s="91">
        <f>(M4-$R$4)</f>
        <v>-7.348217313934402E-2</v>
      </c>
      <c r="N10" s="91">
        <f t="shared" ref="N10:P10" si="6">(N4-$R$4)</f>
        <v>-2.4293714605447506E-2</v>
      </c>
      <c r="O10" s="91">
        <f t="shared" si="6"/>
        <v>2.4590061662982415E-2</v>
      </c>
      <c r="P10" s="91">
        <f t="shared" si="6"/>
        <v>7.3185826081809124E-2</v>
      </c>
      <c r="Q10" s="94">
        <f>SUM(M10:P10)</f>
        <v>0</v>
      </c>
    </row>
    <row r="11" spans="1:22" x14ac:dyDescent="0.35">
      <c r="A11" s="26"/>
      <c r="B11" s="20" t="s">
        <v>27</v>
      </c>
      <c r="C11" s="21">
        <f>C10*(2*(C9/C8) + ($G$57/$F$57))</f>
        <v>0.4748348113634176</v>
      </c>
      <c r="D11" s="21">
        <f>D10*(2*(D9/D8) + ($G$57/$F$57))</f>
        <v>0.34290616132960716</v>
      </c>
      <c r="E11" s="21">
        <f>E10*(2*(E9/E8) + ($G$57/$F$57))</f>
        <v>0.21209684498012127</v>
      </c>
      <c r="F11" s="21">
        <f>F10*(2*(F9/F8) + ($G$57/$F$57))</f>
        <v>0.21132938047321373</v>
      </c>
      <c r="G11" s="21">
        <f>G10*(2*(G9/G8) + ($G$57/$F$57))</f>
        <v>0.14243001260171248</v>
      </c>
      <c r="H11" s="21">
        <f>H10*(2*(H9/H8) + ($G$57/$F$57))</f>
        <v>9.7308362467539711E-2</v>
      </c>
      <c r="I11" s="21">
        <f t="shared" si="5"/>
        <v>0.2468175955359353</v>
      </c>
      <c r="L11" s="9" t="s">
        <v>66</v>
      </c>
      <c r="M11" s="91">
        <f>M3-$R$3</f>
        <v>-1.9305318833582865</v>
      </c>
      <c r="N11" s="91">
        <f t="shared" ref="N11:P11" si="7">N3-$R$3</f>
        <v>-0.64628657775849119</v>
      </c>
      <c r="O11" s="91">
        <f t="shared" si="7"/>
        <v>0.65336322495819488</v>
      </c>
      <c r="P11" s="91">
        <f t="shared" si="7"/>
        <v>1.9234552361585813</v>
      </c>
      <c r="Q11" s="94">
        <f>SUM(M11:P11)</f>
        <v>-1.7763568394002505E-15</v>
      </c>
    </row>
    <row r="12" spans="1:22" x14ac:dyDescent="0.35">
      <c r="A12" s="26"/>
      <c r="B12" s="33" t="s">
        <v>41</v>
      </c>
      <c r="C12" s="34">
        <f>$A$3*$F$57*($F$49-C8)/2</f>
        <v>5.9923161314758673E-2</v>
      </c>
      <c r="D12" s="34">
        <f>$A$3*$F$57*($F$49-D8)/2</f>
        <v>6.0018368614561557E-2</v>
      </c>
      <c r="E12" s="34">
        <f>$A$3*$F$57*($F$49-E8)/2</f>
        <v>6.0092740999409686E-2</v>
      </c>
      <c r="F12" s="34">
        <f>$A$3*$F$57*($F$49-F8)/2</f>
        <v>6.0151652483659002E-2</v>
      </c>
      <c r="G12" s="34">
        <f>$A$3*$F$57*($F$49-G8)/2</f>
        <v>6.0189513157972101E-2</v>
      </c>
      <c r="H12" s="34">
        <f>$A$3*$F$57*($F$49-H8)/2</f>
        <v>6.0215172879376472E-2</v>
      </c>
      <c r="I12" s="34">
        <f t="shared" si="5"/>
        <v>6.0098434908289589E-2</v>
      </c>
      <c r="L12" s="9" t="s">
        <v>67</v>
      </c>
      <c r="M12" s="91">
        <f>M10*M11</f>
        <v>0.1418596781039575</v>
      </c>
      <c r="N12" s="91">
        <f t="shared" ref="N12:P12" si="8">N10*N11</f>
        <v>1.5700701673396142E-2</v>
      </c>
      <c r="O12" s="91">
        <f t="shared" si="8"/>
        <v>1.6066241990047064E-2</v>
      </c>
      <c r="P12" s="91">
        <f t="shared" si="8"/>
        <v>0.14076966038964703</v>
      </c>
      <c r="Q12" s="94">
        <f>SUM(M12:P12)</f>
        <v>0.31439628215704774</v>
      </c>
    </row>
    <row r="13" spans="1:22" x14ac:dyDescent="0.35">
      <c r="A13" s="44"/>
      <c r="B13" s="33" t="s">
        <v>27</v>
      </c>
      <c r="C13" s="40">
        <f>1/2*C12*(C9/C8+$G$57/$F$57+(($G$52+$G$53)/$A$3))</f>
        <v>5.4057608414446621E-3</v>
      </c>
      <c r="D13" s="40">
        <f t="shared" ref="D13:H13" si="9">1/2*D12*(D9/D8+$G$57/$F$57+(($G$52+$G$53)/$A$3))</f>
        <v>5.32114421325121E-3</v>
      </c>
      <c r="E13" s="40">
        <f t="shared" si="9"/>
        <v>4.9136231792322937E-3</v>
      </c>
      <c r="F13" s="40">
        <f t="shared" si="9"/>
        <v>5.7554710723500867E-3</v>
      </c>
      <c r="G13" s="40">
        <f t="shared" si="9"/>
        <v>5.4646358396682219E-3</v>
      </c>
      <c r="H13" s="40">
        <f t="shared" si="9"/>
        <v>5.1592450016018062E-3</v>
      </c>
      <c r="I13" s="34">
        <f t="shared" si="5"/>
        <v>5.3366466912580469E-3</v>
      </c>
    </row>
    <row r="14" spans="1:22" x14ac:dyDescent="0.35">
      <c r="A14" s="25">
        <v>0.48699999999999999</v>
      </c>
      <c r="B14" s="15">
        <v>1</v>
      </c>
      <c r="C14" s="12">
        <v>3.38</v>
      </c>
      <c r="D14" s="12">
        <v>3.91</v>
      </c>
      <c r="E14" s="12">
        <v>4.8099999999999996</v>
      </c>
      <c r="F14" s="12">
        <v>5.59</v>
      </c>
      <c r="G14" s="12">
        <v>6.41</v>
      </c>
      <c r="H14" s="24">
        <v>7.12</v>
      </c>
      <c r="I14" s="77"/>
      <c r="K14" s="102" t="s">
        <v>69</v>
      </c>
      <c r="L14" s="101" t="s">
        <v>2</v>
      </c>
      <c r="M14" s="6"/>
      <c r="N14" s="6"/>
      <c r="O14" s="6"/>
      <c r="P14" s="6"/>
      <c r="Q14" s="81"/>
    </row>
    <row r="15" spans="1:22" x14ac:dyDescent="0.35">
      <c r="A15" s="26"/>
      <c r="B15" s="9">
        <v>2</v>
      </c>
      <c r="C15" s="7">
        <v>3.5</v>
      </c>
      <c r="D15" s="7">
        <v>4</v>
      </c>
      <c r="E15" s="7">
        <v>4.75</v>
      </c>
      <c r="F15" s="7">
        <v>5.56</v>
      </c>
      <c r="G15" s="7">
        <v>6.21</v>
      </c>
      <c r="H15" s="10">
        <v>7.19</v>
      </c>
      <c r="I15" s="77"/>
      <c r="K15" s="103"/>
      <c r="L15" s="8">
        <v>1</v>
      </c>
      <c r="M15" s="7">
        <v>2</v>
      </c>
      <c r="N15" s="7">
        <v>3</v>
      </c>
      <c r="O15" s="7">
        <v>4</v>
      </c>
      <c r="P15" s="7">
        <v>5</v>
      </c>
      <c r="Q15" s="10">
        <v>6</v>
      </c>
    </row>
    <row r="16" spans="1:22" x14ac:dyDescent="0.35">
      <c r="A16" s="26"/>
      <c r="B16" s="15">
        <v>3</v>
      </c>
      <c r="C16" s="12">
        <v>3.44</v>
      </c>
      <c r="D16" s="12">
        <v>4.0599999999999996</v>
      </c>
      <c r="E16" s="12">
        <v>4.79</v>
      </c>
      <c r="F16" s="12">
        <v>5.46</v>
      </c>
      <c r="G16" s="12">
        <v>6.31</v>
      </c>
      <c r="H16" s="24">
        <v>7.13</v>
      </c>
      <c r="I16" s="77"/>
      <c r="K16" s="9" t="s">
        <v>68</v>
      </c>
      <c r="L16" s="28">
        <f>$F$55 + (L15-1)*$F$56 + 0.5*$F$58</f>
        <v>7.6999999999999999E-2</v>
      </c>
      <c r="M16" s="28">
        <f t="shared" ref="M16:Q16" si="10">$F$55 + (M15-1)*$F$56 + 0.5*$F$58</f>
        <v>0.10200000000000001</v>
      </c>
      <c r="N16" s="28">
        <f t="shared" si="10"/>
        <v>0.127</v>
      </c>
      <c r="O16" s="28">
        <f t="shared" si="10"/>
        <v>0.152</v>
      </c>
      <c r="P16" s="28">
        <f t="shared" si="10"/>
        <v>0.17699999999999999</v>
      </c>
      <c r="Q16" s="28">
        <f t="shared" si="10"/>
        <v>0.20199999999999999</v>
      </c>
    </row>
    <row r="17" spans="1:17" x14ac:dyDescent="0.35">
      <c r="A17" s="26"/>
      <c r="B17" s="13" t="s">
        <v>0</v>
      </c>
      <c r="C17" s="14">
        <f>AVERAGE(C14:C16)</f>
        <v>3.44</v>
      </c>
      <c r="D17" s="14">
        <f t="shared" ref="D17:H17" si="11">AVERAGE(D14:D16)</f>
        <v>3.9899999999999998</v>
      </c>
      <c r="E17" s="14">
        <f t="shared" si="11"/>
        <v>4.7833333333333323</v>
      </c>
      <c r="F17" s="14">
        <f t="shared" si="11"/>
        <v>5.5366666666666662</v>
      </c>
      <c r="G17" s="14">
        <f t="shared" si="11"/>
        <v>6.31</v>
      </c>
      <c r="H17" s="41">
        <f t="shared" si="11"/>
        <v>7.1466666666666674</v>
      </c>
      <c r="I17" s="77"/>
      <c r="K17" t="s">
        <v>70</v>
      </c>
      <c r="L17">
        <f>L16*L16</f>
        <v>5.9290000000000002E-3</v>
      </c>
      <c r="M17">
        <f t="shared" ref="M17:Q17" si="12">M16*M16</f>
        <v>1.0404000000000002E-2</v>
      </c>
      <c r="N17">
        <f t="shared" si="12"/>
        <v>1.6129000000000001E-2</v>
      </c>
      <c r="O17">
        <f t="shared" si="12"/>
        <v>2.3104E-2</v>
      </c>
      <c r="P17">
        <f t="shared" si="12"/>
        <v>3.1328999999999996E-2</v>
      </c>
      <c r="Q17">
        <f t="shared" si="12"/>
        <v>4.0803999999999993E-2</v>
      </c>
    </row>
    <row r="18" spans="1:17" x14ac:dyDescent="0.35">
      <c r="A18" s="26"/>
      <c r="B18" s="13" t="s">
        <v>27</v>
      </c>
      <c r="C18" s="14">
        <f xml:space="preserve"> SQRT(((C14-C17)^2 + (C15-C17)^2 + (C16-C17)^2)/(3*2))*$F$50</f>
        <v>8.1510311004191441E-2</v>
      </c>
      <c r="D18" s="14">
        <f xml:space="preserve"> SQRT(((D14-D17)^2 + (D15-D17)^2 + (D16-D17)^2)/(3*2))*$F$50</f>
        <v>0.10256489214151171</v>
      </c>
      <c r="E18" s="14">
        <f xml:space="preserve"> SQRT(((E14-E17)^2 + (E15-E17)^2 + (E16-E17)^2)/(3*2))*$F$50</f>
        <v>4.1503018899566327E-2</v>
      </c>
      <c r="F18" s="14">
        <f xml:space="preserve"> SQRT(((F14-F17)^2 + (F15-F17)^2 + (F16-F17)^2)/(3*2))*$F$50</f>
        <v>9.2471536221212888E-2</v>
      </c>
      <c r="G18" s="14">
        <f xml:space="preserve"> SQRT(((G14-G17)^2 + (G15-G17)^2 + (G16-G17)^2)/(3*2))*$F$50</f>
        <v>0.13585051834031908</v>
      </c>
      <c r="H18" s="41">
        <f xml:space="preserve"> SQRT(((H14-H17)^2 + (H15-H17)^2 + (H16-H17)^2)/(3*2))*$F$50</f>
        <v>5.1432176158942321E-2</v>
      </c>
      <c r="I18" s="77"/>
      <c r="M18"/>
      <c r="N18"/>
      <c r="O18"/>
      <c r="P18"/>
      <c r="Q18"/>
    </row>
    <row r="19" spans="1:17" x14ac:dyDescent="0.35">
      <c r="A19" s="26"/>
      <c r="B19" s="29" t="s">
        <v>29</v>
      </c>
      <c r="C19" s="30">
        <f>2*$F$51/C17^2</f>
        <v>0.11830719307733911</v>
      </c>
      <c r="D19" s="30">
        <f>2*$F$51/D17^2</f>
        <v>8.7939146110891264E-2</v>
      </c>
      <c r="E19" s="30">
        <f>2*$F$51/E17^2</f>
        <v>6.1188068326676323E-2</v>
      </c>
      <c r="F19" s="30">
        <f>2*$F$51/F17^2</f>
        <v>4.5670028246550011E-2</v>
      </c>
      <c r="G19" s="30">
        <f>2*$F$51/G17^2</f>
        <v>3.5161655712136551E-2</v>
      </c>
      <c r="H19" s="31">
        <f>2*$F$51/H17^2</f>
        <v>2.7410754065493422E-2</v>
      </c>
      <c r="I19" s="77"/>
    </row>
    <row r="20" spans="1:17" x14ac:dyDescent="0.35">
      <c r="A20" s="26"/>
      <c r="B20" s="29" t="s">
        <v>27</v>
      </c>
      <c r="C20" s="78">
        <f>2*C19*($G$51/$F$51+C18/C17)</f>
        <v>6.6206059001618972E-3</v>
      </c>
      <c r="D20" s="78">
        <f>2*D19*($G$51/$F$51+D18/D17)</f>
        <v>5.2748012202388185E-3</v>
      </c>
      <c r="E20" s="78">
        <f>2*E19*($G$51/$F$51+E18/E17)</f>
        <v>1.5862766370258684E-3</v>
      </c>
      <c r="F20" s="78">
        <f>2*F19*($G$51/$F$51+F18/F17)</f>
        <v>1.916988151216545E-3</v>
      </c>
      <c r="G20" s="78">
        <f>2*G19*($G$51/$F$51+G18/G17)</f>
        <v>1.8154043697392163E-3</v>
      </c>
      <c r="H20" s="79">
        <f>2*H19*($G$51/$F$51+H18/H17)</f>
        <v>6.2948142832608357E-4</v>
      </c>
      <c r="I20" s="77"/>
      <c r="K20" t="s">
        <v>72</v>
      </c>
      <c r="L20">
        <v>2.678987172754276</v>
      </c>
      <c r="M20" s="46">
        <v>2.0049197867395474</v>
      </c>
      <c r="N20" s="46">
        <v>1.478363533699502</v>
      </c>
      <c r="O20" s="46">
        <v>1.0612704087353266</v>
      </c>
      <c r="P20" s="46">
        <v>0.79321695254205637</v>
      </c>
      <c r="Q20" s="46">
        <v>0.61154620493426837</v>
      </c>
    </row>
    <row r="21" spans="1:17" x14ac:dyDescent="0.35">
      <c r="A21" s="26"/>
      <c r="B21" s="20" t="s">
        <v>31</v>
      </c>
      <c r="C21" s="21">
        <f>2*C19/$F$57</f>
        <v>5.14379100336257</v>
      </c>
      <c r="D21" s="21">
        <f>2*D19/$F$57</f>
        <v>3.8234411352561422</v>
      </c>
      <c r="E21" s="21">
        <f>2*E19/$F$57</f>
        <v>2.6603507968120139</v>
      </c>
      <c r="F21" s="21">
        <f>2*F19/$F$57</f>
        <v>1.9856534020239136</v>
      </c>
      <c r="G21" s="21">
        <f>2*G19/$F$57</f>
        <v>1.5287676396581109</v>
      </c>
      <c r="H21" s="21">
        <f>2*H19/$F$57</f>
        <v>1.1917719158910183</v>
      </c>
      <c r="I21" s="21">
        <f t="shared" si="5"/>
        <v>2.7222959821672954</v>
      </c>
      <c r="K21" t="s">
        <v>73</v>
      </c>
      <c r="L21">
        <v>5.9923161314758673E-2</v>
      </c>
      <c r="M21" s="46">
        <v>6.0018368614561557E-2</v>
      </c>
      <c r="N21" s="46">
        <v>6.0092740999409686E-2</v>
      </c>
      <c r="O21" s="46">
        <v>6.0151652483659002E-2</v>
      </c>
      <c r="P21" s="46">
        <v>6.0189513157972101E-2</v>
      </c>
      <c r="Q21" s="46">
        <v>6.0215172879376472E-2</v>
      </c>
    </row>
    <row r="22" spans="1:17" x14ac:dyDescent="0.35">
      <c r="A22" s="26"/>
      <c r="B22" s="20" t="s">
        <v>27</v>
      </c>
      <c r="C22" s="21">
        <f>C21*(2*(C20/C19) + ($G$57/$F$57))</f>
        <v>1.1348125786404444</v>
      </c>
      <c r="D22" s="21">
        <f>D21*(2*(D20/D19) + ($G$57/$F$57))</f>
        <v>0.87426979472252153</v>
      </c>
      <c r="E22" s="21">
        <f>E21*(2*(E20/E19) + ($G$57/$F$57))</f>
        <v>0.42710566374268577</v>
      </c>
      <c r="F22" s="21">
        <f>F21*(2*(F20/F19) + ($G$57/$F$57))</f>
        <v>0.38252651336925542</v>
      </c>
      <c r="G22" s="21">
        <f>G21*(2*(G20/G19) + ($G$57/$F$57))</f>
        <v>0.32403164515755262</v>
      </c>
      <c r="H22" s="21">
        <f>H21*(2*(H20/H19) + ($G$57/$F$57))</f>
        <v>0.18427794114694407</v>
      </c>
      <c r="I22" s="21">
        <f t="shared" si="5"/>
        <v>0.5545040227965673</v>
      </c>
      <c r="K22" t="s">
        <v>72</v>
      </c>
      <c r="L22">
        <v>5.14379100336257</v>
      </c>
      <c r="M22" s="46">
        <v>3.8234411352561422</v>
      </c>
      <c r="N22" s="46">
        <v>2.6603507968120139</v>
      </c>
      <c r="O22" s="46">
        <v>1.9856534020239136</v>
      </c>
      <c r="P22" s="46">
        <v>1.5287676396581109</v>
      </c>
      <c r="Q22" s="46">
        <v>1.1917719158910183</v>
      </c>
    </row>
    <row r="23" spans="1:17" x14ac:dyDescent="0.35">
      <c r="A23" s="26"/>
      <c r="B23" s="33" t="s">
        <v>41</v>
      </c>
      <c r="C23" s="34">
        <f>$A$14*$F$57*($F$49-C19)/2</f>
        <v>0.10866306063034072</v>
      </c>
      <c r="D23" s="34">
        <f>$A$14*$F$57*($F$49-D19)/2</f>
        <v>0.1090032131244119</v>
      </c>
      <c r="E23" s="34">
        <f>$A$14*$F$57*($F$49-E19)/2</f>
        <v>0.1093028519466729</v>
      </c>
      <c r="F23" s="34">
        <f>$A$14*$F$57*($F$49-F19)/2</f>
        <v>0.10947666951361039</v>
      </c>
      <c r="G23" s="34">
        <f>$A$14*$F$57*($F$49-G19)/2</f>
        <v>0.10959437379436836</v>
      </c>
      <c r="H23" s="34">
        <f>$A$14*$F$57*($F$49-H19)/2</f>
        <v>0.10968119164371239</v>
      </c>
      <c r="I23" s="34">
        <f t="shared" si="5"/>
        <v>0.1092868934421861</v>
      </c>
      <c r="K23" t="s">
        <v>73</v>
      </c>
      <c r="L23">
        <v>0.10866306063034099</v>
      </c>
      <c r="M23" s="46">
        <v>0.1090032131244119</v>
      </c>
      <c r="N23" s="46">
        <v>0.1093028519466729</v>
      </c>
      <c r="O23" s="46">
        <v>0.10947666951361039</v>
      </c>
      <c r="P23" s="46">
        <v>0.10959437379436836</v>
      </c>
      <c r="Q23" s="46">
        <v>0.10968119164371239</v>
      </c>
    </row>
    <row r="24" spans="1:17" x14ac:dyDescent="0.35">
      <c r="A24" s="44"/>
      <c r="B24" s="33" t="s">
        <v>27</v>
      </c>
      <c r="C24" s="39">
        <f>1/2*C23*(C20/C19+$G$57/$F$57+(($G$52+2*$G$53)/$A$14))</f>
        <v>1.0619511486869118E-2</v>
      </c>
      <c r="D24" s="39">
        <f t="shared" ref="D24:H24" si="13">1/2*D23*(D20/D19+$G$57/$F$57+(($G$52+2*$G$53)/$A$14))</f>
        <v>1.0871919195700106E-2</v>
      </c>
      <c r="E24" s="39">
        <f t="shared" si="13"/>
        <v>9.0404979481931783E-3</v>
      </c>
      <c r="F24" s="39">
        <f t="shared" si="13"/>
        <v>9.9334327417637605E-3</v>
      </c>
      <c r="G24" s="39">
        <f t="shared" si="13"/>
        <v>1.0473205691432043E-2</v>
      </c>
      <c r="H24" s="39">
        <f t="shared" si="13"/>
        <v>8.9094709243059782E-3</v>
      </c>
      <c r="I24" s="34">
        <f t="shared" si="5"/>
        <v>9.9746729980440315E-3</v>
      </c>
      <c r="K24" t="s">
        <v>72</v>
      </c>
      <c r="L24">
        <v>7.4416310354285446</v>
      </c>
      <c r="M24" s="46">
        <v>5.423886408321791</v>
      </c>
      <c r="N24" s="46">
        <v>4.0363689657685473</v>
      </c>
      <c r="O24" s="46">
        <v>3.0059044551798171</v>
      </c>
      <c r="P24" s="46">
        <v>2.3371808957423843</v>
      </c>
      <c r="Q24" s="46">
        <v>1.8867029488628033</v>
      </c>
    </row>
    <row r="25" spans="1:17" x14ac:dyDescent="0.35">
      <c r="A25" s="25">
        <v>0.70699999999999996</v>
      </c>
      <c r="B25" s="15">
        <v>1</v>
      </c>
      <c r="C25" s="12">
        <v>2.94</v>
      </c>
      <c r="D25" s="12">
        <v>3.28</v>
      </c>
      <c r="E25" s="12">
        <v>3.81</v>
      </c>
      <c r="F25" s="12">
        <v>4.47</v>
      </c>
      <c r="G25" s="12">
        <v>5.19</v>
      </c>
      <c r="H25" s="24">
        <v>5.71</v>
      </c>
      <c r="I25" s="77"/>
      <c r="K25" t="s">
        <v>73</v>
      </c>
      <c r="L25">
        <v>0.156891697167857</v>
      </c>
      <c r="M25" s="46">
        <v>0.15764633971162839</v>
      </c>
      <c r="N25" s="46">
        <v>0.15816527539769562</v>
      </c>
      <c r="O25" s="46">
        <v>0.15855067221604935</v>
      </c>
      <c r="P25" s="46">
        <v>0.15880077683344965</v>
      </c>
      <c r="Q25" s="46">
        <v>0.15896925693701644</v>
      </c>
    </row>
    <row r="26" spans="1:17" x14ac:dyDescent="0.35">
      <c r="A26" s="26"/>
      <c r="B26" s="9">
        <v>2</v>
      </c>
      <c r="C26" s="7">
        <v>2.84</v>
      </c>
      <c r="D26" s="7">
        <v>3.37</v>
      </c>
      <c r="E26" s="7">
        <v>4</v>
      </c>
      <c r="F26" s="7">
        <v>4.47</v>
      </c>
      <c r="G26" s="7">
        <v>5</v>
      </c>
      <c r="H26" s="10">
        <v>5.68</v>
      </c>
      <c r="I26" s="77"/>
      <c r="K26" t="s">
        <v>72</v>
      </c>
      <c r="L26">
        <v>9.5346399523207452</v>
      </c>
      <c r="M26" s="46">
        <v>7.3556510402087305</v>
      </c>
      <c r="N26" s="46">
        <v>5.2862433655548049</v>
      </c>
      <c r="O26" s="46">
        <v>3.9410786225479799</v>
      </c>
      <c r="P26" s="46">
        <v>3.1063226189198914</v>
      </c>
      <c r="Q26" s="46">
        <v>2.5282911769540566</v>
      </c>
    </row>
    <row r="27" spans="1:17" x14ac:dyDescent="0.35">
      <c r="A27" s="26"/>
      <c r="B27" s="15">
        <v>3</v>
      </c>
      <c r="C27" s="12">
        <v>2.8</v>
      </c>
      <c r="D27" s="12">
        <v>3.4</v>
      </c>
      <c r="E27" s="12">
        <v>3.84</v>
      </c>
      <c r="F27" s="12">
        <v>4.5599999999999996</v>
      </c>
      <c r="G27" s="12">
        <v>5.12</v>
      </c>
      <c r="H27" s="24">
        <v>5.65</v>
      </c>
      <c r="I27" s="77"/>
      <c r="K27" t="s">
        <v>73</v>
      </c>
      <c r="L27">
        <v>0.20468593415626107</v>
      </c>
      <c r="M27" s="46">
        <v>0.20575447327594934</v>
      </c>
      <c r="N27" s="46">
        <v>0.20676927561966915</v>
      </c>
      <c r="O27" s="46">
        <v>0.20742892154183903</v>
      </c>
      <c r="P27" s="46">
        <v>0.20783827169516619</v>
      </c>
      <c r="Q27" s="46">
        <v>0.20812172848777175</v>
      </c>
    </row>
    <row r="28" spans="1:17" x14ac:dyDescent="0.35">
      <c r="A28" s="26"/>
      <c r="B28" s="13" t="s">
        <v>0</v>
      </c>
      <c r="C28" s="14">
        <f>AVERAGE(C25:C27)</f>
        <v>2.8599999999999994</v>
      </c>
      <c r="D28" s="14">
        <f t="shared" ref="D28:H28" si="14">AVERAGE(D25:D27)</f>
        <v>3.35</v>
      </c>
      <c r="E28" s="14">
        <f t="shared" si="14"/>
        <v>3.8833333333333333</v>
      </c>
      <c r="F28" s="14">
        <f t="shared" si="14"/>
        <v>4.5</v>
      </c>
      <c r="G28" s="14">
        <f t="shared" si="14"/>
        <v>5.1033333333333344</v>
      </c>
      <c r="H28" s="41">
        <f t="shared" si="14"/>
        <v>5.68</v>
      </c>
      <c r="I28" s="77"/>
    </row>
    <row r="29" spans="1:17" x14ac:dyDescent="0.35">
      <c r="A29" s="26"/>
      <c r="B29" s="13" t="s">
        <v>27</v>
      </c>
      <c r="C29" s="14">
        <f xml:space="preserve"> SQRT(((C25-C28)^2 + (C26-C28)^2 + (C27-C28)^2)/(3*2))*$F$50</f>
        <v>9.7963201934876315E-2</v>
      </c>
      <c r="D29" s="14">
        <f xml:space="preserve"> SQRT(((D25-D28)^2 + (D26-D28)^2 + (D27-D28)^2)/(3*2))*$F$50</f>
        <v>8.4838621511667794E-2</v>
      </c>
      <c r="E29" s="14">
        <f xml:space="preserve"> SQRT(((E25-E28)^2 + (E26-E28)^2 + (E27-E28)^2)/(3*2))*$F$50</f>
        <v>0.13876273182827026</v>
      </c>
      <c r="F29" s="14">
        <f xml:space="preserve"> SQRT(((F25-F28)^2 + (F26-F28)^2 + (F27-F28)^2)/(3*2))*$F$50</f>
        <v>7.0589999999999903E-2</v>
      </c>
      <c r="G29" s="14">
        <f xml:space="preserve"> SQRT(((G25-G28)^2 + (G26-G28)^2 + (G27-G28)^2)/(3*2))*$F$50</f>
        <v>0.13053908282366822</v>
      </c>
      <c r="H29" s="41">
        <f xml:space="preserve"> SQRT(((H25-H28)^2 + (H26-H28)^2 + (H27-H28)^2)/(3*2))*$F$50</f>
        <v>4.0755155502095415E-2</v>
      </c>
      <c r="I29" s="77"/>
    </row>
    <row r="30" spans="1:17" x14ac:dyDescent="0.35">
      <c r="A30" s="26"/>
      <c r="B30" s="29" t="s">
        <v>29</v>
      </c>
      <c r="C30" s="30">
        <f>2*$F$51/C28^2</f>
        <v>0.17115751381485653</v>
      </c>
      <c r="D30" s="30">
        <f>2*$F$51/D28^2</f>
        <v>0.12474938739140119</v>
      </c>
      <c r="E30" s="30">
        <f>2*$F$51/E28^2</f>
        <v>9.2836486212676594E-2</v>
      </c>
      <c r="F30" s="30">
        <f>2*$F$51/F28^2</f>
        <v>6.9135802469135796E-2</v>
      </c>
      <c r="G30" s="30">
        <f>2*$F$51/G28^2</f>
        <v>5.3755160602074838E-2</v>
      </c>
      <c r="H30" s="31">
        <f>2*$F$51/H28^2</f>
        <v>4.3394167823844476E-2</v>
      </c>
      <c r="I30" s="77"/>
      <c r="K30" t="s">
        <v>74</v>
      </c>
    </row>
    <row r="31" spans="1:17" x14ac:dyDescent="0.35">
      <c r="A31" s="26"/>
      <c r="B31" s="29" t="s">
        <v>27</v>
      </c>
      <c r="C31" s="78">
        <f>2*C30*($G$51/$F$51+C29/C28)</f>
        <v>1.3192335794698095E-2</v>
      </c>
      <c r="D31" s="78">
        <f>2*D30*($G$51/$F$51+D29/D28)</f>
        <v>7.3878273652721854E-3</v>
      </c>
      <c r="E31" s="78">
        <f>2*E30*($G$51/$F$51+E29/E28)</f>
        <v>7.4303736401155141E-3</v>
      </c>
      <c r="F31" s="78">
        <f>2*F30*($G$51/$F$51+F29/F28)</f>
        <v>2.7616131687242763E-3</v>
      </c>
      <c r="G31" s="78">
        <f>2*G30*($G$51/$F$51+G29/G28)</f>
        <v>3.2107843961415219E-3</v>
      </c>
      <c r="H31" s="79">
        <f>2*H30*($G$51/$F$51+H29/H28)</f>
        <v>9.9467397384289473E-4</v>
      </c>
      <c r="I31" s="77"/>
    </row>
    <row r="32" spans="1:17" x14ac:dyDescent="0.35">
      <c r="A32" s="26"/>
      <c r="B32" s="20" t="s">
        <v>31</v>
      </c>
      <c r="C32" s="21">
        <f>2*C30/$F$57</f>
        <v>7.4416310354285446</v>
      </c>
      <c r="D32" s="21">
        <f>2*D30/$F$57</f>
        <v>5.423886408321791</v>
      </c>
      <c r="E32" s="21">
        <f>2*E30/$F$57</f>
        <v>4.0363689657685473</v>
      </c>
      <c r="F32" s="21">
        <f>2*F30/$F$57</f>
        <v>3.0059044551798171</v>
      </c>
      <c r="G32" s="21">
        <f>2*G30/$F$57</f>
        <v>2.3371808957423843</v>
      </c>
      <c r="H32" s="21">
        <f>2*H30/$F$57</f>
        <v>1.8867029488628033</v>
      </c>
      <c r="I32" s="21">
        <f t="shared" si="5"/>
        <v>4.0219457848839815</v>
      </c>
    </row>
    <row r="33" spans="1:22" x14ac:dyDescent="0.35">
      <c r="A33" s="26"/>
      <c r="B33" s="20" t="s">
        <v>27</v>
      </c>
      <c r="C33" s="21">
        <f>C32*(2*(C31/C30) + ($G$57/$F$57))</f>
        <v>1.9560325729551109</v>
      </c>
      <c r="D33" s="21">
        <f t="shared" ref="D33:H33" si="15">D32*(2*(D31/D30) + ($G$57/$F$57))</f>
        <v>1.2319726413629934</v>
      </c>
      <c r="E33" s="21">
        <f t="shared" si="15"/>
        <v>1.0848552041153217</v>
      </c>
      <c r="F33" s="21">
        <f t="shared" si="15"/>
        <v>0.56686902066948242</v>
      </c>
      <c r="G33" s="21">
        <f t="shared" si="15"/>
        <v>0.53324004485386978</v>
      </c>
      <c r="H33" s="21">
        <f t="shared" si="15"/>
        <v>0.29156979651490428</v>
      </c>
      <c r="I33" s="21">
        <f t="shared" si="5"/>
        <v>0.94408988007861394</v>
      </c>
    </row>
    <row r="34" spans="1:22" x14ac:dyDescent="0.35">
      <c r="A34" s="26"/>
      <c r="B34" s="33" t="s">
        <v>41</v>
      </c>
      <c r="C34" s="34">
        <f>$A$25*$F$57*($F$49-C30)/2</f>
        <v>0.15689169716785659</v>
      </c>
      <c r="D34" s="34">
        <f>$A$25*$F$57*($F$49-D30)/2</f>
        <v>0.15764633971162839</v>
      </c>
      <c r="E34" s="34">
        <f>$A$25*$F$57*($F$49-E30)/2</f>
        <v>0.15816527539769562</v>
      </c>
      <c r="F34" s="34">
        <f>$A$25*$F$57*($F$49-F30)/2</f>
        <v>0.15855067221604935</v>
      </c>
      <c r="G34" s="34">
        <f>$A$25*$F$57*($F$49-G30)/2</f>
        <v>0.15880077683344965</v>
      </c>
      <c r="H34" s="34">
        <f>$A$25*$F$57*($F$49-H30)/2</f>
        <v>0.15896925693701644</v>
      </c>
      <c r="I34" s="34">
        <f t="shared" si="5"/>
        <v>0.15817066971061602</v>
      </c>
    </row>
    <row r="35" spans="1:22" x14ac:dyDescent="0.35">
      <c r="A35" s="44"/>
      <c r="B35" s="33" t="s">
        <v>27</v>
      </c>
      <c r="C35" s="39">
        <f>1/2*C34*(C31/C30+$G$57/$F$57+(($G$52+3*$G$53)/$A$25))</f>
        <v>1.6792224995333536E-2</v>
      </c>
      <c r="D35" s="39">
        <f t="shared" ref="D35:H35" si="16">1/2*D34*(D31/D30+$G$57/$F$57+(($G$52+3*$G$53)/$A$25))</f>
        <v>1.5465543171700338E-2</v>
      </c>
      <c r="E35" s="39">
        <f t="shared" si="16"/>
        <v>1.7162625422719114E-2</v>
      </c>
      <c r="F35" s="39">
        <f t="shared" si="16"/>
        <v>1.4026102550755015E-2</v>
      </c>
      <c r="G35" s="39">
        <f t="shared" si="16"/>
        <v>1.561916675520433E-2</v>
      </c>
      <c r="H35" s="39">
        <f t="shared" si="16"/>
        <v>1.2710071444220806E-2</v>
      </c>
      <c r="I35" s="34">
        <f t="shared" si="5"/>
        <v>1.5295955723322189E-2</v>
      </c>
    </row>
    <row r="36" spans="1:22" x14ac:dyDescent="0.35">
      <c r="A36" s="5">
        <v>0.92700000000000005</v>
      </c>
      <c r="B36" s="15">
        <v>1</v>
      </c>
      <c r="C36" s="12">
        <v>2.56</v>
      </c>
      <c r="D36" s="12">
        <v>2.94</v>
      </c>
      <c r="E36" s="12">
        <v>3.44</v>
      </c>
      <c r="F36" s="12">
        <v>3.91</v>
      </c>
      <c r="G36" s="12">
        <v>4.5</v>
      </c>
      <c r="H36" s="80">
        <v>4.88</v>
      </c>
      <c r="I36" s="77"/>
    </row>
    <row r="37" spans="1:22" x14ac:dyDescent="0.35">
      <c r="A37" s="5"/>
      <c r="B37" s="9">
        <v>2</v>
      </c>
      <c r="C37" s="7">
        <v>2.58</v>
      </c>
      <c r="D37" s="7">
        <v>2.88</v>
      </c>
      <c r="E37" s="7">
        <v>3.46</v>
      </c>
      <c r="F37" s="7">
        <v>3.97</v>
      </c>
      <c r="G37" s="7">
        <v>4.43</v>
      </c>
      <c r="H37" s="10">
        <v>4.91</v>
      </c>
      <c r="I37" s="77"/>
    </row>
    <row r="38" spans="1:22" x14ac:dyDescent="0.35">
      <c r="A38" s="5"/>
      <c r="B38" s="15">
        <v>3</v>
      </c>
      <c r="C38" s="12">
        <v>2.44</v>
      </c>
      <c r="D38" s="12">
        <v>2.81</v>
      </c>
      <c r="E38" s="12">
        <v>3.28</v>
      </c>
      <c r="F38" s="12">
        <v>3.91</v>
      </c>
      <c r="G38" s="12">
        <v>4.3499999999999996</v>
      </c>
      <c r="H38" s="24">
        <v>4.93</v>
      </c>
      <c r="I38" s="77"/>
    </row>
    <row r="39" spans="1:22" x14ac:dyDescent="0.35">
      <c r="A39" s="5"/>
      <c r="B39" s="13" t="s">
        <v>0</v>
      </c>
      <c r="C39" s="14">
        <f>AVERAGE(C36:C38)</f>
        <v>2.5266666666666668</v>
      </c>
      <c r="D39" s="14">
        <f t="shared" ref="D39:H39" si="17">AVERAGE(D36:D38)</f>
        <v>2.8766666666666669</v>
      </c>
      <c r="E39" s="14">
        <f t="shared" si="17"/>
        <v>3.3933333333333331</v>
      </c>
      <c r="F39" s="14">
        <f t="shared" si="17"/>
        <v>3.93</v>
      </c>
      <c r="G39" s="14">
        <f t="shared" si="17"/>
        <v>4.4266666666666667</v>
      </c>
      <c r="H39" s="41">
        <f t="shared" si="17"/>
        <v>4.9066666666666663</v>
      </c>
      <c r="I39" s="77"/>
    </row>
    <row r="40" spans="1:22" x14ac:dyDescent="0.35">
      <c r="A40" s="5"/>
      <c r="B40" s="13" t="s">
        <v>27</v>
      </c>
      <c r="C40" s="14">
        <f xml:space="preserve"> SQRT(((C36-C39)^2 + (C37-C39)^2 + (C38-C39)^2)/(3*2))*$F$50</f>
        <v>0.10286435231788416</v>
      </c>
      <c r="D40" s="14">
        <f t="shared" ref="D40:H40" si="18" xml:space="preserve"> SQRT(((D36-D39)^2 + (D37-D39)^2 + (D38-D39)^2)/(3*2))*$F$50</f>
        <v>8.8389877688442156E-2</v>
      </c>
      <c r="E40" s="14">
        <f t="shared" si="18"/>
        <v>0.13402693875154781</v>
      </c>
      <c r="F40" s="14">
        <f t="shared" si="18"/>
        <v>4.7060000000000046E-2</v>
      </c>
      <c r="G40" s="14">
        <f t="shared" si="18"/>
        <v>0.10196333333333357</v>
      </c>
      <c r="H40" s="41">
        <f t="shared" si="18"/>
        <v>3.4188297380503933E-2</v>
      </c>
      <c r="I40" s="77"/>
    </row>
    <row r="41" spans="1:22" x14ac:dyDescent="0.35">
      <c r="A41" s="5"/>
      <c r="B41" s="29" t="s">
        <v>29</v>
      </c>
      <c r="C41" s="30">
        <f>2*$F$51/C39^2</f>
        <v>0.21929671890337712</v>
      </c>
      <c r="D41" s="30">
        <f t="shared" ref="D41:H41" si="19">2*$F$51/D39^2</f>
        <v>0.1691799739248008</v>
      </c>
      <c r="E41" s="30">
        <f t="shared" si="19"/>
        <v>0.12158359740776051</v>
      </c>
      <c r="F41" s="30">
        <f t="shared" si="19"/>
        <v>9.064480831860354E-2</v>
      </c>
      <c r="G41" s="30">
        <f t="shared" si="19"/>
        <v>7.14454202351575E-2</v>
      </c>
      <c r="H41" s="31">
        <f t="shared" si="19"/>
        <v>5.8150697069943295E-2</v>
      </c>
      <c r="I41" s="77"/>
    </row>
    <row r="42" spans="1:22" x14ac:dyDescent="0.35">
      <c r="A42" s="5"/>
      <c r="B42" s="29" t="s">
        <v>27</v>
      </c>
      <c r="C42" s="78">
        <f>2*C41*($G$51/$F$51+C40/C39)</f>
        <v>1.973547636421865E-2</v>
      </c>
      <c r="D42" s="78">
        <f t="shared" ref="D42:H42" si="20">2*D41*($G$51/$F$51+D40/D39)</f>
        <v>1.1846728571515227E-2</v>
      </c>
      <c r="E42" s="78">
        <f t="shared" si="20"/>
        <v>1.0646552210792819E-2</v>
      </c>
      <c r="F42" s="78">
        <f t="shared" si="20"/>
        <v>2.9478179321757733E-3</v>
      </c>
      <c r="G42" s="78">
        <f t="shared" si="20"/>
        <v>3.9037205807188765E-3</v>
      </c>
      <c r="H42" s="79">
        <f t="shared" si="20"/>
        <v>1.3087905208970145E-3</v>
      </c>
      <c r="I42" s="77"/>
    </row>
    <row r="43" spans="1:22" x14ac:dyDescent="0.35">
      <c r="A43" s="5"/>
      <c r="B43" s="20" t="s">
        <v>31</v>
      </c>
      <c r="C43" s="21">
        <f>2*C41/$F$57</f>
        <v>9.5346399523207452</v>
      </c>
      <c r="D43" s="21">
        <f>2*D41/$F$57</f>
        <v>7.3556510402087305</v>
      </c>
      <c r="E43" s="21">
        <f>2*E41/$F$57</f>
        <v>5.2862433655548049</v>
      </c>
      <c r="F43" s="21">
        <f>2*F41/$F$57</f>
        <v>3.9410786225479799</v>
      </c>
      <c r="G43" s="21">
        <f>2*G41/$F$57</f>
        <v>3.1063226189198914</v>
      </c>
      <c r="H43" s="21">
        <f>2*H41/$F$57</f>
        <v>2.5282911769540566</v>
      </c>
      <c r="I43" s="21">
        <f t="shared" si="5"/>
        <v>5.2920377960843679</v>
      </c>
    </row>
    <row r="44" spans="1:22" x14ac:dyDescent="0.35">
      <c r="A44" s="5"/>
      <c r="B44" s="20" t="s">
        <v>27</v>
      </c>
      <c r="C44" s="21">
        <f>C43*(2*(C42/C41) + ($G$57/$F$57))</f>
        <v>2.7525022873582246</v>
      </c>
      <c r="D44" s="21">
        <f t="shared" ref="D44:H44" si="21">D43*(2*(D42/D41) + ($G$57/$F$57))</f>
        <v>1.8296775975457513</v>
      </c>
      <c r="E44" s="21">
        <f t="shared" si="21"/>
        <v>1.5003788189335936</v>
      </c>
      <c r="F44" s="21">
        <f t="shared" si="21"/>
        <v>0.68471010524876075</v>
      </c>
      <c r="G44" s="21">
        <f t="shared" si="21"/>
        <v>0.67709772646684707</v>
      </c>
      <c r="H44" s="21">
        <f t="shared" si="21"/>
        <v>0.38862212974692051</v>
      </c>
      <c r="I44" s="21">
        <f t="shared" si="5"/>
        <v>1.3054981108833497</v>
      </c>
    </row>
    <row r="45" spans="1:22" x14ac:dyDescent="0.35">
      <c r="A45" s="5"/>
      <c r="B45" s="33" t="s">
        <v>41</v>
      </c>
      <c r="C45" s="34">
        <f>$A$36*$F$57*($F$49-C41)/2</f>
        <v>0.20468593415626107</v>
      </c>
      <c r="D45" s="34">
        <f>$A$36*$F$57*($F$49-D41)/2</f>
        <v>0.20575447327594934</v>
      </c>
      <c r="E45" s="34">
        <f>$A$36*$F$57*($F$49-E41)/2</f>
        <v>0.20676927561966915</v>
      </c>
      <c r="F45" s="34">
        <f>$A$36*$F$57*($F$49-F41)/2</f>
        <v>0.20742892154183903</v>
      </c>
      <c r="G45" s="34">
        <f>$A$36*$F$57*($F$49-G41)/2</f>
        <v>0.20783827169516619</v>
      </c>
      <c r="H45" s="34">
        <f>$A$36*$F$57*($F$49-H41)/2</f>
        <v>0.20812172848777175</v>
      </c>
      <c r="I45" s="34">
        <f t="shared" si="5"/>
        <v>0.20676643412944273</v>
      </c>
    </row>
    <row r="46" spans="1:22" x14ac:dyDescent="0.35">
      <c r="A46" s="5"/>
      <c r="B46" s="33" t="s">
        <v>27</v>
      </c>
      <c r="C46" s="39">
        <f>1/2*C45*(C42/C41+$G$57/$F$57+(($G$52+4*$G$53)/$A$36))</f>
        <v>2.3094587783148712E-2</v>
      </c>
      <c r="D46" s="39">
        <f t="shared" ref="D46:H46" si="22">1/2*D45*(D42/D41+$G$57/$F$57+(($G$52+4*$G$53)/$A$36))</f>
        <v>2.1160693569660841E-2</v>
      </c>
      <c r="E46" s="39">
        <f t="shared" si="22"/>
        <v>2.3078559262096239E-2</v>
      </c>
      <c r="F46" s="39">
        <f t="shared" si="22"/>
        <v>1.7443206882186795E-2</v>
      </c>
      <c r="G46" s="39">
        <f t="shared" si="22"/>
        <v>1.9776182347615669E-2</v>
      </c>
      <c r="H46" s="39">
        <f t="shared" si="22"/>
        <v>1.6459436384164354E-2</v>
      </c>
      <c r="I46" s="34">
        <f t="shared" si="5"/>
        <v>2.0168777704812107E-2</v>
      </c>
    </row>
    <row r="47" spans="1:22" s="19" customFormat="1" x14ac:dyDescent="0.35">
      <c r="A47" s="16"/>
      <c r="B47" s="17"/>
      <c r="C47" s="18"/>
      <c r="D47" s="18"/>
      <c r="E47" s="18"/>
      <c r="F47" s="18"/>
      <c r="G47" s="18"/>
      <c r="H47" s="18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s="19" customFormat="1" x14ac:dyDescent="0.35">
      <c r="A48" s="16"/>
      <c r="B48" s="17"/>
      <c r="C48" s="18"/>
      <c r="D48" s="18"/>
      <c r="E48" s="27" t="s">
        <v>32</v>
      </c>
      <c r="F48" s="27"/>
      <c r="G48" s="18" t="s">
        <v>71</v>
      </c>
      <c r="H48" s="18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s="19" customFormat="1" x14ac:dyDescent="0.35">
      <c r="A49" s="37" t="s">
        <v>42</v>
      </c>
      <c r="B49" s="37"/>
      <c r="C49" s="37"/>
      <c r="D49" s="37"/>
      <c r="E49" s="23"/>
      <c r="F49" s="36">
        <v>9.8194999999999997</v>
      </c>
      <c r="G49" s="18">
        <v>0</v>
      </c>
      <c r="H49" s="18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x14ac:dyDescent="0.35">
      <c r="A50" s="37" t="s">
        <v>26</v>
      </c>
      <c r="B50" s="37"/>
      <c r="C50" s="37"/>
      <c r="D50" s="37"/>
      <c r="E50" s="18"/>
      <c r="F50" s="18">
        <v>2.3530000000000002</v>
      </c>
      <c r="G50" s="18">
        <v>0</v>
      </c>
      <c r="H50" s="18"/>
    </row>
    <row r="51" spans="1:22" x14ac:dyDescent="0.35">
      <c r="A51" s="37" t="s">
        <v>28</v>
      </c>
      <c r="B51" s="37"/>
      <c r="C51" s="37"/>
      <c r="D51" s="37"/>
      <c r="E51" s="18"/>
      <c r="F51" s="18">
        <v>0.7</v>
      </c>
      <c r="G51" s="42">
        <v>3.0000000000000001E-3</v>
      </c>
      <c r="H51" s="18"/>
    </row>
    <row r="52" spans="1:22" x14ac:dyDescent="0.35">
      <c r="A52" s="38" t="s">
        <v>38</v>
      </c>
      <c r="B52" s="38"/>
      <c r="C52" s="38"/>
      <c r="D52" s="38"/>
      <c r="E52" s="1"/>
      <c r="F52" s="28">
        <v>4.7E-2</v>
      </c>
      <c r="G52" s="28">
        <v>5.0000000000000001E-3</v>
      </c>
    </row>
    <row r="53" spans="1:22" x14ac:dyDescent="0.35">
      <c r="A53" s="38" t="s">
        <v>39</v>
      </c>
      <c r="B53" s="38"/>
      <c r="C53" s="38"/>
      <c r="D53" s="38"/>
      <c r="E53" s="1"/>
      <c r="F53" s="28">
        <v>0.22</v>
      </c>
      <c r="G53" s="28">
        <v>5.0000000000000001E-3</v>
      </c>
    </row>
    <row r="54" spans="1:22" x14ac:dyDescent="0.35">
      <c r="A54" s="38" t="s">
        <v>40</v>
      </c>
      <c r="B54" s="38"/>
      <c r="C54" s="38"/>
      <c r="D54" s="38"/>
      <c r="E54" s="1"/>
      <c r="F54" s="28">
        <v>0.40799999999999997</v>
      </c>
      <c r="G54" s="28">
        <v>5.0000000000000001E-3</v>
      </c>
    </row>
    <row r="55" spans="1:22" x14ac:dyDescent="0.35">
      <c r="A55" s="38" t="s">
        <v>36</v>
      </c>
      <c r="B55" s="38"/>
      <c r="C55" s="38"/>
      <c r="D55" s="38"/>
      <c r="E55" s="1"/>
      <c r="F55" s="28">
        <v>5.7000000000000002E-2</v>
      </c>
      <c r="G55" s="28">
        <v>5.0000000000000001E-3</v>
      </c>
    </row>
    <row r="56" spans="1:22" x14ac:dyDescent="0.35">
      <c r="A56" s="38" t="s">
        <v>37</v>
      </c>
      <c r="B56" s="38"/>
      <c r="C56" s="38"/>
      <c r="D56" s="38"/>
      <c r="E56" s="1"/>
      <c r="F56" s="28">
        <v>2.5000000000000001E-2</v>
      </c>
      <c r="G56" s="28">
        <v>2E-3</v>
      </c>
    </row>
    <row r="57" spans="1:22" x14ac:dyDescent="0.35">
      <c r="A57" s="38" t="s">
        <v>33</v>
      </c>
      <c r="B57" s="38"/>
      <c r="C57" s="38"/>
      <c r="D57" s="38"/>
      <c r="E57" s="1"/>
      <c r="F57" s="28">
        <v>4.5999999999999999E-2</v>
      </c>
      <c r="G57" s="28">
        <v>5.0000000000000001E-3</v>
      </c>
    </row>
    <row r="58" spans="1:22" x14ac:dyDescent="0.35">
      <c r="A58" s="38" t="s">
        <v>34</v>
      </c>
      <c r="B58" s="38"/>
      <c r="C58" s="38"/>
      <c r="D58" s="38"/>
      <c r="E58" s="1"/>
      <c r="F58" s="28">
        <v>0.04</v>
      </c>
      <c r="G58" s="28">
        <v>5.0000000000000001E-3</v>
      </c>
    </row>
    <row r="59" spans="1:22" x14ac:dyDescent="0.35">
      <c r="A59" s="38" t="s">
        <v>35</v>
      </c>
      <c r="B59" s="38"/>
      <c r="C59" s="38"/>
      <c r="D59" s="38"/>
      <c r="E59" s="1"/>
      <c r="F59" s="28">
        <v>0.04</v>
      </c>
      <c r="G59" s="28">
        <v>5.0000000000000001E-3</v>
      </c>
    </row>
  </sheetData>
  <mergeCells count="26">
    <mergeCell ref="A58:D58"/>
    <mergeCell ref="A59:D59"/>
    <mergeCell ref="A52:D52"/>
    <mergeCell ref="A53:D53"/>
    <mergeCell ref="A54:D54"/>
    <mergeCell ref="A55:D55"/>
    <mergeCell ref="A56:D56"/>
    <mergeCell ref="A57:D57"/>
    <mergeCell ref="A25:A35"/>
    <mergeCell ref="A36:A46"/>
    <mergeCell ref="E48:F48"/>
    <mergeCell ref="A49:D49"/>
    <mergeCell ref="A50:D50"/>
    <mergeCell ref="A51:D51"/>
    <mergeCell ref="R1:R2"/>
    <mergeCell ref="S1:S2"/>
    <mergeCell ref="A3:A13"/>
    <mergeCell ref="A14:A24"/>
    <mergeCell ref="K14:K15"/>
    <mergeCell ref="L14:Q14"/>
    <mergeCell ref="A1:A2"/>
    <mergeCell ref="B1:B2"/>
    <mergeCell ref="C1:H1"/>
    <mergeCell ref="L1:L2"/>
    <mergeCell ref="M1:P1"/>
    <mergeCell ref="Q1:Q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Исходные данные</vt:lpstr>
      <vt:lpstr>Погрешности</vt:lpstr>
      <vt:lpstr>Расчёты</vt:lpstr>
      <vt:lpstr>График I(R^2) </vt:lpstr>
      <vt:lpstr>График погрешностей</vt:lpstr>
      <vt:lpstr>Черновик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Сенина</dc:creator>
  <cp:lastModifiedBy>Мария Сенина</cp:lastModifiedBy>
  <cp:lastPrinted>2020-11-02T23:23:32Z</cp:lastPrinted>
  <dcterms:created xsi:type="dcterms:W3CDTF">2020-11-02T11:17:04Z</dcterms:created>
  <dcterms:modified xsi:type="dcterms:W3CDTF">2020-11-04T11:38:26Z</dcterms:modified>
</cp:coreProperties>
</file>