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nin\Desktop\ITMO\Physics\3-10\"/>
    </mc:Choice>
  </mc:AlternateContent>
  <xr:revisionPtr revIDLastSave="0" documentId="13_ncr:1_{980FF4B4-8852-46F1-8FBA-E6118591B4B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I4" i="1"/>
  <c r="R23" i="1"/>
  <c r="R21" i="1"/>
  <c r="R10" i="1"/>
  <c r="I7" i="1"/>
  <c r="I5" i="1"/>
  <c r="I6" i="1"/>
  <c r="F5" i="1"/>
  <c r="F6" i="1"/>
  <c r="F7" i="1"/>
  <c r="F4" i="1"/>
  <c r="H5" i="1"/>
  <c r="H6" i="1"/>
  <c r="H7" i="1"/>
  <c r="H4" i="1"/>
  <c r="E10" i="1"/>
  <c r="C25" i="1"/>
  <c r="O14" i="1"/>
  <c r="O17" i="1"/>
  <c r="O18" i="1"/>
  <c r="O19" i="1"/>
  <c r="I11" i="1"/>
  <c r="J11" i="1" s="1"/>
  <c r="E20" i="1"/>
  <c r="I10" i="1"/>
  <c r="T10" i="1" s="1"/>
  <c r="I21" i="1"/>
  <c r="T21" i="1" s="1"/>
  <c r="E21" i="1"/>
  <c r="T23" i="1"/>
  <c r="K11" i="1"/>
  <c r="K12" i="1"/>
  <c r="K13" i="1"/>
  <c r="K14" i="1"/>
  <c r="K15" i="1"/>
  <c r="K16" i="1"/>
  <c r="K17" i="1"/>
  <c r="K18" i="1"/>
  <c r="K19" i="1"/>
  <c r="K20" i="1"/>
  <c r="K10" i="1"/>
  <c r="C24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T22" i="1" s="1"/>
  <c r="I23" i="1"/>
  <c r="E11" i="1"/>
  <c r="E12" i="1"/>
  <c r="E13" i="1"/>
  <c r="E14" i="1"/>
  <c r="E15" i="1"/>
  <c r="E16" i="1"/>
  <c r="E17" i="1"/>
  <c r="E18" i="1"/>
  <c r="E19" i="1"/>
  <c r="E22" i="1"/>
  <c r="E23" i="1"/>
  <c r="D7" i="1"/>
  <c r="E7" i="1" s="1"/>
  <c r="D6" i="1"/>
  <c r="E6" i="1" s="1"/>
  <c r="D5" i="1"/>
  <c r="E5" i="1" s="1"/>
  <c r="D4" i="1"/>
  <c r="E4" i="1" s="1"/>
  <c r="D2" i="1"/>
  <c r="E2" i="1" s="1"/>
  <c r="O16" i="1" l="1"/>
  <c r="O15" i="1"/>
  <c r="O13" i="1"/>
  <c r="O11" i="1"/>
  <c r="S10" i="1"/>
  <c r="O12" i="1"/>
  <c r="O10" i="1"/>
  <c r="O20" i="1"/>
  <c r="T11" i="1"/>
  <c r="K24" i="1"/>
  <c r="T18" i="1"/>
  <c r="T12" i="1"/>
  <c r="T16" i="1"/>
  <c r="T15" i="1"/>
  <c r="T14" i="1"/>
  <c r="T13" i="1"/>
  <c r="T19" i="1"/>
  <c r="T17" i="1"/>
  <c r="T20" i="1"/>
  <c r="I24" i="1"/>
  <c r="J10" i="1"/>
  <c r="J24" i="1" s="1"/>
  <c r="O24" i="1" l="1"/>
  <c r="R5" i="1" s="1"/>
  <c r="R3" i="1"/>
  <c r="S3" i="1" l="1"/>
  <c r="N19" i="1" s="1"/>
  <c r="N10" i="1" l="1"/>
  <c r="N16" i="1"/>
  <c r="N13" i="1"/>
  <c r="N18" i="1"/>
  <c r="N14" i="1"/>
  <c r="N12" i="1"/>
  <c r="N11" i="1"/>
  <c r="N20" i="1"/>
  <c r="N17" i="1"/>
  <c r="N15" i="1"/>
  <c r="M7" i="1"/>
  <c r="L16" i="1" s="1"/>
  <c r="L14" i="1"/>
  <c r="L15" i="1"/>
  <c r="P14" i="1" l="1"/>
  <c r="S14" i="1" s="1"/>
  <c r="P15" i="1"/>
  <c r="S15" i="1" s="1"/>
  <c r="L11" i="1"/>
  <c r="N24" i="1"/>
  <c r="S5" i="1" s="1"/>
  <c r="T5" i="1"/>
  <c r="S7" i="1" s="1"/>
  <c r="R7" i="1"/>
  <c r="N7" i="1" s="1"/>
  <c r="N1" i="1" s="1"/>
  <c r="L18" i="1"/>
  <c r="P10" i="1"/>
  <c r="L12" i="1"/>
  <c r="M1" i="1"/>
  <c r="L22" i="1"/>
  <c r="L23" i="1"/>
  <c r="L20" i="1"/>
  <c r="L19" i="1"/>
  <c r="L13" i="1"/>
  <c r="L21" i="1"/>
  <c r="L10" i="1"/>
  <c r="L17" i="1"/>
  <c r="P16" i="1"/>
  <c r="P22" i="1" l="1"/>
  <c r="P18" i="1"/>
  <c r="S18" i="1" s="1"/>
  <c r="P17" i="1"/>
  <c r="S17" i="1" s="1"/>
  <c r="P21" i="1"/>
  <c r="P19" i="1"/>
  <c r="S19" i="1" s="1"/>
  <c r="P12" i="1"/>
  <c r="S12" i="1" s="1"/>
  <c r="M12" i="1"/>
  <c r="P13" i="1"/>
  <c r="S13" i="1" s="1"/>
  <c r="M13" i="1"/>
  <c r="P11" i="1"/>
  <c r="P20" i="1"/>
  <c r="P23" i="1"/>
  <c r="L25" i="1"/>
  <c r="M17" i="1" s="1"/>
  <c r="M4" i="1"/>
  <c r="S16" i="1"/>
  <c r="M5" i="1" l="1"/>
  <c r="M18" i="1"/>
  <c r="M22" i="1"/>
  <c r="Q20" i="1"/>
  <c r="S11" i="1"/>
  <c r="M19" i="1"/>
  <c r="M23" i="1"/>
  <c r="M21" i="1"/>
  <c r="M20" i="1"/>
  <c r="M16" i="1"/>
  <c r="M14" i="1"/>
  <c r="M15" i="1"/>
  <c r="M10" i="1"/>
  <c r="M11" i="1"/>
  <c r="Q14" i="1"/>
  <c r="Q15" i="1"/>
  <c r="Q22" i="1"/>
  <c r="Q12" i="1"/>
  <c r="Q19" i="1"/>
  <c r="Q10" i="1"/>
  <c r="Q23" i="1"/>
  <c r="Q13" i="1"/>
  <c r="Q21" i="1"/>
  <c r="Q11" i="1"/>
  <c r="M2" i="1"/>
  <c r="Q17" i="1"/>
  <c r="Q18" i="1"/>
  <c r="Q16" i="1"/>
  <c r="M24" i="1" l="1"/>
  <c r="M25" i="1" s="1"/>
  <c r="Q24" i="1"/>
  <c r="N5" i="1" s="1"/>
  <c r="N2" i="1" s="1"/>
</calcChain>
</file>

<file path=xl/sharedStrings.xml><?xml version="1.0" encoding="utf-8"?>
<sst xmlns="http://schemas.openxmlformats.org/spreadsheetml/2006/main" count="52" uniqueCount="47">
  <si>
    <t>L, Гн</t>
  </si>
  <si>
    <t>C1, Ф</t>
  </si>
  <si>
    <t>C2, Ф</t>
  </si>
  <si>
    <t>C3, Ф</t>
  </si>
  <si>
    <t>C4, Ф</t>
  </si>
  <si>
    <t>R_м, ом</t>
  </si>
  <si>
    <t xml:space="preserve">Т, с </t>
  </si>
  <si>
    <t xml:space="preserve">Т, мс </t>
  </si>
  <si>
    <t>2Ui, дел</t>
  </si>
  <si>
    <t>2Ui+n, дел</t>
  </si>
  <si>
    <t>k_t, мс</t>
  </si>
  <si>
    <t>k_x, В</t>
  </si>
  <si>
    <t>k_y, В</t>
  </si>
  <si>
    <t>n</t>
  </si>
  <si>
    <t>lambda</t>
  </si>
  <si>
    <t>R*lambda</t>
  </si>
  <si>
    <t>сумм</t>
  </si>
  <si>
    <t>R*R</t>
  </si>
  <si>
    <t>B</t>
  </si>
  <si>
    <t>R0,  ом= B/A</t>
  </si>
  <si>
    <t>A, ом^-1</t>
  </si>
  <si>
    <t>R, ом</t>
  </si>
  <si>
    <t>Rср, ом</t>
  </si>
  <si>
    <t>Lср, Гн</t>
  </si>
  <si>
    <t>T, c</t>
  </si>
  <si>
    <t>Rкритич</t>
  </si>
  <si>
    <t>Rк</t>
  </si>
  <si>
    <t>Rкритич теор</t>
  </si>
  <si>
    <t>Добротность Q через логарифмический декремент</t>
  </si>
  <si>
    <t>Добротность Q через параметры LC-контура</t>
  </si>
  <si>
    <t>di</t>
  </si>
  <si>
    <t>lambda^2</t>
  </si>
  <si>
    <t>D</t>
  </si>
  <si>
    <t>sigmA</t>
  </si>
  <si>
    <t>Aпогр</t>
  </si>
  <si>
    <t>sigmB</t>
  </si>
  <si>
    <t>срзнач</t>
  </si>
  <si>
    <t>Bпогр</t>
  </si>
  <si>
    <t>коэффициент стьюдента n=11</t>
  </si>
  <si>
    <t>(L-Lср)^2</t>
  </si>
  <si>
    <t>(R-Rср)^2</t>
  </si>
  <si>
    <t>Rпогр</t>
  </si>
  <si>
    <t>Tэксп</t>
  </si>
  <si>
    <t>Ф</t>
  </si>
  <si>
    <t>мкФ</t>
  </si>
  <si>
    <t>Период экспеприментальный</t>
  </si>
  <si>
    <t>Период теоретический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</si>
</sst>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4" borderId="0" xfId="0" applyNumberFormat="1" applyFill="1"/>
    <xf numFmtId="0" fontId="0" fillId="0" borderId="1" xfId="0" applyBorder="1" applyAlignment="1">
      <alignment horizontal="right"/>
    </xf>
    <xf numFmtId="0" fontId="0" fillId="0" borderId="2" xfId="0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логарифмического декимента от сопротивления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Sheet1!$I$10:$I$23</c:f>
              <c:numCache>
                <c:formatCode>0.0</c:formatCode>
                <c:ptCount val="14"/>
                <c:pt idx="0">
                  <c:v>0.30919065678723173</c:v>
                </c:pt>
                <c:pt idx="1">
                  <c:v>0.38234880119014097</c:v>
                </c:pt>
                <c:pt idx="2">
                  <c:v>0.41563693443701216</c:v>
                </c:pt>
                <c:pt idx="3">
                  <c:v>0.43069164943527588</c:v>
                </c:pt>
                <c:pt idx="4">
                  <c:v>0.47738562622110964</c:v>
                </c:pt>
                <c:pt idx="5">
                  <c:v>0.50609544112420213</c:v>
                </c:pt>
                <c:pt idx="6">
                  <c:v>0.57564627324851148</c:v>
                </c:pt>
                <c:pt idx="7">
                  <c:v>0.62122666244700009</c:v>
                </c:pt>
                <c:pt idx="8">
                  <c:v>0.69314718055994529</c:v>
                </c:pt>
                <c:pt idx="9">
                  <c:v>0.66564695675636321</c:v>
                </c:pt>
                <c:pt idx="10">
                  <c:v>0.65976433240381471</c:v>
                </c:pt>
                <c:pt idx="11">
                  <c:v>1.0074515102711323</c:v>
                </c:pt>
                <c:pt idx="12">
                  <c:v>1.6582280766035324</c:v>
                </c:pt>
                <c:pt idx="13">
                  <c:v>2.7080502011022101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7-420F-A207-C0C3A75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5320"/>
        <c:axId val="490714336"/>
      </c:scatterChart>
      <c:valAx>
        <c:axId val="4907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4336"/>
        <c:crosses val="autoZero"/>
        <c:crossBetween val="midCat"/>
      </c:valAx>
      <c:valAx>
        <c:axId val="4907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λ</a:t>
                </a:r>
                <a:r>
                  <a:rPr lang="ru-RU" sz="1200"/>
                  <a:t>(</a:t>
                </a:r>
                <a:r>
                  <a:rPr lang="en-US" sz="1200"/>
                  <a:t>R)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863725374232808E-2"/>
              <c:y val="0.468491202817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логарифмического декимента от сопротивления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20548360889824E-2"/>
          <c:y val="0.17761194889245882"/>
          <c:w val="0.89672000484546732"/>
          <c:h val="0.72475485538915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1"/>
            <c:trendlineLbl>
              <c:layout>
                <c:manualLayout>
                  <c:x val="-0.17988277155811089"/>
                  <c:y val="5.6951282006990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900" b="0" i="0" u="none" strike="noStrike" baseline="0">
                        <a:effectLst/>
                      </a:rPr>
                      <a:t>λ</a:t>
                    </a:r>
                    <a:r>
                      <a:rPr lang="en-US" baseline="0"/>
                      <a:t> = 0.0038R + 0.3312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Sheet1!$I$10:$I$20</c:f>
              <c:numCache>
                <c:formatCode>0.0</c:formatCode>
                <c:ptCount val="11"/>
                <c:pt idx="0">
                  <c:v>0.30919065678723173</c:v>
                </c:pt>
                <c:pt idx="1">
                  <c:v>0.38234880119014097</c:v>
                </c:pt>
                <c:pt idx="2">
                  <c:v>0.41563693443701216</c:v>
                </c:pt>
                <c:pt idx="3">
                  <c:v>0.43069164943527588</c:v>
                </c:pt>
                <c:pt idx="4">
                  <c:v>0.47738562622110964</c:v>
                </c:pt>
                <c:pt idx="5">
                  <c:v>0.50609544112420213</c:v>
                </c:pt>
                <c:pt idx="6">
                  <c:v>0.57564627324851148</c:v>
                </c:pt>
                <c:pt idx="7">
                  <c:v>0.62122666244700009</c:v>
                </c:pt>
                <c:pt idx="8">
                  <c:v>0.69314718055994529</c:v>
                </c:pt>
                <c:pt idx="9">
                  <c:v>0.66564695675636321</c:v>
                </c:pt>
                <c:pt idx="10">
                  <c:v>0.65976433240381471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D0E-A089-A635FDB7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2696"/>
        <c:axId val="328389320"/>
      </c:scatterChart>
      <c:valAx>
        <c:axId val="490712696"/>
        <c:scaling>
          <c:orientation val="minMax"/>
          <c:max val="11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R, </a:t>
                </a:r>
                <a:r>
                  <a:rPr lang="ru-RU" sz="1200" b="0" i="0" baseline="0">
                    <a:effectLst/>
                  </a:rPr>
                  <a:t>Ом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9320"/>
        <c:crosses val="autoZero"/>
        <c:crossBetween val="midCat"/>
        <c:majorUnit val="20"/>
      </c:valAx>
      <c:valAx>
        <c:axId val="3283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λ(</a:t>
                </a:r>
                <a:r>
                  <a:rPr lang="en-US" sz="1200"/>
                  <a:t>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Добротность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колебаний в зависимости от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34380441752769E-2"/>
          <c:y val="0.17171296296296298"/>
          <c:w val="0.86054341476890295"/>
          <c:h val="0.6617303440914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Sheet1!$T$9</c:f>
              <c:strCache>
                <c:ptCount val="1"/>
                <c:pt idx="0">
                  <c:v>Добротность Q через логарифмический декремент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Sheet1!$L$11:$L$23</c:f>
              <c:numCache>
                <c:formatCode>0</c:formatCode>
                <c:ptCount val="13"/>
                <c:pt idx="0">
                  <c:v>96.657611835070554</c:v>
                </c:pt>
                <c:pt idx="1">
                  <c:v>106.65761183507055</c:v>
                </c:pt>
                <c:pt idx="2">
                  <c:v>116.65761183507055</c:v>
                </c:pt>
                <c:pt idx="3">
                  <c:v>126.65761183507055</c:v>
                </c:pt>
                <c:pt idx="4">
                  <c:v>136.65761183507055</c:v>
                </c:pt>
                <c:pt idx="5">
                  <c:v>146.65761183507055</c:v>
                </c:pt>
                <c:pt idx="6">
                  <c:v>156.65761183507055</c:v>
                </c:pt>
                <c:pt idx="7">
                  <c:v>166.65761183507055</c:v>
                </c:pt>
                <c:pt idx="8">
                  <c:v>176.65761183507055</c:v>
                </c:pt>
                <c:pt idx="9">
                  <c:v>186.65761183507055</c:v>
                </c:pt>
                <c:pt idx="10">
                  <c:v>286.65761183507055</c:v>
                </c:pt>
                <c:pt idx="11">
                  <c:v>386.65761183507055</c:v>
                </c:pt>
                <c:pt idx="12">
                  <c:v>486.65761183507055</c:v>
                </c:pt>
              </c:numCache>
            </c:numRef>
          </c:xVal>
          <c:yVal>
            <c:numRef>
              <c:f>Sheet1!$T$11:$T$23</c:f>
              <c:numCache>
                <c:formatCode>0.0</c:formatCode>
                <c:ptCount val="13"/>
                <c:pt idx="0">
                  <c:v>11.754700726992573</c:v>
                </c:pt>
                <c:pt idx="1">
                  <c:v>11.130417043059758</c:v>
                </c:pt>
                <c:pt idx="2">
                  <c:v>10.881427814764164</c:v>
                </c:pt>
                <c:pt idx="3">
                  <c:v>10.214903495925245</c:v>
                </c:pt>
                <c:pt idx="4">
                  <c:v>9.8702503742361252</c:v>
                </c:pt>
                <c:pt idx="5">
                  <c:v>9.1890032892653402</c:v>
                </c:pt>
                <c:pt idx="6">
                  <c:v>8.8330741869968765</c:v>
                </c:pt>
                <c:pt idx="7">
                  <c:v>8.3775804095727811</c:v>
                </c:pt>
                <c:pt idx="8">
                  <c:v>8.538505879175645</c:v>
                </c:pt>
                <c:pt idx="9">
                  <c:v>8.5749323859686299</c:v>
                </c:pt>
                <c:pt idx="10">
                  <c:v>7.2498292005918303</c:v>
                </c:pt>
                <c:pt idx="11">
                  <c:v>6.5197287540381117</c:v>
                </c:pt>
                <c:pt idx="12">
                  <c:v>6.3112352415866377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A-4F8A-9B0E-72F47C73B9FF}"/>
            </c:ext>
          </c:extLst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Добротность Q через параметры LC-контура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Sheet1!$L$11:$L$19</c:f>
              <c:numCache>
                <c:formatCode>0</c:formatCode>
                <c:ptCount val="9"/>
                <c:pt idx="0">
                  <c:v>96.657611835070554</c:v>
                </c:pt>
                <c:pt idx="1">
                  <c:v>106.65761183507055</c:v>
                </c:pt>
                <c:pt idx="2">
                  <c:v>116.65761183507055</c:v>
                </c:pt>
                <c:pt idx="3">
                  <c:v>126.65761183507055</c:v>
                </c:pt>
                <c:pt idx="4">
                  <c:v>136.65761183507055</c:v>
                </c:pt>
                <c:pt idx="5">
                  <c:v>146.65761183507055</c:v>
                </c:pt>
                <c:pt idx="6">
                  <c:v>156.65761183507055</c:v>
                </c:pt>
                <c:pt idx="7">
                  <c:v>166.65761183507055</c:v>
                </c:pt>
                <c:pt idx="8">
                  <c:v>176.65761183507055</c:v>
                </c:pt>
              </c:numCache>
            </c:numRef>
          </c:xVal>
          <c:yVal>
            <c:numRef>
              <c:f>Sheet1!$S$11:$S$19</c:f>
              <c:numCache>
                <c:formatCode>General</c:formatCode>
                <c:ptCount val="9"/>
                <c:pt idx="0">
                  <c:v>8.2165620601161198</c:v>
                </c:pt>
                <c:pt idx="1">
                  <c:v>7.5585021284143998</c:v>
                </c:pt>
                <c:pt idx="2">
                  <c:v>7.2942966451962992</c:v>
                </c:pt>
                <c:pt idx="3">
                  <c:v>6.5808279115104922</c:v>
                </c:pt>
                <c:pt idx="4">
                  <c:v>6.2075102802967299</c:v>
                </c:pt>
                <c:pt idx="5">
                  <c:v>5.4575054153673639</c:v>
                </c:pt>
                <c:pt idx="6">
                  <c:v>5.0570795548522005</c:v>
                </c:pt>
                <c:pt idx="7">
                  <c:v>4.5323601418271942</c:v>
                </c:pt>
                <c:pt idx="8">
                  <c:v>4.7196079268483206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FA-4F8A-9B0E-72F47C73B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98784"/>
        <c:axId val="1886595040"/>
      </c:scatterChart>
      <c:valAx>
        <c:axId val="1886598784"/>
        <c:scaling>
          <c:orientation val="minMax"/>
          <c:max val="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5040"/>
        <c:crosses val="autoZero"/>
        <c:crossBetween val="midCat"/>
      </c:valAx>
      <c:valAx>
        <c:axId val="1886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Q(R)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72519570672425"/>
          <c:y val="0.17079844383895021"/>
          <c:w val="0.30190545889602821"/>
          <c:h val="0.32160530573818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теоретического и экспериментального периода колебаний от ёмкости конденсатора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Период экспеприментальный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3.2999999999999995E-2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0.09</c:v>
                </c:pt>
                <c:pt idx="1">
                  <c:v>0.11000000000000001</c:v>
                </c:pt>
                <c:pt idx="2">
                  <c:v>0.13</c:v>
                </c:pt>
                <c:pt idx="3">
                  <c:v>0.44000000000000006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5-44ED-A677-CC17AC5F4218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Период теоретический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3.2999999999999995E-2</c:v>
                </c:pt>
                <c:pt idx="2">
                  <c:v>4.7E-2</c:v>
                </c:pt>
                <c:pt idx="3">
                  <c:v>0.47</c:v>
                </c:pt>
              </c:numCache>
            </c:numRef>
          </c:xVal>
          <c:yVal>
            <c:numRef>
              <c:f>Sheet1!$I$4:$I$7</c:f>
              <c:numCache>
                <c:formatCode>0.00</c:formatCode>
                <c:ptCount val="4"/>
                <c:pt idx="0">
                  <c:v>0.1144362782326918</c:v>
                </c:pt>
                <c:pt idx="1">
                  <c:v>0.14025185405359558</c:v>
                </c:pt>
                <c:pt idx="2">
                  <c:v>0.16752593079820785</c:v>
                </c:pt>
                <c:pt idx="3">
                  <c:v>0.54442207410212307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5-44ED-A677-CC17AC5F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55967"/>
        <c:axId val="1835556383"/>
      </c:scatterChart>
      <c:valAx>
        <c:axId val="18355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en-US" baseline="0"/>
                  <a:t> </a:t>
                </a:r>
                <a:r>
                  <a:rPr lang="ru-RU" baseline="0"/>
                  <a:t>мкФ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6383"/>
        <c:crosses val="autoZero"/>
        <c:crossBetween val="midCat"/>
      </c:valAx>
      <c:valAx>
        <c:axId val="18355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603788</xdr:colOff>
      <xdr:row>0</xdr:row>
      <xdr:rowOff>0</xdr:rowOff>
    </xdr:from>
    <xdr:to>
      <xdr:col>30</xdr:col>
      <xdr:colOff>565688</xdr:colOff>
      <xdr:row>15</xdr:row>
      <xdr:rowOff>184205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D35AFD-F76F-46C1-A0FD-34635C75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29064</xdr:colOff>
      <xdr:row>16</xdr:row>
      <xdr:rowOff>142812</xdr:rowOff>
    </xdr:from>
    <xdr:to>
      <xdr:col>30</xdr:col>
      <xdr:colOff>605403</xdr:colOff>
      <xdr:row>34</xdr:row>
      <xdr:rowOff>129153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8F86-858B-4413-8A17-BE24AEF69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226018</xdr:colOff>
      <xdr:row>26</xdr:row>
      <xdr:rowOff>137869</xdr:rowOff>
    </xdr:from>
    <xdr:to>
      <xdr:col>15</xdr:col>
      <xdr:colOff>292208</xdr:colOff>
      <xdr:row>42</xdr:row>
      <xdr:rowOff>88792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33B237-A760-44E0-B18C-4601AF59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563428</xdr:colOff>
      <xdr:row>26</xdr:row>
      <xdr:rowOff>129152</xdr:rowOff>
    </xdr:from>
    <xdr:to>
      <xdr:col>22</xdr:col>
      <xdr:colOff>195344</xdr:colOff>
      <xdr:row>45</xdr:row>
      <xdr:rowOff>8071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DE7CC1-C9D2-4F09-8CA3-F1F025CA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="118" zoomScaleNormal="118" workbookViewId="0">
      <selection activeCell="E10" sqref="E10:E23"/>
    </sheetView>
  </sheetViews>
  <sheetFormatPr defaultRowHeight="15" x14ac:dyDescent="0.25"/>
  <cols>
    <col min="4" max="4" width="7.5703125" customWidth="1"/>
    <col min="6" max="6" width="9.85546875" customWidth="1"/>
    <col min="7" max="7" width="9.42578125" customWidth="1"/>
    <col min="9" max="10" width="12.85546875" bestFit="1" customWidth="1"/>
    <col min="11" max="11" width="8" customWidth="1"/>
    <col min="14" max="14" width="10.7109375" bestFit="1" customWidth="1"/>
    <col min="15" max="15" width="9.7109375" customWidth="1"/>
    <col min="17" max="17" width="8" customWidth="1"/>
    <col min="18" max="20" width="12.85546875" bestFit="1" customWidth="1"/>
  </cols>
  <sheetData>
    <row r="1" spans="1:20" x14ac:dyDescent="0.25">
      <c r="I1" t="s">
        <v>26</v>
      </c>
      <c r="J1">
        <v>1100</v>
      </c>
      <c r="K1">
        <v>100</v>
      </c>
      <c r="L1" s="9" t="s">
        <v>25</v>
      </c>
      <c r="M1" s="9">
        <f>M7+J1</f>
        <v>1186.6576118350706</v>
      </c>
      <c r="N1" s="9">
        <f>500+N7</f>
        <v>500.00038496700728</v>
      </c>
    </row>
    <row r="2" spans="1:20" x14ac:dyDescent="0.25">
      <c r="C2" s="1" t="s">
        <v>0</v>
      </c>
      <c r="D2">
        <f>10*10^-3</f>
        <v>0.01</v>
      </c>
      <c r="E2">
        <f>0.1*D2</f>
        <v>1E-3</v>
      </c>
      <c r="L2" s="9" t="s">
        <v>27</v>
      </c>
      <c r="M2" s="9">
        <f>2*SQRT(M5/D4)</f>
        <v>1653.4607598835887</v>
      </c>
      <c r="N2" s="9">
        <f>M2*SQRT(N5^2/(M5*D4)+(M5^(1/2)/D4^(3/2)*E4)^2)</f>
        <v>136728.41066459269</v>
      </c>
      <c r="R2" s="2" t="s">
        <v>20</v>
      </c>
      <c r="S2" s="2" t="s">
        <v>18</v>
      </c>
    </row>
    <row r="3" spans="1:20" x14ac:dyDescent="0.25">
      <c r="A3" s="4" t="s">
        <v>10</v>
      </c>
      <c r="B3" s="4">
        <v>100</v>
      </c>
      <c r="C3" s="3"/>
      <c r="D3" s="3" t="s">
        <v>43</v>
      </c>
      <c r="E3" s="3" t="s">
        <v>43</v>
      </c>
      <c r="F3" s="16" t="s">
        <v>44</v>
      </c>
      <c r="G3" s="3" t="s">
        <v>42</v>
      </c>
      <c r="H3" s="3" t="s">
        <v>45</v>
      </c>
      <c r="I3" s="3" t="s">
        <v>46</v>
      </c>
      <c r="O3" t="s">
        <v>38</v>
      </c>
      <c r="P3">
        <v>2.23</v>
      </c>
      <c r="R3">
        <f>(11*J24-I24*C24)/(11*K24-C24^2)</f>
        <v>3.8162931016067813E-3</v>
      </c>
      <c r="S3">
        <f>(I24-R3*C24)/11</f>
        <v>0.33071084624789793</v>
      </c>
    </row>
    <row r="4" spans="1:20" x14ac:dyDescent="0.25">
      <c r="A4" s="4" t="s">
        <v>11</v>
      </c>
      <c r="B4" s="5">
        <v>1</v>
      </c>
      <c r="C4" s="15" t="s">
        <v>1</v>
      </c>
      <c r="D4" s="3">
        <f>0.022*10^(-6)</f>
        <v>2.1999999999999998E-8</v>
      </c>
      <c r="E4" s="3">
        <f>0.1*D4</f>
        <v>2.1999999999999998E-9</v>
      </c>
      <c r="F4">
        <f>D4*10^(6)</f>
        <v>2.1999999999999999E-2</v>
      </c>
      <c r="G4" s="3">
        <v>0.9</v>
      </c>
      <c r="H4" s="3">
        <f>G4*$B$3*10^(-3)</f>
        <v>0.09</v>
      </c>
      <c r="I4" s="17">
        <f xml:space="preserve"> 2*PI()/SQRT(1/($M$5*D4)- $M$7^2/(4*$M$5^2))*10^(3)</f>
        <v>0.1144362782326918</v>
      </c>
      <c r="J4">
        <f>-(H4-I4)/I4</f>
        <v>0.2135361146838741</v>
      </c>
      <c r="L4" s="9" t="s">
        <v>22</v>
      </c>
      <c r="M4" s="9">
        <f>AVERAGE(L10:L20)</f>
        <v>136.65761183507058</v>
      </c>
      <c r="R4" t="s">
        <v>32</v>
      </c>
      <c r="S4" t="s">
        <v>33</v>
      </c>
      <c r="T4" t="s">
        <v>35</v>
      </c>
    </row>
    <row r="5" spans="1:20" x14ac:dyDescent="0.25">
      <c r="A5" s="4" t="s">
        <v>12</v>
      </c>
      <c r="B5" s="5">
        <v>0.1</v>
      </c>
      <c r="C5" s="15" t="s">
        <v>2</v>
      </c>
      <c r="D5" s="3">
        <f>0.033*10^(-6)</f>
        <v>3.2999999999999998E-8</v>
      </c>
      <c r="E5" s="3">
        <f t="shared" ref="E5:E7" si="0">0.1*D5</f>
        <v>3.2999999999999998E-9</v>
      </c>
      <c r="F5">
        <f t="shared" ref="F5:F7" si="1">D5*10^(6)</f>
        <v>3.2999999999999995E-2</v>
      </c>
      <c r="G5" s="3">
        <v>1.1000000000000001</v>
      </c>
      <c r="H5" s="3">
        <f t="shared" ref="H5:H7" si="2">G5*$B$3*10^(-3)</f>
        <v>0.11000000000000001</v>
      </c>
      <c r="I5" s="17">
        <f t="shared" ref="I4:I6" si="3" xml:space="preserve"> 2*PI()/SQRT(1/($M$5*D5)- $M$7^2/(4*$M$5^2))*10^(3)</f>
        <v>0.14025185405359558</v>
      </c>
      <c r="J5">
        <f t="shared" ref="J5:J7" si="4">-(H5-I5)/I5</f>
        <v>0.21569664271272435</v>
      </c>
      <c r="L5" s="9" t="s">
        <v>23</v>
      </c>
      <c r="M5" s="9">
        <f>AVERAGE(P10:P20)</f>
        <v>1.5036628664611478E-2</v>
      </c>
      <c r="N5">
        <f>M5*P3*SQRT(Q24/110)</f>
        <v>3.2428941589028225E-5</v>
      </c>
      <c r="R5">
        <f>O24-I24^2/11</f>
        <v>0.16831018124379549</v>
      </c>
      <c r="S5">
        <f>SQRT(N24/(R5*9))</f>
        <v>1.8160797807290278E-8</v>
      </c>
      <c r="T5">
        <f>SQRT(1/11+ C25^2/R5)*S5</f>
        <v>1.992020869188286E-6</v>
      </c>
    </row>
    <row r="6" spans="1:20" x14ac:dyDescent="0.25">
      <c r="C6" s="15" t="s">
        <v>3</v>
      </c>
      <c r="D6" s="3">
        <f>0.047*10^(-6)</f>
        <v>4.6999999999999997E-8</v>
      </c>
      <c r="E6" s="3">
        <f t="shared" si="0"/>
        <v>4.6999999999999999E-9</v>
      </c>
      <c r="F6">
        <f t="shared" si="1"/>
        <v>4.7E-2</v>
      </c>
      <c r="G6" s="3">
        <v>1.3</v>
      </c>
      <c r="H6" s="3">
        <f t="shared" si="2"/>
        <v>0.13</v>
      </c>
      <c r="I6" s="17">
        <f t="shared" si="3"/>
        <v>0.16752593079820785</v>
      </c>
      <c r="J6">
        <f t="shared" si="4"/>
        <v>0.22400073003271018</v>
      </c>
      <c r="R6" t="s">
        <v>34</v>
      </c>
      <c r="S6" t="s">
        <v>37</v>
      </c>
    </row>
    <row r="7" spans="1:20" x14ac:dyDescent="0.25">
      <c r="C7" s="15" t="s">
        <v>4</v>
      </c>
      <c r="D7" s="3">
        <f>0.47*10^(-6)</f>
        <v>4.6999999999999995E-7</v>
      </c>
      <c r="E7" s="3">
        <f t="shared" si="0"/>
        <v>4.6999999999999997E-8</v>
      </c>
      <c r="F7">
        <f t="shared" si="1"/>
        <v>0.47</v>
      </c>
      <c r="G7" s="3">
        <v>4.4000000000000004</v>
      </c>
      <c r="H7" s="3">
        <f t="shared" si="2"/>
        <v>0.44000000000000006</v>
      </c>
      <c r="I7" s="17">
        <f xml:space="preserve"> 2*PI()/SQRT(1/($M$5*D7)- $M$7^2/(4*$M$5^2))*10^(3)</f>
        <v>0.54442207410212307</v>
      </c>
      <c r="J7">
        <f t="shared" si="4"/>
        <v>0.19180352720697258</v>
      </c>
      <c r="L7" s="9" t="s">
        <v>19</v>
      </c>
      <c r="M7" s="9">
        <f>S3/R3</f>
        <v>86.657611835070554</v>
      </c>
      <c r="N7">
        <f>SQRT((R7/R3)^2+ (S7/S3)^2)*M7</f>
        <v>3.8496700725385843E-4</v>
      </c>
      <c r="R7">
        <f>P3*R3*S5</f>
        <v>1.5455444808335151E-10</v>
      </c>
      <c r="S7">
        <f>T5*S3*P3</f>
        <v>1.4690858834857907E-6</v>
      </c>
    </row>
    <row r="9" spans="1:20" s="2" customFormat="1" x14ac:dyDescent="0.25">
      <c r="A9" s="4" t="s">
        <v>10</v>
      </c>
      <c r="B9" s="4">
        <v>50</v>
      </c>
      <c r="C9" s="6" t="s">
        <v>5</v>
      </c>
      <c r="D9" s="6" t="s">
        <v>7</v>
      </c>
      <c r="E9" s="6" t="s">
        <v>6</v>
      </c>
      <c r="F9" s="6" t="s">
        <v>8</v>
      </c>
      <c r="G9" s="6" t="s">
        <v>9</v>
      </c>
      <c r="H9" s="6" t="s">
        <v>13</v>
      </c>
      <c r="I9" s="10" t="s">
        <v>14</v>
      </c>
      <c r="J9" s="2" t="s">
        <v>15</v>
      </c>
      <c r="K9" s="2" t="s">
        <v>17</v>
      </c>
      <c r="L9" s="10" t="s">
        <v>21</v>
      </c>
      <c r="M9" s="2" t="s">
        <v>40</v>
      </c>
      <c r="N9" s="2" t="s">
        <v>30</v>
      </c>
      <c r="O9" s="2" t="s">
        <v>31</v>
      </c>
      <c r="P9" s="9" t="s">
        <v>0</v>
      </c>
      <c r="Q9" s="2" t="s">
        <v>39</v>
      </c>
      <c r="R9" s="2" t="s">
        <v>24</v>
      </c>
      <c r="S9" s="10" t="s">
        <v>29</v>
      </c>
      <c r="T9" s="10" t="s">
        <v>28</v>
      </c>
    </row>
    <row r="10" spans="1:20" x14ac:dyDescent="0.25">
      <c r="A10" s="4" t="s">
        <v>11</v>
      </c>
      <c r="B10" s="5">
        <v>1</v>
      </c>
      <c r="C10" s="3">
        <v>0</v>
      </c>
      <c r="D10" s="3">
        <v>7.3</v>
      </c>
      <c r="E10" s="17">
        <f>D10*10^(-3)*$B$9</f>
        <v>0.36499999999999999</v>
      </c>
      <c r="F10" s="3">
        <v>6.2</v>
      </c>
      <c r="G10" s="3">
        <v>1.8</v>
      </c>
      <c r="H10" s="3">
        <v>4</v>
      </c>
      <c r="I10" s="11">
        <f>1/H10*LN(F10/G10)</f>
        <v>0.30919065678723173</v>
      </c>
      <c r="J10">
        <f>I10*C10</f>
        <v>0</v>
      </c>
      <c r="K10">
        <f>C10*C10</f>
        <v>0</v>
      </c>
      <c r="L10" s="13">
        <f t="shared" ref="L10:L23" si="5">$M$7+ C10</f>
        <v>86.657611835070554</v>
      </c>
      <c r="M10" s="8">
        <f>(L10-$L$25)^2</f>
        <v>10727.040816326533</v>
      </c>
      <c r="N10">
        <f t="shared" ref="N10:N20" si="6">I10-($S$3+$R$3*C10)</f>
        <v>-2.1520189460666195E-2</v>
      </c>
      <c r="O10" s="12">
        <f>I10^2</f>
        <v>9.5598862244519731E-2</v>
      </c>
      <c r="P10" s="14">
        <f xml:space="preserve"> PI()^2*$M$7^2*$D$4/(I10*I10)</f>
        <v>1.7056233591007053E-2</v>
      </c>
      <c r="Q10" s="12">
        <f t="shared" ref="Q10:Q23" si="7">(P10-$M$5)^2</f>
        <v>4.078804058721273E-6</v>
      </c>
      <c r="R10" s="12">
        <f xml:space="preserve"> 2*PI()/SQRT(1/($M$5*$D$4)- C10^2/(4*$M$5^2))*10^3</f>
        <v>0.11427900387748413</v>
      </c>
      <c r="S10" s="9">
        <f>2*PI()/(1 - EXP(-2*I10))</f>
        <v>13.624028647167377</v>
      </c>
      <c r="T10" s="11">
        <f t="shared" ref="T10:T23" si="8">2*PI()/(1 - EXP(-2*I10))</f>
        <v>13.624028647167377</v>
      </c>
    </row>
    <row r="11" spans="1:20" x14ac:dyDescent="0.25">
      <c r="A11" s="4" t="s">
        <v>12</v>
      </c>
      <c r="B11" s="5">
        <v>0.1</v>
      </c>
      <c r="C11" s="3">
        <v>10</v>
      </c>
      <c r="D11" s="3">
        <v>7.3</v>
      </c>
      <c r="E11" s="17">
        <f t="shared" ref="E11:E23" si="9">D11*10^(-3)*$B$9</f>
        <v>0.36499999999999999</v>
      </c>
      <c r="F11" s="3">
        <v>6</v>
      </c>
      <c r="G11" s="3">
        <v>1.3</v>
      </c>
      <c r="H11" s="3">
        <v>4</v>
      </c>
      <c r="I11" s="11">
        <f>1/H11*LN(F11/G11)</f>
        <v>0.38234880119014097</v>
      </c>
      <c r="J11">
        <f t="shared" ref="J11:J19" si="10">I11*C11</f>
        <v>3.8234880119014099</v>
      </c>
      <c r="K11">
        <f t="shared" ref="K11:K20" si="11">C11*C11</f>
        <v>100</v>
      </c>
      <c r="L11" s="13">
        <f t="shared" si="5"/>
        <v>96.657611835070554</v>
      </c>
      <c r="M11" s="8">
        <f t="shared" ref="M11:M23" si="12">(L11-$L$25)^2</f>
        <v>8755.6122448979622</v>
      </c>
      <c r="N11">
        <f t="shared" si="6"/>
        <v>1.3475023926175222E-2</v>
      </c>
      <c r="O11" s="12">
        <f t="shared" ref="O11:O20" si="13">I11^2</f>
        <v>0.14619060577153795</v>
      </c>
      <c r="P11" s="14">
        <f xml:space="preserve"> PI()^2*L11*L11*$D$4/(I11*I11)</f>
        <v>1.3876344770593416E-2</v>
      </c>
      <c r="Q11" s="12">
        <f t="shared" si="7"/>
        <v>1.3462587147177184E-6</v>
      </c>
      <c r="R11" s="12"/>
      <c r="S11" s="9">
        <f>1/L11*SQRT(P11/$D$4)</f>
        <v>8.2165620601161198</v>
      </c>
      <c r="T11" s="11">
        <f t="shared" si="8"/>
        <v>11.754700726992573</v>
      </c>
    </row>
    <row r="12" spans="1:20" x14ac:dyDescent="0.25">
      <c r="C12" s="3">
        <v>20</v>
      </c>
      <c r="D12" s="3">
        <v>7.3</v>
      </c>
      <c r="E12" s="17">
        <f t="shared" si="9"/>
        <v>0.36499999999999999</v>
      </c>
      <c r="F12" s="3">
        <v>5.8</v>
      </c>
      <c r="G12" s="3">
        <v>1.1000000000000001</v>
      </c>
      <c r="H12" s="3">
        <v>4</v>
      </c>
      <c r="I12" s="11">
        <f t="shared" ref="I12:I23" si="14">1/H12*LN(F12/G12)</f>
        <v>0.41563693443701216</v>
      </c>
      <c r="J12">
        <f t="shared" si="10"/>
        <v>8.312738688740243</v>
      </c>
      <c r="K12">
        <f t="shared" si="11"/>
        <v>400</v>
      </c>
      <c r="L12" s="13">
        <f t="shared" si="5"/>
        <v>106.65761183507055</v>
      </c>
      <c r="M12" s="8">
        <f t="shared" si="12"/>
        <v>6984.1836734693898</v>
      </c>
      <c r="N12">
        <f t="shared" si="6"/>
        <v>8.6002261569785854E-3</v>
      </c>
      <c r="O12" s="12">
        <f t="shared" si="13"/>
        <v>0.17275406126819715</v>
      </c>
      <c r="P12" s="14">
        <f t="shared" ref="P12:P19" si="15" xml:space="preserve"> PI()^2*L12*L12*$D$4/(I12*I12)</f>
        <v>1.429808487030926E-2</v>
      </c>
      <c r="Q12" s="12">
        <f t="shared" si="7"/>
        <v>5.454469361023183E-7</v>
      </c>
      <c r="R12" s="12"/>
      <c r="S12" s="9">
        <f t="shared" ref="S12:S19" si="16">1/L12*SQRT(P12/$D$4)</f>
        <v>7.5585021284143998</v>
      </c>
      <c r="T12" s="11">
        <f t="shared" si="8"/>
        <v>11.130417043059758</v>
      </c>
    </row>
    <row r="13" spans="1:20" x14ac:dyDescent="0.25">
      <c r="C13" s="3">
        <v>30</v>
      </c>
      <c r="D13" s="3">
        <v>7.3</v>
      </c>
      <c r="E13" s="17">
        <f t="shared" si="9"/>
        <v>0.36499999999999999</v>
      </c>
      <c r="F13" s="3">
        <v>5.6</v>
      </c>
      <c r="G13" s="3">
        <v>1</v>
      </c>
      <c r="H13" s="3">
        <v>4</v>
      </c>
      <c r="I13" s="11">
        <f t="shared" si="14"/>
        <v>0.43069164943527588</v>
      </c>
      <c r="J13">
        <f t="shared" si="10"/>
        <v>12.920749483058277</v>
      </c>
      <c r="K13">
        <f t="shared" si="11"/>
        <v>900</v>
      </c>
      <c r="L13" s="13">
        <f t="shared" si="5"/>
        <v>116.65761183507055</v>
      </c>
      <c r="M13" s="8">
        <f t="shared" si="12"/>
        <v>5412.7551020408182</v>
      </c>
      <c r="N13">
        <f t="shared" si="6"/>
        <v>-1.4507989860825465E-2</v>
      </c>
      <c r="O13" s="12">
        <f t="shared" si="13"/>
        <v>0.18549529689327857</v>
      </c>
      <c r="P13" s="14">
        <f t="shared" si="15"/>
        <v>1.5929996718804563E-2</v>
      </c>
      <c r="Q13" s="12">
        <f t="shared" si="7"/>
        <v>7.9810648025273762E-7</v>
      </c>
      <c r="R13" s="12"/>
      <c r="S13" s="9">
        <f t="shared" si="16"/>
        <v>7.2942966451962992</v>
      </c>
      <c r="T13" s="11">
        <f t="shared" si="8"/>
        <v>10.881427814764164</v>
      </c>
    </row>
    <row r="14" spans="1:20" x14ac:dyDescent="0.25">
      <c r="C14" s="3">
        <v>40</v>
      </c>
      <c r="D14" s="3">
        <v>7.3</v>
      </c>
      <c r="E14" s="17">
        <f t="shared" si="9"/>
        <v>0.36499999999999999</v>
      </c>
      <c r="F14" s="3">
        <v>5.4</v>
      </c>
      <c r="G14" s="3">
        <v>0.8</v>
      </c>
      <c r="H14" s="3">
        <v>4</v>
      </c>
      <c r="I14" s="11">
        <f t="shared" si="14"/>
        <v>0.47738562622110964</v>
      </c>
      <c r="J14">
        <f t="shared" si="10"/>
        <v>19.095425048844387</v>
      </c>
      <c r="K14">
        <f t="shared" si="11"/>
        <v>1600</v>
      </c>
      <c r="L14" s="13">
        <f t="shared" si="5"/>
        <v>126.65761183507055</v>
      </c>
      <c r="M14" s="8">
        <f t="shared" si="12"/>
        <v>4041.3265306122466</v>
      </c>
      <c r="N14">
        <f t="shared" si="6"/>
        <v>-5.9769440910595328E-3</v>
      </c>
      <c r="O14" s="12">
        <f t="shared" si="13"/>
        <v>0.22789703612252099</v>
      </c>
      <c r="P14" s="14">
        <f t="shared" si="15"/>
        <v>1.5284327653634187E-2</v>
      </c>
      <c r="Q14" s="12">
        <f t="shared" si="7"/>
        <v>6.1354789162871887E-8</v>
      </c>
      <c r="R14" s="12"/>
      <c r="S14" s="9">
        <f t="shared" si="16"/>
        <v>6.5808279115104922</v>
      </c>
      <c r="T14" s="11">
        <f t="shared" si="8"/>
        <v>10.214903495925245</v>
      </c>
    </row>
    <row r="15" spans="1:20" x14ac:dyDescent="0.25">
      <c r="C15" s="3">
        <v>50</v>
      </c>
      <c r="D15" s="3">
        <v>7.3</v>
      </c>
      <c r="E15" s="17">
        <f t="shared" si="9"/>
        <v>0.36499999999999999</v>
      </c>
      <c r="F15" s="3">
        <v>5.3</v>
      </c>
      <c r="G15" s="3">
        <v>0.7</v>
      </c>
      <c r="H15" s="3">
        <v>4</v>
      </c>
      <c r="I15" s="11">
        <f t="shared" si="14"/>
        <v>0.50609544112420213</v>
      </c>
      <c r="J15">
        <f t="shared" si="10"/>
        <v>25.304772056210105</v>
      </c>
      <c r="K15">
        <f t="shared" si="11"/>
        <v>2500</v>
      </c>
      <c r="L15" s="13">
        <f t="shared" si="5"/>
        <v>136.65761183507055</v>
      </c>
      <c r="M15" s="8">
        <f t="shared" si="12"/>
        <v>2869.8979591836746</v>
      </c>
      <c r="N15">
        <f t="shared" si="6"/>
        <v>-1.5430060204034812E-2</v>
      </c>
      <c r="O15" s="12">
        <f t="shared" si="13"/>
        <v>0.25613259552670076</v>
      </c>
      <c r="P15" s="14">
        <f t="shared" si="15"/>
        <v>1.5831615351182056E-2</v>
      </c>
      <c r="Q15" s="12">
        <f t="shared" si="7"/>
        <v>6.3200383182446552E-7</v>
      </c>
      <c r="R15" s="12"/>
      <c r="S15" s="9">
        <f t="shared" si="16"/>
        <v>6.2075102802967299</v>
      </c>
      <c r="T15" s="11">
        <f t="shared" si="8"/>
        <v>9.8702503742361252</v>
      </c>
    </row>
    <row r="16" spans="1:20" x14ac:dyDescent="0.25">
      <c r="C16" s="3">
        <v>60</v>
      </c>
      <c r="D16" s="3">
        <v>7.3</v>
      </c>
      <c r="E16" s="17">
        <f t="shared" si="9"/>
        <v>0.36499999999999999</v>
      </c>
      <c r="F16" s="3">
        <v>5</v>
      </c>
      <c r="G16" s="3">
        <v>0.5</v>
      </c>
      <c r="H16" s="3">
        <v>4</v>
      </c>
      <c r="I16" s="11">
        <f t="shared" si="14"/>
        <v>0.57564627324851148</v>
      </c>
      <c r="J16">
        <f t="shared" si="10"/>
        <v>34.538776394910691</v>
      </c>
      <c r="K16">
        <f t="shared" si="11"/>
        <v>3600</v>
      </c>
      <c r="L16" s="13">
        <f t="shared" si="5"/>
        <v>146.65761183507055</v>
      </c>
      <c r="M16" s="8">
        <f t="shared" si="12"/>
        <v>1898.4693877551031</v>
      </c>
      <c r="N16">
        <f t="shared" si="6"/>
        <v>1.595784090420671E-2</v>
      </c>
      <c r="O16" s="12">
        <f t="shared" si="13"/>
        <v>0.33136863190489996</v>
      </c>
      <c r="P16" s="14">
        <f t="shared" si="15"/>
        <v>1.4093545076027635E-2</v>
      </c>
      <c r="Q16" s="12">
        <f t="shared" si="7"/>
        <v>8.8940665505618095E-7</v>
      </c>
      <c r="R16" s="12"/>
      <c r="S16" s="9">
        <f t="shared" si="16"/>
        <v>5.4575054153673639</v>
      </c>
      <c r="T16" s="11">
        <f t="shared" si="8"/>
        <v>9.1890032892653402</v>
      </c>
    </row>
    <row r="17" spans="2:20" x14ac:dyDescent="0.25">
      <c r="C17" s="3">
        <v>70</v>
      </c>
      <c r="D17" s="3">
        <v>7.3</v>
      </c>
      <c r="E17" s="17">
        <f t="shared" si="9"/>
        <v>0.36499999999999999</v>
      </c>
      <c r="F17" s="3">
        <v>4.8</v>
      </c>
      <c r="G17" s="3">
        <v>0.4</v>
      </c>
      <c r="H17" s="3">
        <v>4</v>
      </c>
      <c r="I17" s="11">
        <f t="shared" si="14"/>
        <v>0.62122666244700009</v>
      </c>
      <c r="J17">
        <f t="shared" si="10"/>
        <v>43.485866371290008</v>
      </c>
      <c r="K17">
        <f t="shared" si="11"/>
        <v>4900</v>
      </c>
      <c r="L17" s="13">
        <f t="shared" si="5"/>
        <v>156.65761183507055</v>
      </c>
      <c r="M17" s="8">
        <f t="shared" si="12"/>
        <v>1127.0408163265315</v>
      </c>
      <c r="N17">
        <f t="shared" si="6"/>
        <v>2.3375299086627499E-2</v>
      </c>
      <c r="O17" s="12">
        <f t="shared" si="13"/>
        <v>0.385922566135039</v>
      </c>
      <c r="P17" s="14">
        <f t="shared" si="15"/>
        <v>1.3807824410268387E-2</v>
      </c>
      <c r="Q17" s="12">
        <f t="shared" si="7"/>
        <v>1.5099598954916817E-6</v>
      </c>
      <c r="R17" s="12"/>
      <c r="S17" s="9">
        <f t="shared" si="16"/>
        <v>5.0570795548522005</v>
      </c>
      <c r="T17" s="11">
        <f t="shared" si="8"/>
        <v>8.8330741869968765</v>
      </c>
    </row>
    <row r="18" spans="2:20" x14ac:dyDescent="0.25">
      <c r="C18" s="3">
        <v>80</v>
      </c>
      <c r="D18" s="3">
        <v>7.3</v>
      </c>
      <c r="E18" s="17">
        <f t="shared" si="9"/>
        <v>0.36499999999999999</v>
      </c>
      <c r="F18" s="3">
        <v>4.8</v>
      </c>
      <c r="G18" s="3">
        <v>0.3</v>
      </c>
      <c r="H18" s="3">
        <v>4</v>
      </c>
      <c r="I18" s="11">
        <f t="shared" si="14"/>
        <v>0.69314718055994529</v>
      </c>
      <c r="J18">
        <f t="shared" si="10"/>
        <v>55.451774444795625</v>
      </c>
      <c r="K18">
        <f t="shared" si="11"/>
        <v>6400</v>
      </c>
      <c r="L18" s="13">
        <f t="shared" si="5"/>
        <v>166.65761183507055</v>
      </c>
      <c r="M18" s="8">
        <f t="shared" si="12"/>
        <v>555.61224489795973</v>
      </c>
      <c r="N18">
        <f t="shared" si="6"/>
        <v>5.7132886183504872E-2</v>
      </c>
      <c r="O18" s="12">
        <f t="shared" si="13"/>
        <v>0.48045301391820139</v>
      </c>
      <c r="P18" s="14">
        <f t="shared" si="15"/>
        <v>1.2552256708631757E-2</v>
      </c>
      <c r="Q18" s="12">
        <f t="shared" si="7"/>
        <v>6.1721040156585076E-6</v>
      </c>
      <c r="R18" s="12"/>
      <c r="S18" s="9">
        <f t="shared" si="16"/>
        <v>4.5323601418271942</v>
      </c>
      <c r="T18" s="11">
        <f t="shared" si="8"/>
        <v>8.3775804095727811</v>
      </c>
    </row>
    <row r="19" spans="2:20" x14ac:dyDescent="0.25">
      <c r="C19" s="3">
        <v>90</v>
      </c>
      <c r="D19" s="3">
        <v>7.3</v>
      </c>
      <c r="E19" s="17">
        <f t="shared" si="9"/>
        <v>0.36499999999999999</v>
      </c>
      <c r="F19" s="3">
        <v>4.3</v>
      </c>
      <c r="G19" s="3">
        <v>0.3</v>
      </c>
      <c r="H19" s="3">
        <v>4</v>
      </c>
      <c r="I19" s="11">
        <f t="shared" si="14"/>
        <v>0.66564695675636321</v>
      </c>
      <c r="J19">
        <f t="shared" si="10"/>
        <v>59.908226108072689</v>
      </c>
      <c r="K19">
        <f t="shared" si="11"/>
        <v>8100</v>
      </c>
      <c r="L19" s="13">
        <f t="shared" si="5"/>
        <v>176.65761183507055</v>
      </c>
      <c r="M19" s="8">
        <f t="shared" si="12"/>
        <v>184.18367346938808</v>
      </c>
      <c r="N19">
        <f t="shared" si="6"/>
        <v>-8.5302686361450331E-3</v>
      </c>
      <c r="O19" s="12">
        <f t="shared" si="13"/>
        <v>0.44308587103900765</v>
      </c>
      <c r="P19" s="14">
        <f t="shared" si="15"/>
        <v>1.5293230516686039E-2</v>
      </c>
      <c r="Q19" s="12">
        <f t="shared" si="7"/>
        <v>6.584451048809469E-8</v>
      </c>
      <c r="R19" s="12"/>
      <c r="S19" s="9">
        <f t="shared" si="16"/>
        <v>4.7196079268483206</v>
      </c>
      <c r="T19" s="11">
        <f t="shared" si="8"/>
        <v>8.538505879175645</v>
      </c>
    </row>
    <row r="20" spans="2:20" x14ac:dyDescent="0.25">
      <c r="C20" s="3">
        <v>100</v>
      </c>
      <c r="D20" s="3">
        <v>5.5</v>
      </c>
      <c r="E20" s="17">
        <f t="shared" si="9"/>
        <v>0.27499999999999997</v>
      </c>
      <c r="F20" s="3">
        <v>4.2</v>
      </c>
      <c r="G20" s="3">
        <v>0.3</v>
      </c>
      <c r="H20" s="3">
        <v>4</v>
      </c>
      <c r="I20" s="11">
        <f t="shared" si="14"/>
        <v>0.65976433240381471</v>
      </c>
      <c r="J20">
        <f>I20*C20</f>
        <v>65.976433240381468</v>
      </c>
      <c r="K20">
        <f t="shared" si="11"/>
        <v>10000</v>
      </c>
      <c r="L20" s="13">
        <f t="shared" si="5"/>
        <v>186.65761183507055</v>
      </c>
      <c r="M20" s="8">
        <f t="shared" si="12"/>
        <v>12.755102040816414</v>
      </c>
      <c r="N20">
        <f t="shared" si="6"/>
        <v>-5.2575824004761351E-2</v>
      </c>
      <c r="O20" s="12">
        <f t="shared" si="13"/>
        <v>0.43528897431225133</v>
      </c>
      <c r="P20" s="14">
        <f xml:space="preserve"> PI()^2*L20*L20*$D$4/(I20*I20)</f>
        <v>1.7379455643581912E-2</v>
      </c>
      <c r="Q20" s="12">
        <f t="shared" si="7"/>
        <v>5.4888382533917278E-6</v>
      </c>
      <c r="R20" s="12"/>
      <c r="T20" s="11">
        <f t="shared" si="8"/>
        <v>8.5749323859686299</v>
      </c>
    </row>
    <row r="21" spans="2:20" x14ac:dyDescent="0.25">
      <c r="C21" s="3">
        <v>200</v>
      </c>
      <c r="D21" s="3">
        <v>3.7</v>
      </c>
      <c r="E21" s="17">
        <f>D21*10^(-3)*$B$9</f>
        <v>0.185</v>
      </c>
      <c r="F21" s="3">
        <v>3</v>
      </c>
      <c r="G21" s="3">
        <v>0.4</v>
      </c>
      <c r="H21" s="3">
        <v>2</v>
      </c>
      <c r="I21" s="11">
        <f>1/H21*LN(F21/G21)</f>
        <v>1.0074515102711323</v>
      </c>
      <c r="L21" s="13">
        <f t="shared" si="5"/>
        <v>286.65761183507055</v>
      </c>
      <c r="M21" s="8">
        <f t="shared" si="12"/>
        <v>9298.4693877550999</v>
      </c>
      <c r="P21" s="14">
        <f xml:space="preserve"> PI()^2*L21*L21*$D$4/(I21*I21)</f>
        <v>1.7579279795881909E-2</v>
      </c>
      <c r="Q21" s="12">
        <f t="shared" si="7"/>
        <v>6.4650747753507985E-6</v>
      </c>
      <c r="R21" s="12">
        <f xml:space="preserve"> 2*PI()/SQRT(1/($M$5*$D$4)- C21^2/(4*$M$5^2))*10^3</f>
        <v>0.11512429540656952</v>
      </c>
      <c r="T21" s="11">
        <f t="shared" si="8"/>
        <v>7.2498292005918303</v>
      </c>
    </row>
    <row r="22" spans="2:20" x14ac:dyDescent="0.25">
      <c r="C22" s="3">
        <v>300</v>
      </c>
      <c r="D22" s="3">
        <v>1.9</v>
      </c>
      <c r="E22" s="17">
        <f t="shared" si="9"/>
        <v>9.5000000000000001E-2</v>
      </c>
      <c r="F22" s="3">
        <v>2.1</v>
      </c>
      <c r="G22" s="3">
        <v>0.4</v>
      </c>
      <c r="H22" s="3">
        <v>1</v>
      </c>
      <c r="I22" s="11">
        <f t="shared" si="14"/>
        <v>1.6582280766035324</v>
      </c>
      <c r="L22" s="13">
        <f t="shared" si="5"/>
        <v>386.65761183507055</v>
      </c>
      <c r="M22" s="8">
        <f t="shared" si="12"/>
        <v>38584.183673469386</v>
      </c>
      <c r="P22" s="14">
        <f xml:space="preserve"> PI()^2*L22*L22*$D$4/(I22*I22)</f>
        <v>1.1805571782757381E-2</v>
      </c>
      <c r="Q22" s="12">
        <f t="shared" si="7"/>
        <v>1.0439728573776726E-5</v>
      </c>
      <c r="R22" s="12"/>
      <c r="T22" s="11">
        <f t="shared" si="8"/>
        <v>6.5197287540381117</v>
      </c>
    </row>
    <row r="23" spans="2:20" x14ac:dyDescent="0.25">
      <c r="C23" s="3">
        <v>400</v>
      </c>
      <c r="D23" s="3">
        <v>1.9</v>
      </c>
      <c r="E23" s="17">
        <f t="shared" si="9"/>
        <v>9.5000000000000001E-2</v>
      </c>
      <c r="F23" s="3">
        <v>1.5</v>
      </c>
      <c r="G23" s="3">
        <v>0.1</v>
      </c>
      <c r="H23" s="3">
        <v>1</v>
      </c>
      <c r="I23" s="11">
        <f t="shared" si="14"/>
        <v>2.7080502011022101</v>
      </c>
      <c r="L23" s="13">
        <f t="shared" si="5"/>
        <v>486.65761183507055</v>
      </c>
      <c r="M23" s="8">
        <f t="shared" si="12"/>
        <v>87869.897959183683</v>
      </c>
      <c r="P23" s="14">
        <f xml:space="preserve"> PI()^2*L23*L23*$D$4/(I23*I23)</f>
        <v>7.0122282738833428E-3</v>
      </c>
      <c r="Q23" s="12">
        <f t="shared" si="7"/>
        <v>6.4391001630717846E-5</v>
      </c>
      <c r="R23" s="12">
        <f xml:space="preserve"> 2*PI()/SQRT(1/($M$5*$D$4)- C23^2/(4*$M$5^2))*10^3</f>
        <v>0.11777734590451239</v>
      </c>
      <c r="T23" s="11">
        <f t="shared" si="8"/>
        <v>6.3112352415866377</v>
      </c>
    </row>
    <row r="24" spans="2:20" x14ac:dyDescent="0.25">
      <c r="B24" t="s">
        <v>16</v>
      </c>
      <c r="C24">
        <f>SUM(C10:C20)</f>
        <v>550</v>
      </c>
      <c r="I24" s="7">
        <f>SUM(I10:I20)</f>
        <v>5.736780514610607</v>
      </c>
      <c r="J24" s="8">
        <f>SUM(J10:J20)</f>
        <v>328.81824984820491</v>
      </c>
      <c r="K24" s="8">
        <f>SUM(K10:K20)</f>
        <v>38500</v>
      </c>
      <c r="M24" s="8">
        <f>SUM(M10:M23)</f>
        <v>178321.42857142858</v>
      </c>
      <c r="N24">
        <f>SUM(N10:N20)</f>
        <v>4.9960036108132044E-16</v>
      </c>
      <c r="O24">
        <f>SUM(O10:O20)</f>
        <v>3.1601875151361538</v>
      </c>
      <c r="Q24" s="12">
        <f>SUM(Q10:Q23)</f>
        <v>1.0288393312071295E-4</v>
      </c>
    </row>
    <row r="25" spans="2:20" x14ac:dyDescent="0.25">
      <c r="B25" t="s">
        <v>36</v>
      </c>
      <c r="C25">
        <f>AVERAGE(C10:C19)</f>
        <v>45</v>
      </c>
      <c r="L25" s="8">
        <f>AVERAGE(L10:L23)</f>
        <v>190.22904040649914</v>
      </c>
      <c r="M25">
        <f>SQRT(M24/110)*L25*P3</f>
        <v>17079.970056542079</v>
      </c>
      <c r="P25" s="7"/>
    </row>
    <row r="26" spans="2:20" x14ac:dyDescent="0.25">
      <c r="L26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2015-06-05T18:17:20Z</dcterms:created>
  <dcterms:modified xsi:type="dcterms:W3CDTF">2021-04-08T07:33:07Z</dcterms:modified>
</cp:coreProperties>
</file>