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enin\Desktop\ITMO\Physics\3-13\"/>
    </mc:Choice>
  </mc:AlternateContent>
  <xr:revisionPtr revIDLastSave="0" documentId="13_ncr:1_{D699F437-A626-4125-BDE2-F32350EAABA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Лист1" sheetId="2" r:id="rId1"/>
    <sheet name="МНК для A,B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10" i="2" s="1"/>
  <c r="H22" i="2"/>
  <c r="L11" i="2"/>
  <c r="M9" i="2"/>
  <c r="M10" i="2"/>
  <c r="M22" i="2" s="1"/>
  <c r="M11" i="2"/>
  <c r="M12" i="2"/>
  <c r="M13" i="2"/>
  <c r="M14" i="2"/>
  <c r="M15" i="2"/>
  <c r="M16" i="2"/>
  <c r="M17" i="2"/>
  <c r="M18" i="2"/>
  <c r="M19" i="2"/>
  <c r="M20" i="2"/>
  <c r="M21" i="2"/>
  <c r="M8" i="2"/>
  <c r="L12" i="2"/>
  <c r="L13" i="2"/>
  <c r="L15" i="2"/>
  <c r="L16" i="2"/>
  <c r="L17" i="2"/>
  <c r="L19" i="2"/>
  <c r="L20" i="2"/>
  <c r="L21" i="2"/>
  <c r="K9" i="2"/>
  <c r="K10" i="2"/>
  <c r="K11" i="2"/>
  <c r="K12" i="2"/>
  <c r="K23" i="2" s="1"/>
  <c r="K13" i="2"/>
  <c r="K14" i="2"/>
  <c r="K15" i="2"/>
  <c r="K16" i="2"/>
  <c r="K17" i="2"/>
  <c r="K18" i="2"/>
  <c r="K19" i="2"/>
  <c r="K20" i="2"/>
  <c r="K21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8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I8" i="2"/>
  <c r="I10" i="1"/>
  <c r="M10" i="1" s="1"/>
  <c r="M24" i="1" s="1"/>
  <c r="M23" i="2"/>
  <c r="K2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8" i="2"/>
  <c r="K6" i="1"/>
  <c r="P24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10" i="1"/>
  <c r="B25" i="1"/>
  <c r="M23" i="1"/>
  <c r="M11" i="1"/>
  <c r="M12" i="1"/>
  <c r="M13" i="1"/>
  <c r="M14" i="1"/>
  <c r="M15" i="1"/>
  <c r="M16" i="1"/>
  <c r="M17" i="1"/>
  <c r="M18" i="1"/>
  <c r="M19" i="1"/>
  <c r="M20" i="1"/>
  <c r="M21" i="1"/>
  <c r="M22" i="1"/>
  <c r="H3" i="1"/>
  <c r="L10" i="1"/>
  <c r="B24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H15" i="1"/>
  <c r="H10" i="1"/>
  <c r="H20" i="1"/>
  <c r="H21" i="1"/>
  <c r="H22" i="1"/>
  <c r="H23" i="1"/>
  <c r="H11" i="1"/>
  <c r="H12" i="1"/>
  <c r="H13" i="1"/>
  <c r="H14" i="1"/>
  <c r="H16" i="1"/>
  <c r="H17" i="1"/>
  <c r="H18" i="1"/>
  <c r="H19" i="1"/>
  <c r="G11" i="1"/>
  <c r="G16" i="1"/>
  <c r="G19" i="1"/>
  <c r="C3" i="1"/>
  <c r="D5" i="1"/>
  <c r="F21" i="1"/>
  <c r="G21" i="1" s="1"/>
  <c r="I21" i="1" s="1"/>
  <c r="J21" i="1" s="1"/>
  <c r="F11" i="1"/>
  <c r="F12" i="1"/>
  <c r="G12" i="1" s="1"/>
  <c r="F13" i="1"/>
  <c r="G13" i="1" s="1"/>
  <c r="I13" i="1" s="1"/>
  <c r="J13" i="1" s="1"/>
  <c r="F14" i="1"/>
  <c r="G14" i="1" s="1"/>
  <c r="I14" i="1" s="1"/>
  <c r="J14" i="1" s="1"/>
  <c r="F15" i="1"/>
  <c r="G15" i="1" s="1"/>
  <c r="F16" i="1"/>
  <c r="F17" i="1"/>
  <c r="G17" i="1" s="1"/>
  <c r="I17" i="1" s="1"/>
  <c r="J17" i="1" s="1"/>
  <c r="F18" i="1"/>
  <c r="G18" i="1" s="1"/>
  <c r="I18" i="1" s="1"/>
  <c r="J18" i="1" s="1"/>
  <c r="F19" i="1"/>
  <c r="F20" i="1"/>
  <c r="G20" i="1" s="1"/>
  <c r="F22" i="1"/>
  <c r="G22" i="1" s="1"/>
  <c r="I22" i="1" s="1"/>
  <c r="J22" i="1" s="1"/>
  <c r="F23" i="1"/>
  <c r="G23" i="1" s="1"/>
  <c r="F10" i="1"/>
  <c r="G10" i="1" s="1"/>
  <c r="L8" i="2" l="1"/>
  <c r="L18" i="2"/>
  <c r="L14" i="2"/>
  <c r="L9" i="2"/>
  <c r="I22" i="2"/>
  <c r="I23" i="2"/>
  <c r="I11" i="1"/>
  <c r="K22" i="1"/>
  <c r="K18" i="1"/>
  <c r="K14" i="1"/>
  <c r="K21" i="1"/>
  <c r="K17" i="1"/>
  <c r="K13" i="1"/>
  <c r="I20" i="1"/>
  <c r="I16" i="1"/>
  <c r="I12" i="1"/>
  <c r="I23" i="1"/>
  <c r="I19" i="1"/>
  <c r="I15" i="1"/>
  <c r="L24" i="1"/>
  <c r="L23" i="2" l="1"/>
  <c r="L22" i="2"/>
  <c r="L2" i="2" s="1"/>
  <c r="M2" i="2" s="1"/>
  <c r="J19" i="1"/>
  <c r="K19" i="1"/>
  <c r="J20" i="1"/>
  <c r="K20" i="1"/>
  <c r="J23" i="1"/>
  <c r="K23" i="1"/>
  <c r="J10" i="1"/>
  <c r="K10" i="1"/>
  <c r="K24" i="1" s="1"/>
  <c r="I24" i="1"/>
  <c r="J11" i="1"/>
  <c r="K11" i="1"/>
  <c r="J12" i="1"/>
  <c r="K12" i="1"/>
  <c r="J15" i="1"/>
  <c r="K15" i="1"/>
  <c r="J16" i="1"/>
  <c r="K16" i="1"/>
  <c r="J24" i="1" l="1"/>
  <c r="K4" i="1"/>
  <c r="K5" i="1" s="1"/>
  <c r="N10" i="1" l="1"/>
  <c r="N13" i="1"/>
  <c r="O13" i="1" s="1"/>
  <c r="N17" i="1"/>
  <c r="O17" i="1" s="1"/>
  <c r="N12" i="1"/>
  <c r="O12" i="1" s="1"/>
  <c r="N21" i="1"/>
  <c r="O21" i="1" s="1"/>
  <c r="N23" i="1"/>
  <c r="O23" i="1" s="1"/>
  <c r="N14" i="1"/>
  <c r="O14" i="1" s="1"/>
  <c r="N19" i="1"/>
  <c r="O19" i="1" s="1"/>
  <c r="N11" i="1"/>
  <c r="O11" i="1" s="1"/>
  <c r="N18" i="1"/>
  <c r="O18" i="1" s="1"/>
  <c r="N22" i="1"/>
  <c r="O22" i="1" s="1"/>
  <c r="N20" i="1"/>
  <c r="O20" i="1" s="1"/>
  <c r="N16" i="1"/>
  <c r="O16" i="1" s="1"/>
  <c r="N15" i="1"/>
  <c r="O15" i="1" s="1"/>
  <c r="O10" i="1"/>
  <c r="O24" i="1" s="1"/>
  <c r="N24" i="1"/>
  <c r="L5" i="1" l="1"/>
  <c r="M5" i="1" s="1"/>
  <c r="L4" i="1"/>
  <c r="M4" i="1" s="1"/>
</calcChain>
</file>

<file path=xl/sharedStrings.xml><?xml version="1.0" encoding="utf-8"?>
<sst xmlns="http://schemas.openxmlformats.org/spreadsheetml/2006/main" count="50" uniqueCount="33">
  <si>
    <t>sin(a)/sin(f-a)</t>
  </si>
  <si>
    <t>n</t>
  </si>
  <si>
    <t>R</t>
  </si>
  <si>
    <t>мню_0</t>
  </si>
  <si>
    <t>I1, мА</t>
  </si>
  <si>
    <t>I2, мА</t>
  </si>
  <si>
    <t>I3, мА</t>
  </si>
  <si>
    <t>alpha, град</t>
  </si>
  <si>
    <t>&lt;I&gt;, мА</t>
  </si>
  <si>
    <t>B_c, Тл</t>
  </si>
  <si>
    <t>&lt;I&gt;, А</t>
  </si>
  <si>
    <t>B_c, мкТл</t>
  </si>
  <si>
    <t>phi</t>
  </si>
  <si>
    <t>B*alpha</t>
  </si>
  <si>
    <t>alpha^2</t>
  </si>
  <si>
    <t>Угол A</t>
  </si>
  <si>
    <t>B</t>
  </si>
  <si>
    <t>знач</t>
  </si>
  <si>
    <t>сигма</t>
  </si>
  <si>
    <t>погрешность</t>
  </si>
  <si>
    <t>Коэф. Стьюдента( 0.95, 14)</t>
  </si>
  <si>
    <t>D</t>
  </si>
  <si>
    <t>di</t>
  </si>
  <si>
    <t>di^2</t>
  </si>
  <si>
    <t>B^2</t>
  </si>
  <si>
    <t>alpha-alpср</t>
  </si>
  <si>
    <t>сумма</t>
  </si>
  <si>
    <t>среднее</t>
  </si>
  <si>
    <t>N</t>
  </si>
  <si>
    <t>sin(a)/sin(f-a)= gamma</t>
  </si>
  <si>
    <t>B_c*gamma</t>
  </si>
  <si>
    <t>(B_c-A*gamma)^2</t>
  </si>
  <si>
    <t>gamma*2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</si>
</sst>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1" fontId="0" fillId="2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0" fontId="0" fillId="3" borderId="2" xfId="0" applyFill="1" applyBorder="1"/>
    <xf numFmtId="1" fontId="0" fillId="0" borderId="0" xfId="0" applyNumberFormat="1"/>
    <xf numFmtId="164" fontId="0" fillId="0" borderId="0" xfId="0" applyNumberFormat="1"/>
    <xf numFmtId="1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2" fontId="0" fillId="0" borderId="0" xfId="0" applyNumberFormat="1"/>
    <xf numFmtId="1" fontId="0" fillId="4" borderId="1" xfId="0" applyNumberFormat="1" applyFill="1" applyBorder="1"/>
    <xf numFmtId="165" fontId="0" fillId="5" borderId="1" xfId="0" applyNumberFormat="1" applyFill="1" applyBorder="1"/>
    <xf numFmtId="0" fontId="0" fillId="2" borderId="0" xfId="0" applyFill="1"/>
    <xf numFmtId="2" fontId="0" fillId="5" borderId="1" xfId="0" applyNumberFormat="1" applyFill="1" applyBorder="1"/>
    <xf numFmtId="1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2" borderId="0" xfId="0" applyFill="1" applyBorder="1"/>
    <xf numFmtId="1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B_c</a:t>
            </a:r>
            <a:r>
              <a:rPr lang="ru-RU"/>
              <a:t>(</a:t>
            </a:r>
            <a:r>
              <a:rPr lang="el-GR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γ</a:t>
            </a:r>
            <a:r>
              <a:rPr lang="ru-RU" sz="1400" b="0" i="0" u="none" strike="noStrike" baseline="0">
                <a:effectLst/>
              </a:rPr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Лист1!$J$7</c:f>
              <c:strCache>
                <c:ptCount val="1"/>
                <c:pt idx="0">
                  <c:v>B_c, мкТл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layout>
                <c:manualLayout>
                  <c:x val="1.7764216972878392E-2"/>
                  <c:y val="-4.4052566345873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Лист1!$H$7:$H$21</c:f>
              <c:strCache>
                <c:ptCount val="15"/>
                <c:pt idx="0">
                  <c:v>sin(a)/sin(f-a)= gamma</c:v>
                </c:pt>
                <c:pt idx="1">
                  <c:v>0.35</c:v>
                </c:pt>
                <c:pt idx="2">
                  <c:v>0.53</c:v>
                </c:pt>
                <c:pt idx="3">
                  <c:v>0.65</c:v>
                </c:pt>
                <c:pt idx="4">
                  <c:v>0.74</c:v>
                </c:pt>
                <c:pt idx="5">
                  <c:v>0.82</c:v>
                </c:pt>
                <c:pt idx="6">
                  <c:v>0.88</c:v>
                </c:pt>
                <c:pt idx="7">
                  <c:v>0.94</c:v>
                </c:pt>
                <c:pt idx="8">
                  <c:v>1.00</c:v>
                </c:pt>
                <c:pt idx="9">
                  <c:v>1.06</c:v>
                </c:pt>
                <c:pt idx="10">
                  <c:v>1.14</c:v>
                </c:pt>
                <c:pt idx="11">
                  <c:v>1.23</c:v>
                </c:pt>
                <c:pt idx="12">
                  <c:v>1.35</c:v>
                </c:pt>
                <c:pt idx="13">
                  <c:v>1.53</c:v>
                </c:pt>
                <c:pt idx="14">
                  <c:v>1.88</c:v>
                </c:pt>
              </c:strCache>
            </c:strRef>
          </c:xVal>
          <c:yVal>
            <c:numRef>
              <c:f>Лист1!$J$8:$J$21</c:f>
              <c:numCache>
                <c:formatCode>0.0</c:formatCode>
                <c:ptCount val="14"/>
                <c:pt idx="0">
                  <c:v>4.5957899040408678</c:v>
                </c:pt>
                <c:pt idx="1">
                  <c:v>7.9926780939841162</c:v>
                </c:pt>
                <c:pt idx="2">
                  <c:v>10.590298474528955</c:v>
                </c:pt>
                <c:pt idx="3">
                  <c:v>12.388651045675383</c:v>
                </c:pt>
                <c:pt idx="4">
                  <c:v>14.386820569171409</c:v>
                </c:pt>
                <c:pt idx="5">
                  <c:v>15.985356187968232</c:v>
                </c:pt>
                <c:pt idx="6">
                  <c:v>16.784623997366644</c:v>
                </c:pt>
                <c:pt idx="7">
                  <c:v>17.184257902065852</c:v>
                </c:pt>
                <c:pt idx="8">
                  <c:v>18.582976568513072</c:v>
                </c:pt>
                <c:pt idx="9">
                  <c:v>20.381329139659496</c:v>
                </c:pt>
                <c:pt idx="10">
                  <c:v>22.779132567854731</c:v>
                </c:pt>
                <c:pt idx="11">
                  <c:v>25.776386853098778</c:v>
                </c:pt>
                <c:pt idx="12">
                  <c:v>32.769980185334873</c:v>
                </c:pt>
                <c:pt idx="13">
                  <c:v>56.348380562588019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F2B-AFEC-3B21B4A6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88496"/>
        <c:axId val="534889152"/>
      </c:scatterChart>
      <c:valAx>
        <c:axId val="5348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γ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889152"/>
        <c:crosses val="autoZero"/>
        <c:crossBetween val="midCat"/>
      </c:valAx>
      <c:valAx>
        <c:axId val="534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В_с,</a:t>
                </a:r>
                <a:r>
                  <a:rPr lang="ru-RU" baseline="0"/>
                  <a:t> мкТл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8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B_c</a:t>
            </a:r>
            <a:r>
              <a:rPr lang="en-US" baseline="0"/>
              <a:t> (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'МНК для A,B'!$J$9</c:f>
              <c:strCache>
                <c:ptCount val="1"/>
                <c:pt idx="0">
                  <c:v>B_c, мкТл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-4.3346894138232721E-2"/>
                  <c:y val="-5.3311825605132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'МНК для A,B'!$B$10:$B$23</c:f>
              <c:numCache>
                <c:formatCode>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'МНК для A,B'!$J$10:$J$23</c:f>
              <c:numCache>
                <c:formatCode>0.0</c:formatCode>
                <c:ptCount val="14"/>
                <c:pt idx="0">
                  <c:v>4.5957899040408678</c:v>
                </c:pt>
                <c:pt idx="1">
                  <c:v>7.9926780939841162</c:v>
                </c:pt>
                <c:pt idx="2">
                  <c:v>10.590298474528955</c:v>
                </c:pt>
                <c:pt idx="3">
                  <c:v>12.388651045675383</c:v>
                </c:pt>
                <c:pt idx="4">
                  <c:v>14.386820569171409</c:v>
                </c:pt>
                <c:pt idx="5">
                  <c:v>15.985356187968232</c:v>
                </c:pt>
                <c:pt idx="6">
                  <c:v>16.784623997366644</c:v>
                </c:pt>
                <c:pt idx="7">
                  <c:v>17.184257902065852</c:v>
                </c:pt>
                <c:pt idx="8">
                  <c:v>18.582976568513072</c:v>
                </c:pt>
                <c:pt idx="9">
                  <c:v>20.381329139659496</c:v>
                </c:pt>
                <c:pt idx="10">
                  <c:v>22.779132567854731</c:v>
                </c:pt>
                <c:pt idx="11">
                  <c:v>25.776386853098778</c:v>
                </c:pt>
                <c:pt idx="12">
                  <c:v>32.769980185334873</c:v>
                </c:pt>
                <c:pt idx="13">
                  <c:v>56.348380562588019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5-41B5-B982-BEB227D4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3288"/>
        <c:axId val="544886728"/>
      </c:scatterChart>
      <c:valAx>
        <c:axId val="54489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</a:t>
                </a:r>
                <a:r>
                  <a:rPr lang="ru-RU" baseline="0"/>
                  <a:t>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градусы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86728"/>
        <c:crosses val="autoZero"/>
        <c:crossBetween val="midCat"/>
      </c:valAx>
      <c:valAx>
        <c:axId val="5448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B_c,</a:t>
                </a:r>
                <a:r>
                  <a:rPr lang="en-US" baseline="0"/>
                  <a:t> </a:t>
                </a:r>
                <a:r>
                  <a:rPr lang="ru-RU" baseline="0"/>
                  <a:t>мкТЛ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9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23</xdr:row>
      <xdr:rowOff>85725</xdr:rowOff>
    </xdr:from>
    <xdr:to>
      <xdr:col>7</xdr:col>
      <xdr:colOff>841375</xdr:colOff>
      <xdr:row>38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B994D2-B21C-4F11-A43A-B0BF4EE09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458368</xdr:colOff>
      <xdr:row>25</xdr:row>
      <xdr:rowOff>150210</xdr:rowOff>
    </xdr:from>
    <xdr:to>
      <xdr:col>6</xdr:col>
      <xdr:colOff>505081</xdr:colOff>
      <xdr:row>40</xdr:row>
      <xdr:rowOff>156341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A675E1-D921-4A78-825E-4D1A315F8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F670-0EFC-4610-BE61-FCC7731BBB2A}">
  <dimension ref="A1:Q23"/>
  <sheetViews>
    <sheetView tabSelected="1" topLeftCell="A12" workbookViewId="0">
      <selection activeCell="H27" sqref="H27"/>
    </sheetView>
  </sheetViews>
  <sheetFormatPr defaultRowHeight="14.5" x14ac:dyDescent="0.35"/>
  <cols>
    <col min="8" max="8" width="19.08984375" customWidth="1"/>
    <col min="11" max="11" width="10.1796875" customWidth="1"/>
    <col min="12" max="12" width="16" customWidth="1"/>
  </cols>
  <sheetData>
    <row r="1" spans="2:17" x14ac:dyDescent="0.35">
      <c r="B1" t="s">
        <v>3</v>
      </c>
      <c r="C1">
        <v>1.2566370614359173E-6</v>
      </c>
      <c r="F1" t="s">
        <v>20</v>
      </c>
      <c r="H1">
        <v>1.7609999999999999</v>
      </c>
      <c r="K1" t="s">
        <v>17</v>
      </c>
      <c r="L1" t="s">
        <v>18</v>
      </c>
      <c r="M1" t="s">
        <v>19</v>
      </c>
    </row>
    <row r="2" spans="2:17" x14ac:dyDescent="0.35">
      <c r="B2" t="s">
        <v>1</v>
      </c>
      <c r="C2">
        <v>100</v>
      </c>
      <c r="J2" t="s">
        <v>15</v>
      </c>
      <c r="K2" s="18">
        <f>K22/M22</f>
        <v>2.0973811298150541E-5</v>
      </c>
      <c r="L2" s="18">
        <f>SQRT(L22/((C5-1)*M22))</f>
        <v>1.374835172239311E-6</v>
      </c>
      <c r="M2" s="18">
        <f>H1*L2</f>
        <v>2.4210847383134267E-6</v>
      </c>
    </row>
    <row r="3" spans="2:17" x14ac:dyDescent="0.35">
      <c r="B3" t="s">
        <v>2</v>
      </c>
      <c r="C3">
        <v>0.15</v>
      </c>
      <c r="D3">
        <v>1.4999999999999999E-2</v>
      </c>
    </row>
    <row r="4" spans="2:17" x14ac:dyDescent="0.35">
      <c r="B4" t="s">
        <v>12</v>
      </c>
      <c r="C4">
        <v>160</v>
      </c>
      <c r="K4" s="6"/>
    </row>
    <row r="5" spans="2:17" x14ac:dyDescent="0.35">
      <c r="B5" t="s">
        <v>28</v>
      </c>
      <c r="C5">
        <v>14</v>
      </c>
    </row>
    <row r="7" spans="2:17" x14ac:dyDescent="0.35">
      <c r="B7" s="1" t="s">
        <v>7</v>
      </c>
      <c r="C7" s="1" t="s">
        <v>4</v>
      </c>
      <c r="D7" s="1" t="s">
        <v>5</v>
      </c>
      <c r="E7" s="1" t="s">
        <v>6</v>
      </c>
      <c r="F7" s="1" t="s">
        <v>8</v>
      </c>
      <c r="G7" s="16" t="s">
        <v>10</v>
      </c>
      <c r="H7" s="1" t="s">
        <v>29</v>
      </c>
      <c r="I7" s="16" t="s">
        <v>9</v>
      </c>
      <c r="J7" s="1" t="s">
        <v>11</v>
      </c>
      <c r="K7" s="16" t="s">
        <v>30</v>
      </c>
      <c r="L7" s="22" t="s">
        <v>31</v>
      </c>
      <c r="M7" s="22" t="s">
        <v>32</v>
      </c>
      <c r="N7" s="19"/>
      <c r="O7" s="19"/>
      <c r="P7" s="19"/>
      <c r="Q7" s="19"/>
    </row>
    <row r="8" spans="2:17" x14ac:dyDescent="0.35">
      <c r="B8" s="14">
        <v>10</v>
      </c>
      <c r="C8" s="14">
        <v>7</v>
      </c>
      <c r="D8" s="14">
        <v>8</v>
      </c>
      <c r="E8" s="14">
        <v>8</v>
      </c>
      <c r="F8" s="15">
        <f>AVERAGE(C8:E8)</f>
        <v>7.666666666666667</v>
      </c>
      <c r="G8" s="13">
        <f>F8*0.001</f>
        <v>7.6666666666666671E-3</v>
      </c>
      <c r="H8" s="17">
        <v>0.347296355333861</v>
      </c>
      <c r="I8" s="18">
        <f>(4/5)^(3/2)*$C$1*$C$2/$C$3*G8</f>
        <v>4.5957899040408676E-6</v>
      </c>
      <c r="J8" s="15">
        <f>I8*10^6</f>
        <v>4.5957899040408678</v>
      </c>
      <c r="K8" s="18">
        <f>I8*H8</f>
        <v>1.5961010835535482E-6</v>
      </c>
      <c r="L8" s="23">
        <f>(I8-$K$2*H8)^2</f>
        <v>7.227162908085811E-12</v>
      </c>
      <c r="M8" s="21">
        <f>H8*H8</f>
        <v>0.12061475842818344</v>
      </c>
      <c r="N8" s="21"/>
      <c r="O8" s="21"/>
      <c r="P8" s="20"/>
      <c r="Q8" s="19"/>
    </row>
    <row r="9" spans="2:17" x14ac:dyDescent="0.35">
      <c r="B9" s="14">
        <v>20</v>
      </c>
      <c r="C9" s="14">
        <v>12</v>
      </c>
      <c r="D9" s="14">
        <v>13</v>
      </c>
      <c r="E9" s="14">
        <v>15</v>
      </c>
      <c r="F9" s="15">
        <f t="shared" ref="F9:F21" si="0">AVERAGE(C9:E9)</f>
        <v>13.333333333333334</v>
      </c>
      <c r="G9" s="13">
        <f t="shared" ref="G9:G21" si="1">F9*0.001</f>
        <v>1.3333333333333334E-2</v>
      </c>
      <c r="H9" s="17">
        <v>0.53208888623795592</v>
      </c>
      <c r="I9" s="18">
        <f>(4/5)^(3/2)*$C$1*$C$2/$C$3*G9</f>
        <v>7.9926780939841165E-6</v>
      </c>
      <c r="J9" s="15">
        <f t="shared" ref="J9:J21" si="2">I9*10^6</f>
        <v>7.9926780939841162</v>
      </c>
      <c r="K9" s="18">
        <f t="shared" ref="K9:K21" si="3">I9*H9</f>
        <v>4.2528151850865173E-6</v>
      </c>
      <c r="L9" s="23">
        <f t="shared" ref="L9:L21" si="4">(I9-$K$2*H9)^2</f>
        <v>1.0031496632435344E-11</v>
      </c>
      <c r="M9" s="21">
        <f t="shared" ref="M9:M21" si="5">H9*H9</f>
        <v>0.28311858285794839</v>
      </c>
      <c r="N9" s="13"/>
      <c r="O9" s="13"/>
      <c r="P9" s="8"/>
    </row>
    <row r="10" spans="2:17" x14ac:dyDescent="0.35">
      <c r="B10" s="14">
        <v>30</v>
      </c>
      <c r="C10" s="14">
        <v>18</v>
      </c>
      <c r="D10" s="14">
        <v>17</v>
      </c>
      <c r="E10" s="14">
        <v>18</v>
      </c>
      <c r="F10" s="15">
        <f t="shared" si="0"/>
        <v>17.666666666666668</v>
      </c>
      <c r="G10" s="13">
        <f t="shared" si="1"/>
        <v>1.7666666666666667E-2</v>
      </c>
      <c r="H10" s="17">
        <v>0.65270364466613928</v>
      </c>
      <c r="I10" s="18">
        <f t="shared" ref="I10:I21" si="6">(4/5)^(3/2)*$C$1*$C$2/$C$3*G10</f>
        <v>1.0590298474528955E-5</v>
      </c>
      <c r="J10" s="15">
        <f t="shared" si="2"/>
        <v>10.590298474528955</v>
      </c>
      <c r="K10" s="18">
        <f t="shared" si="3"/>
        <v>6.9123264124273039E-6</v>
      </c>
      <c r="L10" s="23">
        <f t="shared" si="4"/>
        <v>9.6061849130595867E-12</v>
      </c>
      <c r="M10" s="21">
        <f t="shared" si="5"/>
        <v>0.42602204776046182</v>
      </c>
      <c r="N10" s="13"/>
      <c r="O10" s="13"/>
      <c r="P10" s="8"/>
    </row>
    <row r="11" spans="2:17" x14ac:dyDescent="0.35">
      <c r="B11" s="14">
        <v>40</v>
      </c>
      <c r="C11" s="14">
        <v>21</v>
      </c>
      <c r="D11" s="14">
        <v>20</v>
      </c>
      <c r="E11" s="14">
        <v>21</v>
      </c>
      <c r="F11" s="15">
        <f t="shared" si="0"/>
        <v>20.666666666666668</v>
      </c>
      <c r="G11" s="13">
        <f t="shared" si="1"/>
        <v>2.066666666666667E-2</v>
      </c>
      <c r="H11" s="17">
        <v>0.74222719896855904</v>
      </c>
      <c r="I11" s="18">
        <f t="shared" si="6"/>
        <v>1.2388651045675382E-5</v>
      </c>
      <c r="J11" s="15">
        <f t="shared" si="2"/>
        <v>12.388651045675383</v>
      </c>
      <c r="K11" s="18">
        <f t="shared" si="3"/>
        <v>9.1951937646305486E-6</v>
      </c>
      <c r="L11" s="23">
        <f t="shared" si="4"/>
        <v>1.010402031146748E-11</v>
      </c>
      <c r="M11" s="21">
        <f t="shared" si="5"/>
        <v>0.55090121488871291</v>
      </c>
      <c r="N11" s="13"/>
      <c r="O11" s="13"/>
      <c r="P11" s="8"/>
    </row>
    <row r="12" spans="2:17" x14ac:dyDescent="0.35">
      <c r="B12" s="14">
        <v>50</v>
      </c>
      <c r="C12" s="14">
        <v>23</v>
      </c>
      <c r="D12" s="14">
        <v>25</v>
      </c>
      <c r="E12" s="14">
        <v>24</v>
      </c>
      <c r="F12" s="15">
        <f t="shared" si="0"/>
        <v>24</v>
      </c>
      <c r="G12" s="13">
        <f t="shared" si="1"/>
        <v>2.4E-2</v>
      </c>
      <c r="H12" s="17">
        <v>0.81520746909590458</v>
      </c>
      <c r="I12" s="18">
        <f t="shared" si="6"/>
        <v>1.4386820569171409E-5</v>
      </c>
      <c r="J12" s="15">
        <f t="shared" si="2"/>
        <v>14.386820569171409</v>
      </c>
      <c r="K12" s="18">
        <f t="shared" si="3"/>
        <v>1.1728243584531126E-5</v>
      </c>
      <c r="L12" s="23">
        <f t="shared" si="4"/>
        <v>7.3505352552733955E-12</v>
      </c>
      <c r="M12" s="21">
        <f t="shared" si="5"/>
        <v>0.66456321766975024</v>
      </c>
      <c r="N12" s="13"/>
      <c r="O12" s="13"/>
      <c r="P12" s="8"/>
    </row>
    <row r="13" spans="2:17" x14ac:dyDescent="0.35">
      <c r="B13" s="14">
        <v>60</v>
      </c>
      <c r="C13" s="14">
        <v>27</v>
      </c>
      <c r="D13" s="14">
        <v>26</v>
      </c>
      <c r="E13" s="14">
        <v>27</v>
      </c>
      <c r="F13" s="15">
        <f t="shared" si="0"/>
        <v>26.666666666666668</v>
      </c>
      <c r="G13" s="13">
        <f t="shared" si="1"/>
        <v>2.6666666666666668E-2</v>
      </c>
      <c r="H13" s="17">
        <v>0.87938524157181674</v>
      </c>
      <c r="I13" s="18">
        <f t="shared" si="6"/>
        <v>1.5985356187968233E-5</v>
      </c>
      <c r="J13" s="15">
        <f t="shared" si="2"/>
        <v>15.985356187968232</v>
      </c>
      <c r="K13" s="18">
        <f t="shared" si="3"/>
        <v>1.4057286312967979E-5</v>
      </c>
      <c r="L13" s="23">
        <f t="shared" si="4"/>
        <v>6.0452250013217603E-12</v>
      </c>
      <c r="M13" s="21">
        <f t="shared" si="5"/>
        <v>0.77331840309432254</v>
      </c>
      <c r="N13" s="13"/>
      <c r="O13" s="13"/>
      <c r="P13" s="8"/>
    </row>
    <row r="14" spans="2:17" x14ac:dyDescent="0.35">
      <c r="B14" s="14">
        <v>70</v>
      </c>
      <c r="C14" s="14">
        <v>28</v>
      </c>
      <c r="D14" s="14">
        <v>28</v>
      </c>
      <c r="E14" s="14">
        <v>28</v>
      </c>
      <c r="F14" s="15">
        <f t="shared" si="0"/>
        <v>28</v>
      </c>
      <c r="G14" s="13">
        <f t="shared" si="1"/>
        <v>2.8000000000000001E-2</v>
      </c>
      <c r="H14" s="17">
        <v>0.93969262078590832</v>
      </c>
      <c r="I14" s="18">
        <f t="shared" si="6"/>
        <v>1.6784623997366643E-5</v>
      </c>
      <c r="J14" s="15">
        <f t="shared" si="2"/>
        <v>16.784623997366644</v>
      </c>
      <c r="K14" s="18">
        <f t="shared" si="3"/>
        <v>1.5772387312991511E-5</v>
      </c>
      <c r="L14" s="23">
        <f t="shared" si="4"/>
        <v>8.5515989729241065E-12</v>
      </c>
      <c r="M14" s="21">
        <f t="shared" si="5"/>
        <v>0.88302222155948884</v>
      </c>
      <c r="N14" s="13"/>
      <c r="O14" s="13"/>
      <c r="P14" s="8"/>
    </row>
    <row r="15" spans="2:17" x14ac:dyDescent="0.35">
      <c r="B15" s="14">
        <v>80</v>
      </c>
      <c r="C15" s="14">
        <v>29</v>
      </c>
      <c r="D15" s="14">
        <v>28</v>
      </c>
      <c r="E15" s="14">
        <v>29</v>
      </c>
      <c r="F15" s="15">
        <f t="shared" si="0"/>
        <v>28.666666666666668</v>
      </c>
      <c r="G15" s="13">
        <f t="shared" si="1"/>
        <v>2.866666666666667E-2</v>
      </c>
      <c r="H15" s="17">
        <v>1</v>
      </c>
      <c r="I15" s="18">
        <f t="shared" si="6"/>
        <v>1.7184257902065853E-5</v>
      </c>
      <c r="J15" s="15">
        <f t="shared" si="2"/>
        <v>17.184257902065852</v>
      </c>
      <c r="K15" s="18">
        <f t="shared" si="3"/>
        <v>1.7184257902065853E-5</v>
      </c>
      <c r="L15" s="23">
        <f t="shared" si="4"/>
        <v>1.4360714941776993E-11</v>
      </c>
      <c r="M15" s="21">
        <f t="shared" si="5"/>
        <v>1</v>
      </c>
      <c r="N15" s="13"/>
      <c r="O15" s="13"/>
      <c r="P15" s="8"/>
    </row>
    <row r="16" spans="2:17" x14ac:dyDescent="0.35">
      <c r="B16" s="14">
        <v>90</v>
      </c>
      <c r="C16" s="14">
        <v>31</v>
      </c>
      <c r="D16" s="14">
        <v>31</v>
      </c>
      <c r="E16" s="14">
        <v>31</v>
      </c>
      <c r="F16" s="15">
        <f t="shared" si="0"/>
        <v>31</v>
      </c>
      <c r="G16" s="13">
        <f t="shared" si="1"/>
        <v>3.1E-2</v>
      </c>
      <c r="H16" s="17">
        <v>1.0641777724759123</v>
      </c>
      <c r="I16" s="18">
        <f t="shared" si="6"/>
        <v>1.858297656851307E-5</v>
      </c>
      <c r="J16" s="15">
        <f t="shared" si="2"/>
        <v>18.582976568513072</v>
      </c>
      <c r="K16" s="18">
        <f t="shared" si="3"/>
        <v>1.977559061065231E-5</v>
      </c>
      <c r="L16" s="23">
        <f t="shared" si="4"/>
        <v>1.3964326088145099E-11</v>
      </c>
      <c r="M16" s="21">
        <f t="shared" si="5"/>
        <v>1.1324743314317944</v>
      </c>
      <c r="N16" s="13"/>
      <c r="O16" s="13"/>
      <c r="P16" s="8"/>
    </row>
    <row r="17" spans="1:17" x14ac:dyDescent="0.35">
      <c r="B17" s="14">
        <v>100</v>
      </c>
      <c r="C17" s="14">
        <v>34</v>
      </c>
      <c r="D17" s="14">
        <v>34</v>
      </c>
      <c r="E17" s="14">
        <v>34</v>
      </c>
      <c r="F17" s="15">
        <f t="shared" si="0"/>
        <v>34</v>
      </c>
      <c r="G17" s="13">
        <f t="shared" si="1"/>
        <v>3.4000000000000002E-2</v>
      </c>
      <c r="H17" s="17">
        <v>1.1371580426032577</v>
      </c>
      <c r="I17" s="18">
        <f t="shared" si="6"/>
        <v>2.0381329139659497E-5</v>
      </c>
      <c r="J17" s="15">
        <f t="shared" si="2"/>
        <v>20.381329139659496</v>
      </c>
      <c r="K17" s="18">
        <f t="shared" si="3"/>
        <v>2.3176792350107932E-5</v>
      </c>
      <c r="L17" s="23">
        <f t="shared" si="4"/>
        <v>1.2035411516386531E-11</v>
      </c>
      <c r="M17" s="21">
        <f t="shared" si="5"/>
        <v>1.2931284138572725</v>
      </c>
      <c r="N17" s="13"/>
      <c r="O17" s="13"/>
      <c r="P17" s="8"/>
    </row>
    <row r="18" spans="1:17" x14ac:dyDescent="0.35">
      <c r="B18" s="14">
        <v>110</v>
      </c>
      <c r="C18" s="14">
        <v>38</v>
      </c>
      <c r="D18" s="14">
        <v>38</v>
      </c>
      <c r="E18" s="14">
        <v>38</v>
      </c>
      <c r="F18" s="15">
        <f t="shared" si="0"/>
        <v>38</v>
      </c>
      <c r="G18" s="13">
        <f t="shared" si="1"/>
        <v>3.7999999999999999E-2</v>
      </c>
      <c r="H18" s="17">
        <v>1.2266815969056775</v>
      </c>
      <c r="I18" s="18">
        <f t="shared" si="6"/>
        <v>2.2779132567854731E-5</v>
      </c>
      <c r="J18" s="15">
        <f t="shared" si="2"/>
        <v>22.779132567854731</v>
      </c>
      <c r="K18" s="18">
        <f t="shared" si="3"/>
        <v>2.7942742714462168E-5</v>
      </c>
      <c r="L18" s="23">
        <f t="shared" si="4"/>
        <v>8.6969299260706097E-12</v>
      </c>
      <c r="M18" s="21">
        <f t="shared" si="5"/>
        <v>1.504747740187063</v>
      </c>
      <c r="N18" s="13"/>
      <c r="O18" s="13"/>
      <c r="P18" s="8"/>
    </row>
    <row r="19" spans="1:17" x14ac:dyDescent="0.35">
      <c r="B19" s="14">
        <v>120</v>
      </c>
      <c r="C19" s="14">
        <v>43</v>
      </c>
      <c r="D19" s="14">
        <v>43</v>
      </c>
      <c r="E19" s="14">
        <v>43</v>
      </c>
      <c r="F19" s="15">
        <f t="shared" si="0"/>
        <v>43</v>
      </c>
      <c r="G19" s="13">
        <f t="shared" si="1"/>
        <v>4.3000000000000003E-2</v>
      </c>
      <c r="H19" s="17">
        <v>1.3472963553338611</v>
      </c>
      <c r="I19" s="18">
        <f t="shared" si="6"/>
        <v>2.5776386853098778E-5</v>
      </c>
      <c r="J19" s="15">
        <f t="shared" si="2"/>
        <v>25.776386853098778</v>
      </c>
      <c r="K19" s="18">
        <f t="shared" si="3"/>
        <v>3.4728432060855636E-5</v>
      </c>
      <c r="L19" s="23">
        <f t="shared" si="4"/>
        <v>6.1581036359164506E-12</v>
      </c>
      <c r="M19" s="21">
        <f t="shared" si="5"/>
        <v>1.8152074690959057</v>
      </c>
      <c r="N19" s="13"/>
      <c r="O19" s="13"/>
      <c r="P19" s="8"/>
    </row>
    <row r="20" spans="1:17" x14ac:dyDescent="0.35">
      <c r="B20" s="14">
        <v>130</v>
      </c>
      <c r="C20" s="14">
        <v>54</v>
      </c>
      <c r="D20" s="14">
        <v>55</v>
      </c>
      <c r="E20" s="14">
        <v>55</v>
      </c>
      <c r="F20" s="15">
        <f t="shared" si="0"/>
        <v>54.666666666666664</v>
      </c>
      <c r="G20" s="13">
        <f t="shared" si="1"/>
        <v>5.4666666666666662E-2</v>
      </c>
      <c r="H20" s="17">
        <v>1.5320888862379562</v>
      </c>
      <c r="I20" s="18">
        <f t="shared" si="6"/>
        <v>3.2769980185334873E-5</v>
      </c>
      <c r="J20" s="15">
        <f t="shared" si="2"/>
        <v>32.769980185334873</v>
      </c>
      <c r="K20" s="18">
        <f t="shared" si="3"/>
        <v>5.0206522444189602E-5</v>
      </c>
      <c r="L20" s="23">
        <f t="shared" si="4"/>
        <v>4.0479751175329822E-13</v>
      </c>
      <c r="M20" s="21">
        <f t="shared" si="5"/>
        <v>2.3472963553338611</v>
      </c>
      <c r="N20" s="13"/>
      <c r="O20" s="13"/>
      <c r="P20" s="8"/>
    </row>
    <row r="21" spans="1:17" x14ac:dyDescent="0.35">
      <c r="B21" s="14">
        <v>140</v>
      </c>
      <c r="C21" s="14">
        <v>91</v>
      </c>
      <c r="D21" s="14">
        <v>95</v>
      </c>
      <c r="E21" s="14">
        <v>96</v>
      </c>
      <c r="F21" s="15">
        <f t="shared" si="0"/>
        <v>94</v>
      </c>
      <c r="G21" s="13">
        <f t="shared" si="1"/>
        <v>9.4E-2</v>
      </c>
      <c r="H21" s="17">
        <v>1.8793852415718173</v>
      </c>
      <c r="I21" s="18">
        <f t="shared" si="6"/>
        <v>5.6348380562588017E-5</v>
      </c>
      <c r="J21" s="15">
        <f t="shared" si="2"/>
        <v>56.348380562588019</v>
      </c>
      <c r="K21" s="18">
        <f t="shared" si="3"/>
        <v>1.0590031481580018E-4</v>
      </c>
      <c r="L21" s="23">
        <f t="shared" si="4"/>
        <v>2.866421400556028E-10</v>
      </c>
      <c r="M21" s="21">
        <f t="shared" si="5"/>
        <v>3.532088886237958</v>
      </c>
      <c r="N21" s="13"/>
      <c r="O21" s="13"/>
      <c r="P21" s="8"/>
    </row>
    <row r="22" spans="1:17" x14ac:dyDescent="0.35">
      <c r="A22" t="s">
        <v>26</v>
      </c>
      <c r="B22" s="8"/>
      <c r="C22" s="8"/>
      <c r="D22" s="8"/>
      <c r="E22" s="8"/>
      <c r="F22" s="8"/>
      <c r="G22" s="8"/>
      <c r="H22" s="18">
        <f t="shared" ref="H22:I22" si="7">SUM(H8:H21)</f>
        <v>14.095389311788628</v>
      </c>
      <c r="I22" s="18">
        <f t="shared" si="7"/>
        <v>2.7654666205185043E-4</v>
      </c>
      <c r="J22" s="8"/>
      <c r="K22" s="18">
        <f>SUM(K8:K21)</f>
        <v>3.4242900655432219E-4</v>
      </c>
      <c r="L22" s="18">
        <f>SUM(L8:L21)</f>
        <v>4.0117864767021927E-10</v>
      </c>
      <c r="M22" s="18">
        <f>SUM(M8:M21)</f>
        <v>16.326503642402724</v>
      </c>
      <c r="N22" s="8"/>
      <c r="O22" s="8"/>
      <c r="P22" s="8"/>
      <c r="Q22" s="8"/>
    </row>
    <row r="23" spans="1:17" x14ac:dyDescent="0.35">
      <c r="A23" t="s">
        <v>27</v>
      </c>
      <c r="B23" s="8"/>
      <c r="C23" s="8"/>
      <c r="D23" s="8"/>
      <c r="E23" s="8"/>
      <c r="F23" s="8"/>
      <c r="G23" s="8"/>
      <c r="H23" s="8"/>
      <c r="I23" s="18">
        <f t="shared" ref="I23:K23" si="8">AVERAGE(I8:I21)</f>
        <v>1.97533330037036E-5</v>
      </c>
      <c r="J23" s="8"/>
      <c r="K23" s="18">
        <f t="shared" si="8"/>
        <v>2.4459214753880156E-5</v>
      </c>
      <c r="L23" s="18">
        <f t="shared" ref="L23:M23" si="9">AVERAGE(L8:L21)</f>
        <v>2.8655617690729947E-11</v>
      </c>
      <c r="M23" s="18">
        <f t="shared" si="9"/>
        <v>1.1661788316001946</v>
      </c>
      <c r="N23" s="8"/>
      <c r="O23" s="8"/>
      <c r="P23" s="8"/>
      <c r="Q2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39"/>
  <sheetViews>
    <sheetView topLeftCell="A5" zoomScale="87" workbookViewId="0">
      <selection activeCell="I10" sqref="I10"/>
    </sheetView>
  </sheetViews>
  <sheetFormatPr defaultRowHeight="14.5" x14ac:dyDescent="0.35"/>
  <cols>
    <col min="2" max="3" width="11.90625" bestFit="1" customWidth="1"/>
    <col min="4" max="4" width="10.36328125" bestFit="1" customWidth="1"/>
    <col min="5" max="5" width="11.54296875" customWidth="1"/>
    <col min="6" max="6" width="10.36328125" bestFit="1" customWidth="1"/>
    <col min="7" max="7" width="10" bestFit="1" customWidth="1"/>
    <col min="8" max="8" width="12.81640625" customWidth="1"/>
    <col min="9" max="9" width="11.90625" bestFit="1" customWidth="1"/>
    <col min="10" max="10" width="10.36328125" bestFit="1" customWidth="1"/>
    <col min="11" max="11" width="11.81640625" bestFit="1" customWidth="1"/>
    <col min="12" max="13" width="12.1796875" bestFit="1" customWidth="1"/>
    <col min="14" max="14" width="11.6328125" customWidth="1"/>
    <col min="15" max="15" width="11.81640625" customWidth="1"/>
  </cols>
  <sheetData>
    <row r="3" spans="1:16" x14ac:dyDescent="0.35">
      <c r="B3" t="s">
        <v>3</v>
      </c>
      <c r="C3">
        <f>4*PI()*10^-7</f>
        <v>1.2566370614359173E-6</v>
      </c>
      <c r="F3" t="s">
        <v>20</v>
      </c>
      <c r="H3">
        <f>1.761</f>
        <v>1.7609999999999999</v>
      </c>
      <c r="K3" t="s">
        <v>17</v>
      </c>
      <c r="L3" t="s">
        <v>18</v>
      </c>
      <c r="M3" t="s">
        <v>19</v>
      </c>
    </row>
    <row r="4" spans="1:16" x14ac:dyDescent="0.35">
      <c r="B4" t="s">
        <v>1</v>
      </c>
      <c r="C4">
        <v>100</v>
      </c>
      <c r="J4" t="s">
        <v>15</v>
      </c>
      <c r="K4">
        <f>(K24-1/$A$23*I24*B24)/(L24-1/$A$23*B24^2)</f>
        <v>2.6217740780816043E-7</v>
      </c>
      <c r="L4">
        <f>SQRT(1/(K6*(A23-2))*O24)</f>
        <v>4.5158861351052963E-8</v>
      </c>
      <c r="M4">
        <f>L4*$H$3</f>
        <v>7.9524754839204259E-8</v>
      </c>
    </row>
    <row r="5" spans="1:16" x14ac:dyDescent="0.35">
      <c r="B5" t="s">
        <v>2</v>
      </c>
      <c r="C5">
        <v>0.15</v>
      </c>
      <c r="D5">
        <f xml:space="preserve"> 0.1*C5</f>
        <v>1.4999999999999999E-2</v>
      </c>
      <c r="J5" t="s">
        <v>16</v>
      </c>
      <c r="K5">
        <f>1/$A$23*(I24-B24*$K$4)</f>
        <v>9.0027418091567779E-8</v>
      </c>
      <c r="L5">
        <f>(1/A23+B25^2/K6)*O24/(A23-2)</f>
        <v>1.4785089999296277E-11</v>
      </c>
      <c r="M5">
        <f>L5*$H$3</f>
        <v>2.6036543488760741E-11</v>
      </c>
    </row>
    <row r="6" spans="1:16" x14ac:dyDescent="0.35">
      <c r="B6" t="s">
        <v>12</v>
      </c>
      <c r="C6">
        <v>160</v>
      </c>
      <c r="J6" t="s">
        <v>21</v>
      </c>
      <c r="K6" s="6">
        <f>P24</f>
        <v>22750</v>
      </c>
    </row>
    <row r="9" spans="1:16" x14ac:dyDescent="0.35">
      <c r="B9" s="1" t="s">
        <v>7</v>
      </c>
      <c r="C9" s="1" t="s">
        <v>4</v>
      </c>
      <c r="D9" s="1" t="s">
        <v>5</v>
      </c>
      <c r="E9" s="1" t="s">
        <v>6</v>
      </c>
      <c r="F9" s="2" t="s">
        <v>8</v>
      </c>
      <c r="G9" s="2" t="s">
        <v>10</v>
      </c>
      <c r="H9" s="2" t="s">
        <v>0</v>
      </c>
      <c r="I9" s="2" t="s">
        <v>9</v>
      </c>
      <c r="J9" s="2" t="s">
        <v>11</v>
      </c>
      <c r="K9" s="7" t="s">
        <v>13</v>
      </c>
      <c r="L9" s="7" t="s">
        <v>14</v>
      </c>
      <c r="M9" s="7" t="s">
        <v>24</v>
      </c>
      <c r="N9" s="7" t="s">
        <v>22</v>
      </c>
      <c r="O9" s="7" t="s">
        <v>23</v>
      </c>
      <c r="P9" s="7" t="s">
        <v>25</v>
      </c>
    </row>
    <row r="10" spans="1:16" x14ac:dyDescent="0.35">
      <c r="A10">
        <v>1</v>
      </c>
      <c r="B10" s="4">
        <v>10</v>
      </c>
      <c r="C10" s="4">
        <v>7</v>
      </c>
      <c r="D10" s="4">
        <v>8</v>
      </c>
      <c r="E10" s="4">
        <v>8</v>
      </c>
      <c r="F10" s="5">
        <f>AVERAGE(C10:E10)</f>
        <v>7.666666666666667</v>
      </c>
      <c r="G10" s="3">
        <f>0.001*F10</f>
        <v>7.6666666666666671E-3</v>
      </c>
      <c r="H10" s="3">
        <f t="shared" ref="H10:H23" si="0">SIN(RADIANS(B10))/SIN(RADIANS($C$6-B10))</f>
        <v>0.34729635533386072</v>
      </c>
      <c r="I10" s="3">
        <f>(4/5)^(3/2)*$C$3*$C$4/$C$5*G10</f>
        <v>4.5957899040408676E-6</v>
      </c>
      <c r="J10" s="5">
        <f>I10*10^(6)</f>
        <v>4.5957899040408678</v>
      </c>
      <c r="K10" s="9">
        <f>I10*B10</f>
        <v>4.5957899040408676E-5</v>
      </c>
      <c r="L10" s="8">
        <f>B10^2</f>
        <v>100</v>
      </c>
      <c r="M10" s="8">
        <f>I10^2</f>
        <v>2.1121284842083966E-11</v>
      </c>
      <c r="N10" s="9">
        <f t="shared" ref="N10:N23" si="1">I10-($K$5+$K$4*B10)</f>
        <v>1.8839884078676955E-6</v>
      </c>
      <c r="O10" s="9">
        <f xml:space="preserve"> N10^2</f>
        <v>3.5494123209798542E-12</v>
      </c>
      <c r="P10" s="8">
        <f>(B10-$B$25)^2</f>
        <v>4225</v>
      </c>
    </row>
    <row r="11" spans="1:16" x14ac:dyDescent="0.35">
      <c r="A11">
        <v>2</v>
      </c>
      <c r="B11" s="4">
        <v>20</v>
      </c>
      <c r="C11" s="4">
        <v>12</v>
      </c>
      <c r="D11" s="4">
        <v>13</v>
      </c>
      <c r="E11" s="4">
        <v>15</v>
      </c>
      <c r="F11" s="5">
        <f t="shared" ref="F11:F23" si="2">AVERAGE(C11:E11)</f>
        <v>13.333333333333334</v>
      </c>
      <c r="G11" s="3">
        <f t="shared" ref="G11:G23" si="3">0.001*F11</f>
        <v>1.3333333333333334E-2</v>
      </c>
      <c r="H11" s="3">
        <f t="shared" si="0"/>
        <v>0.53208888623795592</v>
      </c>
      <c r="I11" s="3">
        <f t="shared" ref="I11:I23" si="4">(4/5)^(3/2)*$C$3*$C$4/$C$5*G11</f>
        <v>7.9926780939841165E-6</v>
      </c>
      <c r="J11" s="5">
        <f t="shared" ref="J11:J23" si="5">I11*10^(6)</f>
        <v>7.9926780939841162</v>
      </c>
      <c r="K11" s="9">
        <f t="shared" ref="K11:K23" si="6">I11*B11</f>
        <v>1.5985356187968232E-4</v>
      </c>
      <c r="L11" s="8">
        <f t="shared" ref="L11:L23" si="7">B11^2</f>
        <v>400</v>
      </c>
      <c r="M11" s="8">
        <f t="shared" ref="M11:M22" si="8">I11^2</f>
        <v>6.3882903114053568E-11</v>
      </c>
      <c r="N11" s="9">
        <f t="shared" si="1"/>
        <v>2.6591025197293403E-6</v>
      </c>
      <c r="O11" s="9">
        <f t="shared" ref="O11:O23" si="9" xml:space="preserve"> N11^2</f>
        <v>7.0708262104309268E-12</v>
      </c>
      <c r="P11" s="8">
        <f t="shared" ref="P11:P23" si="10">(B11-$B$25)^2</f>
        <v>3025</v>
      </c>
    </row>
    <row r="12" spans="1:16" x14ac:dyDescent="0.35">
      <c r="A12">
        <v>3</v>
      </c>
      <c r="B12" s="4">
        <v>30</v>
      </c>
      <c r="C12" s="4">
        <v>18</v>
      </c>
      <c r="D12" s="4">
        <v>17</v>
      </c>
      <c r="E12" s="4">
        <v>18</v>
      </c>
      <c r="F12" s="5">
        <f t="shared" si="2"/>
        <v>17.666666666666668</v>
      </c>
      <c r="G12" s="3">
        <f t="shared" si="3"/>
        <v>1.7666666666666667E-2</v>
      </c>
      <c r="H12" s="3">
        <f t="shared" si="0"/>
        <v>0.65270364466613928</v>
      </c>
      <c r="I12" s="3">
        <f t="shared" si="4"/>
        <v>1.0590298474528955E-5</v>
      </c>
      <c r="J12" s="5">
        <f t="shared" si="5"/>
        <v>10.590298474528955</v>
      </c>
      <c r="K12" s="9">
        <f t="shared" si="6"/>
        <v>3.1770895423586864E-4</v>
      </c>
      <c r="L12" s="8">
        <f t="shared" si="7"/>
        <v>900</v>
      </c>
      <c r="M12" s="8">
        <f t="shared" si="8"/>
        <v>1.1215442177961032E-10</v>
      </c>
      <c r="N12" s="9">
        <f t="shared" si="1"/>
        <v>2.6349488221925749E-6</v>
      </c>
      <c r="O12" s="9">
        <f t="shared" si="9"/>
        <v>6.9429552955740375E-12</v>
      </c>
      <c r="P12" s="8">
        <f t="shared" si="10"/>
        <v>2025</v>
      </c>
    </row>
    <row r="13" spans="1:16" x14ac:dyDescent="0.35">
      <c r="A13">
        <v>4</v>
      </c>
      <c r="B13" s="4">
        <v>40</v>
      </c>
      <c r="C13" s="4">
        <v>21</v>
      </c>
      <c r="D13" s="4">
        <v>20</v>
      </c>
      <c r="E13" s="4">
        <v>21</v>
      </c>
      <c r="F13" s="5">
        <f t="shared" si="2"/>
        <v>20.666666666666668</v>
      </c>
      <c r="G13" s="3">
        <f t="shared" si="3"/>
        <v>2.066666666666667E-2</v>
      </c>
      <c r="H13" s="3">
        <f t="shared" si="0"/>
        <v>0.74222719896855904</v>
      </c>
      <c r="I13" s="3">
        <f t="shared" si="4"/>
        <v>1.2388651045675382E-5</v>
      </c>
      <c r="J13" s="5">
        <f t="shared" si="5"/>
        <v>12.388651045675383</v>
      </c>
      <c r="K13" s="9">
        <f t="shared" si="6"/>
        <v>4.955460418270153E-4</v>
      </c>
      <c r="L13" s="8">
        <f t="shared" si="7"/>
        <v>1600</v>
      </c>
      <c r="M13" s="8">
        <f t="shared" si="8"/>
        <v>1.5347867473151376E-10</v>
      </c>
      <c r="N13" s="9">
        <f t="shared" si="1"/>
        <v>1.8115273152573977E-6</v>
      </c>
      <c r="O13" s="9">
        <f t="shared" si="9"/>
        <v>3.2816312139236751E-12</v>
      </c>
      <c r="P13" s="8">
        <f t="shared" si="10"/>
        <v>1225</v>
      </c>
    </row>
    <row r="14" spans="1:16" x14ac:dyDescent="0.35">
      <c r="A14">
        <v>5</v>
      </c>
      <c r="B14" s="4">
        <v>50</v>
      </c>
      <c r="C14" s="4">
        <v>23</v>
      </c>
      <c r="D14" s="4">
        <v>25</v>
      </c>
      <c r="E14" s="4">
        <v>24</v>
      </c>
      <c r="F14" s="5">
        <f t="shared" si="2"/>
        <v>24</v>
      </c>
      <c r="G14" s="3">
        <f t="shared" si="3"/>
        <v>2.4E-2</v>
      </c>
      <c r="H14" s="3">
        <f t="shared" si="0"/>
        <v>0.81520746909590458</v>
      </c>
      <c r="I14" s="3">
        <f t="shared" si="4"/>
        <v>1.4386820569171409E-5</v>
      </c>
      <c r="J14" s="5">
        <f t="shared" si="5"/>
        <v>14.386820569171409</v>
      </c>
      <c r="K14" s="9">
        <f t="shared" si="6"/>
        <v>7.1934102845857043E-4</v>
      </c>
      <c r="L14" s="8">
        <f t="shared" si="7"/>
        <v>2500</v>
      </c>
      <c r="M14" s="8">
        <f t="shared" si="8"/>
        <v>2.0698060608953356E-10</v>
      </c>
      <c r="N14" s="9">
        <f t="shared" si="1"/>
        <v>1.1879227606718204E-6</v>
      </c>
      <c r="O14" s="9">
        <f t="shared" si="9"/>
        <v>1.4111604853221592E-12</v>
      </c>
      <c r="P14" s="8">
        <f t="shared" si="10"/>
        <v>625</v>
      </c>
    </row>
    <row r="15" spans="1:16" x14ac:dyDescent="0.35">
      <c r="A15">
        <v>6</v>
      </c>
      <c r="B15" s="4">
        <v>60</v>
      </c>
      <c r="C15" s="4">
        <v>27</v>
      </c>
      <c r="D15" s="4">
        <v>26</v>
      </c>
      <c r="E15" s="4">
        <v>27</v>
      </c>
      <c r="F15" s="5">
        <f t="shared" si="2"/>
        <v>26.666666666666668</v>
      </c>
      <c r="G15" s="3">
        <f t="shared" si="3"/>
        <v>2.6666666666666668E-2</v>
      </c>
      <c r="H15" s="3">
        <f t="shared" si="0"/>
        <v>0.87938524157181674</v>
      </c>
      <c r="I15" s="3">
        <f t="shared" si="4"/>
        <v>1.5985356187968233E-5</v>
      </c>
      <c r="J15" s="5">
        <f t="shared" si="5"/>
        <v>15.985356187968232</v>
      </c>
      <c r="K15" s="9">
        <f t="shared" si="6"/>
        <v>9.5912137127809394E-4</v>
      </c>
      <c r="L15" s="8">
        <f t="shared" si="7"/>
        <v>3600</v>
      </c>
      <c r="M15" s="8">
        <f t="shared" si="8"/>
        <v>2.5553161245621427E-10</v>
      </c>
      <c r="N15" s="9">
        <f t="shared" si="1"/>
        <v>1.6468430138703985E-7</v>
      </c>
      <c r="O15" s="9">
        <f t="shared" si="9"/>
        <v>2.7120919123337375E-14</v>
      </c>
      <c r="P15" s="8">
        <f t="shared" si="10"/>
        <v>225</v>
      </c>
    </row>
    <row r="16" spans="1:16" x14ac:dyDescent="0.35">
      <c r="A16">
        <v>7</v>
      </c>
      <c r="B16" s="4">
        <v>70</v>
      </c>
      <c r="C16" s="4">
        <v>28</v>
      </c>
      <c r="D16" s="4">
        <v>28</v>
      </c>
      <c r="E16" s="4">
        <v>28</v>
      </c>
      <c r="F16" s="5">
        <f t="shared" si="2"/>
        <v>28</v>
      </c>
      <c r="G16" s="3">
        <f t="shared" si="3"/>
        <v>2.8000000000000001E-2</v>
      </c>
      <c r="H16" s="3">
        <f t="shared" si="0"/>
        <v>0.93969262078590832</v>
      </c>
      <c r="I16" s="3">
        <f t="shared" si="4"/>
        <v>1.6784623997366643E-5</v>
      </c>
      <c r="J16" s="5">
        <f t="shared" si="5"/>
        <v>16.784623997366644</v>
      </c>
      <c r="K16" s="9">
        <f t="shared" si="6"/>
        <v>1.1749236798156649E-3</v>
      </c>
      <c r="L16" s="8">
        <f t="shared" si="7"/>
        <v>4900</v>
      </c>
      <c r="M16" s="8">
        <f t="shared" si="8"/>
        <v>2.817236027329762E-10</v>
      </c>
      <c r="N16" s="9">
        <f t="shared" si="1"/>
        <v>-1.657821967296156E-6</v>
      </c>
      <c r="O16" s="9">
        <f t="shared" si="9"/>
        <v>2.7483736752496967E-12</v>
      </c>
      <c r="P16" s="8">
        <f t="shared" si="10"/>
        <v>25</v>
      </c>
    </row>
    <row r="17" spans="1:16" x14ac:dyDescent="0.35">
      <c r="A17">
        <v>8</v>
      </c>
      <c r="B17" s="4">
        <v>80</v>
      </c>
      <c r="C17" s="4">
        <v>29</v>
      </c>
      <c r="D17" s="4">
        <v>28</v>
      </c>
      <c r="E17" s="4">
        <v>29</v>
      </c>
      <c r="F17" s="5">
        <f t="shared" si="2"/>
        <v>28.666666666666668</v>
      </c>
      <c r="G17" s="3">
        <f t="shared" si="3"/>
        <v>2.866666666666667E-2</v>
      </c>
      <c r="H17" s="3">
        <f t="shared" si="0"/>
        <v>1</v>
      </c>
      <c r="I17" s="3">
        <f t="shared" si="4"/>
        <v>1.7184257902065853E-5</v>
      </c>
      <c r="J17" s="5">
        <f t="shared" si="5"/>
        <v>17.184257902065852</v>
      </c>
      <c r="K17" s="9">
        <f t="shared" si="6"/>
        <v>1.3747406321652682E-3</v>
      </c>
      <c r="L17" s="8">
        <f t="shared" si="7"/>
        <v>6400</v>
      </c>
      <c r="M17" s="8">
        <f t="shared" si="8"/>
        <v>2.9529871964471273E-10</v>
      </c>
      <c r="N17" s="9">
        <f t="shared" si="1"/>
        <v>-3.8799621406785484E-6</v>
      </c>
      <c r="O17" s="9">
        <f t="shared" si="9"/>
        <v>1.5054106213098865E-11</v>
      </c>
      <c r="P17" s="8">
        <f t="shared" si="10"/>
        <v>25</v>
      </c>
    </row>
    <row r="18" spans="1:16" x14ac:dyDescent="0.35">
      <c r="A18">
        <v>9</v>
      </c>
      <c r="B18" s="4">
        <v>90</v>
      </c>
      <c r="C18" s="4">
        <v>31</v>
      </c>
      <c r="D18" s="4">
        <v>31</v>
      </c>
      <c r="E18" s="4">
        <v>31</v>
      </c>
      <c r="F18" s="5">
        <f t="shared" si="2"/>
        <v>31</v>
      </c>
      <c r="G18" s="3">
        <f t="shared" si="3"/>
        <v>3.1E-2</v>
      </c>
      <c r="H18" s="3">
        <f t="shared" si="0"/>
        <v>1.0641777724759123</v>
      </c>
      <c r="I18" s="3">
        <f t="shared" si="4"/>
        <v>1.858297656851307E-5</v>
      </c>
      <c r="J18" s="5">
        <f t="shared" si="5"/>
        <v>18.582976568513072</v>
      </c>
      <c r="K18" s="9">
        <f t="shared" si="6"/>
        <v>1.6724678911661764E-3</v>
      </c>
      <c r="L18" s="8">
        <f t="shared" si="7"/>
        <v>8100</v>
      </c>
      <c r="M18" s="8">
        <f t="shared" si="8"/>
        <v>3.4532701814590578E-10</v>
      </c>
      <c r="N18" s="9">
        <f t="shared" si="1"/>
        <v>-5.1030175523129374E-6</v>
      </c>
      <c r="O18" s="9">
        <f t="shared" si="9"/>
        <v>2.6040788139213923E-11</v>
      </c>
      <c r="P18" s="8">
        <f t="shared" si="10"/>
        <v>225</v>
      </c>
    </row>
    <row r="19" spans="1:16" x14ac:dyDescent="0.35">
      <c r="A19">
        <v>10</v>
      </c>
      <c r="B19" s="4">
        <v>100</v>
      </c>
      <c r="C19" s="4">
        <v>34</v>
      </c>
      <c r="D19" s="4">
        <v>34</v>
      </c>
      <c r="E19" s="4">
        <v>34</v>
      </c>
      <c r="F19" s="5">
        <f t="shared" si="2"/>
        <v>34</v>
      </c>
      <c r="G19" s="3">
        <f t="shared" si="3"/>
        <v>3.4000000000000002E-2</v>
      </c>
      <c r="H19" s="3">
        <f t="shared" si="0"/>
        <v>1.1371580426032577</v>
      </c>
      <c r="I19" s="3">
        <f t="shared" si="4"/>
        <v>2.0381329139659497E-5</v>
      </c>
      <c r="J19" s="5">
        <f t="shared" si="5"/>
        <v>20.381329139659496</v>
      </c>
      <c r="K19" s="9">
        <f t="shared" si="6"/>
        <v>2.0381329139659496E-3</v>
      </c>
      <c r="L19" s="8">
        <f t="shared" si="7"/>
        <v>10000</v>
      </c>
      <c r="M19" s="8">
        <f t="shared" si="8"/>
        <v>4.1539857749913333E-10</v>
      </c>
      <c r="N19" s="9">
        <f t="shared" si="1"/>
        <v>-5.9264390592481129E-6</v>
      </c>
      <c r="O19" s="9">
        <f t="shared" si="9"/>
        <v>3.5122679922981659E-11</v>
      </c>
      <c r="P19" s="8">
        <f t="shared" si="10"/>
        <v>625</v>
      </c>
    </row>
    <row r="20" spans="1:16" x14ac:dyDescent="0.35">
      <c r="A20">
        <v>11</v>
      </c>
      <c r="B20" s="4">
        <v>110</v>
      </c>
      <c r="C20" s="4">
        <v>38</v>
      </c>
      <c r="D20" s="4">
        <v>38</v>
      </c>
      <c r="E20" s="4">
        <v>38</v>
      </c>
      <c r="F20" s="5">
        <f t="shared" si="2"/>
        <v>38</v>
      </c>
      <c r="G20" s="3">
        <f t="shared" si="3"/>
        <v>3.7999999999999999E-2</v>
      </c>
      <c r="H20" s="3">
        <f t="shared" si="0"/>
        <v>1.2266815969056775</v>
      </c>
      <c r="I20" s="3">
        <f t="shared" si="4"/>
        <v>2.2779132567854731E-5</v>
      </c>
      <c r="J20" s="5">
        <f t="shared" si="5"/>
        <v>22.779132567854731</v>
      </c>
      <c r="K20" s="9">
        <f t="shared" si="6"/>
        <v>2.5057045824640202E-3</v>
      </c>
      <c r="L20" s="8">
        <f t="shared" si="7"/>
        <v>12100</v>
      </c>
      <c r="M20" s="8">
        <f t="shared" si="8"/>
        <v>5.1888888054390003E-10</v>
      </c>
      <c r="N20" s="9">
        <f t="shared" si="1"/>
        <v>-6.1504097091344851E-6</v>
      </c>
      <c r="O20" s="9">
        <f t="shared" si="9"/>
        <v>3.7827539590215741E-11</v>
      </c>
      <c r="P20" s="8">
        <f t="shared" si="10"/>
        <v>1225</v>
      </c>
    </row>
    <row r="21" spans="1:16" x14ac:dyDescent="0.35">
      <c r="A21">
        <v>12</v>
      </c>
      <c r="B21" s="4">
        <v>120</v>
      </c>
      <c r="C21" s="4">
        <v>43</v>
      </c>
      <c r="D21" s="4">
        <v>43</v>
      </c>
      <c r="E21" s="4">
        <v>43</v>
      </c>
      <c r="F21" s="5">
        <f>AVERAGE(C21:E21)</f>
        <v>43</v>
      </c>
      <c r="G21" s="3">
        <f t="shared" si="3"/>
        <v>4.3000000000000003E-2</v>
      </c>
      <c r="H21" s="3">
        <f t="shared" si="0"/>
        <v>1.3472963553338611</v>
      </c>
      <c r="I21" s="3">
        <f t="shared" si="4"/>
        <v>2.5776386853098778E-5</v>
      </c>
      <c r="J21" s="5">
        <f t="shared" si="5"/>
        <v>25.776386853098778</v>
      </c>
      <c r="K21" s="9">
        <f t="shared" si="6"/>
        <v>3.0931664223718533E-3</v>
      </c>
      <c r="L21" s="8">
        <f t="shared" si="7"/>
        <v>14400</v>
      </c>
      <c r="M21" s="8">
        <f t="shared" si="8"/>
        <v>6.6442211920060356E-10</v>
      </c>
      <c r="N21" s="9">
        <f t="shared" si="1"/>
        <v>-5.7749295019720403E-6</v>
      </c>
      <c r="O21" s="9">
        <f t="shared" si="9"/>
        <v>3.3349810752747037E-11</v>
      </c>
      <c r="P21" s="8">
        <f t="shared" si="10"/>
        <v>2025</v>
      </c>
    </row>
    <row r="22" spans="1:16" x14ac:dyDescent="0.35">
      <c r="A22">
        <v>13</v>
      </c>
      <c r="B22" s="4">
        <v>130</v>
      </c>
      <c r="C22" s="4">
        <v>54</v>
      </c>
      <c r="D22" s="4">
        <v>55</v>
      </c>
      <c r="E22" s="4">
        <v>55</v>
      </c>
      <c r="F22" s="5">
        <f t="shared" si="2"/>
        <v>54.666666666666664</v>
      </c>
      <c r="G22" s="3">
        <f t="shared" si="3"/>
        <v>5.4666666666666662E-2</v>
      </c>
      <c r="H22" s="3">
        <f t="shared" si="0"/>
        <v>1.5320888862379562</v>
      </c>
      <c r="I22" s="3">
        <f t="shared" si="4"/>
        <v>3.2769980185334873E-5</v>
      </c>
      <c r="J22" s="5">
        <f t="shared" si="5"/>
        <v>32.769980185334873</v>
      </c>
      <c r="K22" s="9">
        <f t="shared" si="6"/>
        <v>4.2600974240935337E-3</v>
      </c>
      <c r="L22" s="8">
        <f t="shared" si="7"/>
        <v>16900</v>
      </c>
      <c r="M22" s="8">
        <f t="shared" si="8"/>
        <v>1.0738716013472403E-9</v>
      </c>
      <c r="N22" s="9">
        <f t="shared" si="1"/>
        <v>-1.4031102478175483E-6</v>
      </c>
      <c r="O22" s="9">
        <f t="shared" si="9"/>
        <v>1.9687183675306221E-12</v>
      </c>
      <c r="P22" s="8">
        <f t="shared" si="10"/>
        <v>3025</v>
      </c>
    </row>
    <row r="23" spans="1:16" x14ac:dyDescent="0.35">
      <c r="A23">
        <v>14</v>
      </c>
      <c r="B23" s="4">
        <v>140</v>
      </c>
      <c r="C23" s="4">
        <v>91</v>
      </c>
      <c r="D23" s="4">
        <v>95</v>
      </c>
      <c r="E23" s="4">
        <v>96</v>
      </c>
      <c r="F23" s="5">
        <f t="shared" si="2"/>
        <v>94</v>
      </c>
      <c r="G23" s="3">
        <f t="shared" si="3"/>
        <v>9.4E-2</v>
      </c>
      <c r="H23" s="3">
        <f t="shared" si="0"/>
        <v>1.8793852415718173</v>
      </c>
      <c r="I23" s="3">
        <f t="shared" si="4"/>
        <v>5.6348380562588017E-5</v>
      </c>
      <c r="J23" s="5">
        <f t="shared" si="5"/>
        <v>56.348380562588019</v>
      </c>
      <c r="K23" s="9">
        <f t="shared" si="6"/>
        <v>7.8887732787623222E-3</v>
      </c>
      <c r="L23" s="8">
        <f t="shared" si="7"/>
        <v>19600</v>
      </c>
      <c r="M23" s="8">
        <f>I23^2</f>
        <v>3.1751399920262472E-9</v>
      </c>
      <c r="N23" s="9">
        <f t="shared" si="1"/>
        <v>1.9553516051353987E-5</v>
      </c>
      <c r="O23" s="9">
        <f t="shared" si="9"/>
        <v>3.8233998997055801E-10</v>
      </c>
      <c r="P23" s="8">
        <f t="shared" si="10"/>
        <v>4225</v>
      </c>
    </row>
    <row r="24" spans="1:16" x14ac:dyDescent="0.35">
      <c r="B24" s="8">
        <f>SUM(B10:B23)</f>
        <v>1050</v>
      </c>
      <c r="I24" s="6">
        <f>SUM(I10:I23)</f>
        <v>2.7654666205185043E-4</v>
      </c>
      <c r="J24" s="6">
        <f>SUM(J10:J23)</f>
        <v>276.54666205185043</v>
      </c>
      <c r="K24" s="6">
        <f>SUM(K10:K23)</f>
        <v>2.670553568152443E-2</v>
      </c>
      <c r="L24" s="6">
        <f>SUM(L10:L23)</f>
        <v>101500</v>
      </c>
      <c r="M24" s="6">
        <f>SUM(M10:M23)</f>
        <v>7.5832200141537284E-9</v>
      </c>
      <c r="N24" s="6">
        <f t="shared" ref="N24:P24" si="11">SUM(N10:N23)</f>
        <v>2.7105054312137611E-20</v>
      </c>
      <c r="O24" s="6">
        <f t="shared" si="11"/>
        <v>5.5673511307694956E-10</v>
      </c>
      <c r="P24" s="6">
        <f t="shared" si="11"/>
        <v>22750</v>
      </c>
    </row>
    <row r="25" spans="1:16" x14ac:dyDescent="0.35">
      <c r="B25" s="8">
        <f>AVERAGE(B10:B23)</f>
        <v>75</v>
      </c>
      <c r="H25" s="12"/>
      <c r="I25" s="11"/>
      <c r="J25" s="11"/>
      <c r="K25" s="12"/>
    </row>
    <row r="26" spans="1:16" x14ac:dyDescent="0.35">
      <c r="B26" s="10"/>
      <c r="C26" s="11"/>
    </row>
    <row r="27" spans="1:16" x14ac:dyDescent="0.35">
      <c r="B27" s="10"/>
      <c r="C27" s="11"/>
    </row>
    <row r="28" spans="1:16" x14ac:dyDescent="0.35">
      <c r="B28" s="10"/>
      <c r="C28" s="11"/>
    </row>
    <row r="29" spans="1:16" x14ac:dyDescent="0.35">
      <c r="B29" s="10"/>
      <c r="C29" s="11"/>
    </row>
    <row r="30" spans="1:16" x14ac:dyDescent="0.35">
      <c r="B30" s="10"/>
      <c r="C30" s="11"/>
    </row>
    <row r="31" spans="1:16" x14ac:dyDescent="0.35">
      <c r="B31" s="10"/>
      <c r="C31" s="11"/>
    </row>
    <row r="32" spans="1:16" x14ac:dyDescent="0.35">
      <c r="B32" s="10"/>
      <c r="C32" s="11"/>
    </row>
    <row r="33" spans="2:3" x14ac:dyDescent="0.35">
      <c r="B33" s="10"/>
      <c r="C33" s="11"/>
    </row>
    <row r="34" spans="2:3" x14ac:dyDescent="0.35">
      <c r="B34" s="10"/>
      <c r="C34" s="11"/>
    </row>
    <row r="35" spans="2:3" x14ac:dyDescent="0.35">
      <c r="B35" s="10"/>
      <c r="C35" s="11"/>
    </row>
    <row r="36" spans="2:3" x14ac:dyDescent="0.35">
      <c r="B36" s="10"/>
      <c r="C36" s="11"/>
    </row>
    <row r="37" spans="2:3" x14ac:dyDescent="0.35">
      <c r="B37" s="10"/>
      <c r="C37" s="11"/>
    </row>
    <row r="38" spans="2:3" x14ac:dyDescent="0.35">
      <c r="B38" s="10"/>
      <c r="C38" s="11"/>
    </row>
    <row r="39" spans="2:3" x14ac:dyDescent="0.35">
      <c r="B39" s="10"/>
      <c r="C3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МНК для A,B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Никонова</dc:creator>
  <cp:lastModifiedBy>Мария Сенина</cp:lastModifiedBy>
  <dcterms:created xsi:type="dcterms:W3CDTF">2015-06-05T18:17:20Z</dcterms:created>
  <dcterms:modified xsi:type="dcterms:W3CDTF">2021-05-04T18:41:55Z</dcterms:modified>
</cp:coreProperties>
</file>