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in\Desktop\ITMO\Physics\"/>
    </mc:Choice>
  </mc:AlternateContent>
  <xr:revisionPtr revIDLastSave="0" documentId="13_ncr:1_{C6E357DB-D057-41B8-8100-EACD0B4C0D4E}" xr6:coauthVersionLast="45" xr6:coauthVersionMax="45" xr10:uidLastSave="{00000000-0000-0000-0000-000000000000}"/>
  <bookViews>
    <workbookView xWindow="-110" yWindow="-110" windowWidth="19420" windowHeight="10420" activeTab="1" xr2:uid="{BD58B1F7-50ED-42E6-B5F6-C9CEF8668A4E}"/>
  </bookViews>
  <sheets>
    <sheet name="Снятые измерения" sheetId="1" r:id="rId1"/>
    <sheet name="Рассчёты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1" i="2" l="1"/>
  <c r="U30" i="2"/>
  <c r="U29" i="2"/>
  <c r="U32" i="2"/>
  <c r="T31" i="2"/>
  <c r="T30" i="2"/>
  <c r="T29" i="2"/>
  <c r="T32" i="2"/>
  <c r="Q30" i="2"/>
  <c r="Q31" i="2"/>
  <c r="Q32" i="2"/>
  <c r="Q29" i="2"/>
  <c r="P30" i="2"/>
  <c r="P31" i="2"/>
  <c r="P32" i="2"/>
  <c r="P29" i="2"/>
  <c r="N29" i="2"/>
  <c r="R22" i="2"/>
  <c r="R23" i="2"/>
  <c r="P22" i="2"/>
  <c r="G25" i="2"/>
  <c r="G23" i="2"/>
  <c r="G22" i="2"/>
  <c r="Q14" i="2"/>
  <c r="Q13" i="2"/>
  <c r="O13" i="2"/>
  <c r="H30" i="2"/>
  <c r="O30" i="2" s="1"/>
  <c r="O29" i="2"/>
  <c r="O31" i="2"/>
  <c r="O32" i="2"/>
  <c r="N30" i="2"/>
  <c r="N31" i="2"/>
  <c r="N32" i="2"/>
  <c r="H29" i="2"/>
  <c r="H31" i="2"/>
  <c r="H32" i="2"/>
  <c r="H23" i="2"/>
  <c r="H24" i="2"/>
  <c r="H25" i="2"/>
  <c r="H22" i="2"/>
  <c r="G24" i="2"/>
  <c r="G26" i="2" l="1"/>
  <c r="I24" i="2" s="1"/>
  <c r="K24" i="2" s="1"/>
  <c r="H26" i="2"/>
  <c r="H14" i="2"/>
  <c r="H15" i="2"/>
  <c r="H16" i="2"/>
  <c r="H17" i="2"/>
  <c r="H18" i="2"/>
  <c r="G14" i="2"/>
  <c r="G15" i="2"/>
  <c r="G16" i="2"/>
  <c r="G17" i="2"/>
  <c r="G18" i="2"/>
  <c r="G13" i="2"/>
  <c r="H13" i="2"/>
  <c r="G7" i="1"/>
  <c r="F7" i="1"/>
  <c r="E7" i="1"/>
  <c r="D7" i="1"/>
  <c r="C7" i="1"/>
  <c r="G7" i="2"/>
  <c r="F7" i="2"/>
  <c r="E7" i="2"/>
  <c r="D7" i="2"/>
  <c r="C7" i="2"/>
  <c r="I25" i="2" l="1"/>
  <c r="K25" i="2" s="1"/>
  <c r="I23" i="2"/>
  <c r="K23" i="2" s="1"/>
  <c r="I22" i="2"/>
  <c r="K22" i="2" s="1"/>
  <c r="G19" i="2"/>
  <c r="I13" i="2" s="1"/>
  <c r="I15" i="2"/>
  <c r="K15" i="2" s="1"/>
  <c r="J25" i="2"/>
  <c r="J22" i="2"/>
  <c r="J23" i="2"/>
  <c r="I18" i="2"/>
  <c r="K18" i="2" s="1"/>
  <c r="I17" i="2"/>
  <c r="K17" i="2" s="1"/>
  <c r="J18" i="2"/>
  <c r="L18" i="2" s="1"/>
  <c r="H19" i="2"/>
  <c r="J13" i="2" s="1"/>
  <c r="I16" i="2"/>
  <c r="K16" i="2" s="1"/>
  <c r="J17" i="2"/>
  <c r="L17" i="2" s="1"/>
  <c r="J24" i="2"/>
  <c r="L24" i="2" s="1"/>
  <c r="H7" i="2"/>
  <c r="L25" i="2" l="1"/>
  <c r="L23" i="2"/>
  <c r="I26" i="2"/>
  <c r="K26" i="2"/>
  <c r="J15" i="2"/>
  <c r="L15" i="2" s="1"/>
  <c r="I14" i="2"/>
  <c r="K14" i="2" s="1"/>
  <c r="K13" i="2"/>
  <c r="K19" i="2" s="1"/>
  <c r="I19" i="2"/>
  <c r="C8" i="2"/>
  <c r="L13" i="2"/>
  <c r="L22" i="2"/>
  <c r="J26" i="2"/>
  <c r="J14" i="2"/>
  <c r="L14" i="2" s="1"/>
  <c r="J16" i="2"/>
  <c r="L16" i="2" s="1"/>
  <c r="E8" i="2"/>
  <c r="D8" i="2"/>
  <c r="G8" i="2"/>
  <c r="F8" i="2"/>
  <c r="L26" i="2" l="1"/>
  <c r="N22" i="2" s="1"/>
  <c r="J19" i="2"/>
  <c r="L19" i="2"/>
  <c r="N13" i="2"/>
  <c r="H8" i="2"/>
  <c r="O22" i="2" l="1"/>
  <c r="Q22" i="2" s="1"/>
  <c r="P13" i="2"/>
  <c r="H9" i="2"/>
  <c r="M25" i="2" l="1"/>
  <c r="M24" i="2"/>
  <c r="M22" i="2"/>
  <c r="M23" i="2"/>
  <c r="M16" i="2"/>
  <c r="M13" i="2"/>
  <c r="M17" i="2"/>
  <c r="M15" i="2"/>
  <c r="M18" i="2"/>
  <c r="M14" i="2"/>
  <c r="M26" i="2" l="1"/>
  <c r="O24" i="2" s="1"/>
  <c r="O26" i="2" s="1"/>
  <c r="Q26" i="2" s="1"/>
  <c r="R26" i="2" s="1"/>
  <c r="M19" i="2"/>
  <c r="N24" i="2" l="1"/>
  <c r="N26" i="2" s="1"/>
  <c r="P26" i="2" s="1"/>
  <c r="O16" i="2"/>
  <c r="O18" i="2" s="1"/>
  <c r="Q18" i="2" s="1"/>
  <c r="N16" i="2"/>
  <c r="N18" i="2" s="1"/>
  <c r="P18" i="2" s="1"/>
</calcChain>
</file>

<file path=xl/sharedStrings.xml><?xml version="1.0" encoding="utf-8"?>
<sst xmlns="http://schemas.openxmlformats.org/spreadsheetml/2006/main" count="115" uniqueCount="53">
  <si>
    <t>плечо, см</t>
  </si>
  <si>
    <t>Сила, Н</t>
  </si>
  <si>
    <t>Модуль кручения k, Hm/рад</t>
  </si>
  <si>
    <t>среднее k и погрешность</t>
  </si>
  <si>
    <t>Т1, с</t>
  </si>
  <si>
    <t>Т2, с</t>
  </si>
  <si>
    <t>Т3, с</t>
  </si>
  <si>
    <t>ср Т, с</t>
  </si>
  <si>
    <t>а^2, м^2</t>
  </si>
  <si>
    <t>T^2, c^2</t>
  </si>
  <si>
    <t>Таблица 3, теорема Гюйгенса-Штейнера для диска №1</t>
  </si>
  <si>
    <t>Таблица 2, Определение момента инерции штанги</t>
  </si>
  <si>
    <t>Таблица 1, Определения модуля кручения</t>
  </si>
  <si>
    <t>Таблица 4, Моменты инерции других тел</t>
  </si>
  <si>
    <t>Объект</t>
  </si>
  <si>
    <t>I, кг*м^2</t>
  </si>
  <si>
    <t>Шар</t>
  </si>
  <si>
    <t>Сплошной цилиндр</t>
  </si>
  <si>
    <t>Полый цилиндр</t>
  </si>
  <si>
    <t>Сплошной диск</t>
  </si>
  <si>
    <t>ср. знач</t>
  </si>
  <si>
    <t>(k-kср)^2</t>
  </si>
  <si>
    <t>СКО</t>
  </si>
  <si>
    <t>погр</t>
  </si>
  <si>
    <t>коэффицент стьюденса для 5 измерений</t>
  </si>
  <si>
    <t>a, м</t>
  </si>
  <si>
    <t>(29+-1)*10^(-3)</t>
  </si>
  <si>
    <t>плечо, м</t>
  </si>
  <si>
    <t>коэффицент стьюденса для 3 измерений</t>
  </si>
  <si>
    <t>x</t>
  </si>
  <si>
    <t>y</t>
  </si>
  <si>
    <t>ср знач</t>
  </si>
  <si>
    <t>x-xcp</t>
  </si>
  <si>
    <t>y-ycp</t>
  </si>
  <si>
    <t>(x-xcp)^2</t>
  </si>
  <si>
    <t>коэффицент стьюденса для 6 измерений</t>
  </si>
  <si>
    <t>(x-xcp)*(y-ycp)</t>
  </si>
  <si>
    <t>сумм</t>
  </si>
  <si>
    <t>a = alpha</t>
  </si>
  <si>
    <t>m</t>
  </si>
  <si>
    <t>Irod</t>
  </si>
  <si>
    <t>D</t>
  </si>
  <si>
    <t>di</t>
  </si>
  <si>
    <t>коэффицент стьюденса для 4 измерений</t>
  </si>
  <si>
    <t>I0</t>
  </si>
  <si>
    <t>T погр</t>
  </si>
  <si>
    <t>I</t>
  </si>
  <si>
    <t>I погр</t>
  </si>
  <si>
    <t>Ic</t>
  </si>
  <si>
    <t>b = T0^2</t>
  </si>
  <si>
    <t>r</t>
  </si>
  <si>
    <t xml:space="preserve">I расчётные </t>
  </si>
  <si>
    <t>I0 мои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</si>
</sst>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7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64" fontId="0" fillId="0" borderId="0" xfId="0" applyNumberFormat="1"/>
    <xf numFmtId="164" fontId="0" fillId="0" borderId="1" xfId="0" applyNumberFormat="1" applyBorder="1"/>
    <xf numFmtId="164" fontId="0" fillId="0" borderId="1" xfId="0" applyNumberFormat="1" applyFill="1" applyBorder="1"/>
    <xf numFmtId="164" fontId="0" fillId="0" borderId="0" xfId="0" applyNumberFormat="1" applyBorder="1"/>
    <xf numFmtId="164" fontId="0" fillId="0" borderId="2" xfId="0" applyNumberFormat="1" applyBorder="1"/>
    <xf numFmtId="2" fontId="0" fillId="0" borderId="0" xfId="0" applyNumberFormat="1"/>
    <xf numFmtId="2" fontId="0" fillId="0" borderId="1" xfId="0" applyNumberFormat="1" applyBorder="1"/>
    <xf numFmtId="2" fontId="0" fillId="0" borderId="0" xfId="0" applyNumberFormat="1" applyBorder="1"/>
    <xf numFmtId="165" fontId="0" fillId="0" borderId="0" xfId="0" applyNumberFormat="1"/>
    <xf numFmtId="165" fontId="0" fillId="0" borderId="0" xfId="0" applyNumberFormat="1" applyBorder="1"/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2" fontId="0" fillId="0" borderId="0" xfId="0" applyNumberFormat="1" applyFill="1" applyBorder="1"/>
    <xf numFmtId="167" fontId="0" fillId="0" borderId="0" xfId="0" applyNumberFormat="1"/>
    <xf numFmtId="167" fontId="0" fillId="0" borderId="0" xfId="0" applyNumberFormat="1" applyFill="1" applyBorder="1"/>
    <xf numFmtId="2" fontId="0" fillId="2" borderId="0" xfId="0" applyNumberFormat="1" applyFill="1" applyBorder="1"/>
    <xf numFmtId="0" fontId="0" fillId="2" borderId="0" xfId="0" applyFill="1"/>
    <xf numFmtId="167" fontId="0" fillId="2" borderId="0" xfId="0" applyNumberFormat="1" applyFill="1" applyBorder="1"/>
    <xf numFmtId="167" fontId="0" fillId="2" borderId="0" xfId="0" applyNumberFormat="1" applyFill="1"/>
    <xf numFmtId="2" fontId="0" fillId="3" borderId="0" xfId="0" applyNumberFormat="1" applyFill="1" applyBorder="1"/>
    <xf numFmtId="0" fontId="0" fillId="3" borderId="0" xfId="0" applyFill="1"/>
    <xf numFmtId="167" fontId="0" fillId="3" borderId="0" xfId="0" applyNumberFormat="1" applyFill="1" applyBorder="1"/>
    <xf numFmtId="0" fontId="0" fillId="4" borderId="1" xfId="0" applyFill="1" applyBorder="1"/>
    <xf numFmtId="2" fontId="0" fillId="4" borderId="1" xfId="0" applyNumberFormat="1" applyFill="1" applyBorder="1"/>
    <xf numFmtId="165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167" fontId="0" fillId="4" borderId="1" xfId="0" applyNumberFormat="1" applyFill="1" applyBorder="1"/>
    <xf numFmtId="0" fontId="0" fillId="4" borderId="0" xfId="0" applyFill="1"/>
    <xf numFmtId="0" fontId="0" fillId="0" borderId="0" xfId="0" applyFill="1"/>
    <xf numFmtId="167" fontId="0" fillId="5" borderId="0" xfId="0" applyNumberFormat="1" applyFill="1" applyBorder="1"/>
    <xf numFmtId="167" fontId="0" fillId="5" borderId="0" xfId="0" applyNumberFormat="1" applyFont="1" applyFill="1" applyBorder="1"/>
    <xf numFmtId="0" fontId="0" fillId="5" borderId="0" xfId="0" applyFill="1"/>
    <xf numFmtId="0" fontId="0" fillId="5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T^2(a^2)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Рассчёты!$H$12</c:f>
              <c:strCache>
                <c:ptCount val="1"/>
                <c:pt idx="0">
                  <c:v>T^2, c^2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175">
                <a:solidFill>
                  <a:schemeClr val="accent1">
                    <a:alpha val="92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6.0000000000000012E-2"/>
            <c:backward val="5.000000000000001E-2"/>
            <c:dispRSqr val="0"/>
            <c:dispEq val="1"/>
            <c:trendlineLbl>
              <c:layout>
                <c:manualLayout>
                  <c:x val="-0.12097747156605425"/>
                  <c:y val="7.3657407407407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Рассчёты!$G$13:$G$18</c:f>
              <c:numCache>
                <c:formatCode>0.000</c:formatCode>
                <c:ptCount val="6"/>
                <c:pt idx="0">
                  <c:v>2.5000000000000005E-3</c:v>
                </c:pt>
                <c:pt idx="1">
                  <c:v>1.0000000000000002E-2</c:v>
                </c:pt>
                <c:pt idx="2">
                  <c:v>2.2499999999999999E-2</c:v>
                </c:pt>
                <c:pt idx="3">
                  <c:v>4.0000000000000008E-2</c:v>
                </c:pt>
                <c:pt idx="4">
                  <c:v>6.25E-2</c:v>
                </c:pt>
                <c:pt idx="5">
                  <c:v>0.09</c:v>
                </c:pt>
              </c:numCache>
            </c:numRef>
          </c:xVal>
          <c:yVal>
            <c:numRef>
              <c:f>Рассчёты!$H$13:$H$18</c:f>
              <c:numCache>
                <c:formatCode>0.00</c:formatCode>
                <c:ptCount val="6"/>
                <c:pt idx="0">
                  <c:v>7.9142817877777798</c:v>
                </c:pt>
                <c:pt idx="1">
                  <c:v>13.544362737777776</c:v>
                </c:pt>
                <c:pt idx="2">
                  <c:v>22.652840250000001</c:v>
                </c:pt>
                <c:pt idx="3">
                  <c:v>35.310136987777774</c:v>
                </c:pt>
                <c:pt idx="4">
                  <c:v>52.272418001111113</c:v>
                </c:pt>
                <c:pt idx="5">
                  <c:v>72.983418534444453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9-4165-AE94-8B0566317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404144"/>
        <c:axId val="442404800"/>
      </c:scatterChart>
      <c:valAx>
        <c:axId val="442404144"/>
        <c:scaling>
          <c:orientation val="minMax"/>
          <c:max val="0.1"/>
          <c:min val="-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a^2, </a:t>
                </a:r>
                <a:r>
                  <a:rPr lang="ru-RU" sz="1000" b="0" i="0" baseline="0">
                    <a:effectLst/>
                  </a:rPr>
                  <a:t>м</a:t>
                </a:r>
                <a:r>
                  <a:rPr lang="en-US" sz="1000" b="0" i="0" baseline="0">
                    <a:effectLst/>
                  </a:rPr>
                  <a:t>^2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404800"/>
        <c:crosses val="autoZero"/>
        <c:crossBetween val="midCat"/>
      </c:valAx>
      <c:valAx>
        <c:axId val="442404800"/>
        <c:scaling>
          <c:orientation val="minMax"/>
          <c:max val="9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40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Рассчёты!$H$21</c:f>
              <c:strCache>
                <c:ptCount val="1"/>
                <c:pt idx="0">
                  <c:v>T^2, c^2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.0000000000000002E-2"/>
            <c:backward val="5.000000000000001E-3"/>
            <c:dispRSqr val="0"/>
            <c:dispEq val="1"/>
            <c:trendlineLbl>
              <c:layout>
                <c:manualLayout>
                  <c:x val="-0.15651377952755904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Рассчёты!$G$22:$G$25</c:f>
              <c:numCache>
                <c:formatCode>0.0000</c:formatCode>
                <c:ptCount val="4"/>
                <c:pt idx="0">
                  <c:v>4.0000000000000002E-4</c:v>
                </c:pt>
                <c:pt idx="1">
                  <c:v>3.5999999999999999E-3</c:v>
                </c:pt>
                <c:pt idx="2">
                  <c:v>1.0000000000000002E-2</c:v>
                </c:pt>
                <c:pt idx="3">
                  <c:v>1.9600000000000003E-2</c:v>
                </c:pt>
              </c:numCache>
            </c:numRef>
          </c:xVal>
          <c:yVal>
            <c:numRef>
              <c:f>Рассчёты!$H$22:$H$25</c:f>
              <c:numCache>
                <c:formatCode>0.000</c:formatCode>
                <c:ptCount val="4"/>
                <c:pt idx="0">
                  <c:v>15.357777209999998</c:v>
                </c:pt>
                <c:pt idx="1">
                  <c:v>18.148452009999996</c:v>
                </c:pt>
                <c:pt idx="2">
                  <c:v>23.824161000000004</c:v>
                </c:pt>
                <c:pt idx="3">
                  <c:v>32.618186187777766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6C-41CD-AF20-0B797270B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77232"/>
        <c:axId val="549580184"/>
      </c:scatterChart>
      <c:valAx>
        <c:axId val="549577232"/>
        <c:scaling>
          <c:orientation val="minMax"/>
          <c:max val="2.5000000000000005E-2"/>
          <c:min val="-5.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a^2, </a:t>
                </a:r>
                <a:r>
                  <a:rPr lang="ru-RU"/>
                  <a:t>м^2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80184"/>
        <c:crosses val="autoZero"/>
        <c:crossBetween val="midCat"/>
      </c:valAx>
      <c:valAx>
        <c:axId val="549580184"/>
        <c:scaling>
          <c:orientation val="minMax"/>
          <c:max val="4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7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307975</xdr:colOff>
      <xdr:row>0</xdr:row>
      <xdr:rowOff>92075</xdr:rowOff>
    </xdr:from>
    <xdr:to>
      <xdr:col>28</xdr:col>
      <xdr:colOff>3175</xdr:colOff>
      <xdr:row>15</xdr:row>
      <xdr:rowOff>73025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530FAEF-C657-4372-AB71-F79FD29CA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9525</xdr:colOff>
      <xdr:row>16</xdr:row>
      <xdr:rowOff>123825</xdr:rowOff>
    </xdr:from>
    <xdr:to>
      <xdr:col>32</xdr:col>
      <xdr:colOff>314325</xdr:colOff>
      <xdr:row>31</xdr:row>
      <xdr:rowOff>104775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8743637-4376-44FE-857E-D8C6AB1F2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94C80-39F7-4DFA-9157-5F9025FB3E38}">
  <dimension ref="A4:H32"/>
  <sheetViews>
    <sheetView workbookViewId="0">
      <selection activeCell="B6" sqref="B6"/>
    </sheetView>
  </sheetViews>
  <sheetFormatPr defaultRowHeight="14.5" x14ac:dyDescent="0.35"/>
  <cols>
    <col min="1" max="1" width="8.7265625" customWidth="1"/>
    <col min="2" max="2" width="25.08984375" customWidth="1"/>
    <col min="3" max="8" width="8.7265625" style="4"/>
  </cols>
  <sheetData>
    <row r="4" spans="2:8" x14ac:dyDescent="0.35">
      <c r="B4" t="s">
        <v>12</v>
      </c>
    </row>
    <row r="5" spans="2:8" x14ac:dyDescent="0.35">
      <c r="B5" s="1" t="s">
        <v>27</v>
      </c>
      <c r="C5" s="10">
        <v>0.1</v>
      </c>
      <c r="D5" s="10">
        <v>0.15</v>
      </c>
      <c r="E5" s="10">
        <v>0.2</v>
      </c>
      <c r="F5" s="10">
        <v>0.25</v>
      </c>
      <c r="G5" s="10">
        <v>0.3</v>
      </c>
    </row>
    <row r="6" spans="2:8" x14ac:dyDescent="0.35">
      <c r="B6" s="1" t="s">
        <v>1</v>
      </c>
      <c r="C6" s="10">
        <v>0.89</v>
      </c>
      <c r="D6" s="10">
        <v>0.59</v>
      </c>
      <c r="E6" s="10">
        <v>0.44</v>
      </c>
      <c r="F6" s="10">
        <v>0.37</v>
      </c>
      <c r="G6" s="10">
        <v>0.3</v>
      </c>
    </row>
    <row r="7" spans="2:8" x14ac:dyDescent="0.35">
      <c r="B7" s="1" t="s">
        <v>2</v>
      </c>
      <c r="C7" s="10">
        <f>ABS(C6*C5/PI())</f>
        <v>2.8329579870357374E-2</v>
      </c>
      <c r="D7" s="10">
        <f t="shared" ref="D7:G7" si="0">ABS(D6*D5/PI())</f>
        <v>2.8170424927265476E-2</v>
      </c>
      <c r="E7" s="10">
        <f t="shared" si="0"/>
        <v>2.8011269984173581E-2</v>
      </c>
      <c r="F7" s="10">
        <f t="shared" si="0"/>
        <v>2.9443664472000638E-2</v>
      </c>
      <c r="G7" s="10">
        <f t="shared" si="0"/>
        <v>2.8647889756541159E-2</v>
      </c>
    </row>
    <row r="8" spans="2:8" x14ac:dyDescent="0.35">
      <c r="B8" s="1" t="s">
        <v>3</v>
      </c>
      <c r="C8" s="14" t="s">
        <v>26</v>
      </c>
      <c r="D8" s="15"/>
      <c r="E8" s="15"/>
      <c r="F8" s="15"/>
      <c r="G8" s="16"/>
    </row>
    <row r="10" spans="2:8" x14ac:dyDescent="0.35">
      <c r="B10" t="s">
        <v>11</v>
      </c>
    </row>
    <row r="11" spans="2:8" x14ac:dyDescent="0.35">
      <c r="B11" s="1" t="s">
        <v>25</v>
      </c>
      <c r="C11" s="5" t="s">
        <v>4</v>
      </c>
      <c r="D11" s="5" t="s">
        <v>5</v>
      </c>
      <c r="E11" s="5" t="s">
        <v>6</v>
      </c>
      <c r="F11" s="5" t="s">
        <v>7</v>
      </c>
      <c r="G11" s="5" t="s">
        <v>8</v>
      </c>
      <c r="H11" s="5" t="s">
        <v>9</v>
      </c>
    </row>
    <row r="12" spans="2:8" x14ac:dyDescent="0.35">
      <c r="B12" s="1">
        <v>0.05</v>
      </c>
      <c r="C12" s="5">
        <v>2.8016000000000001</v>
      </c>
      <c r="D12" s="5">
        <v>2.8374999999999999</v>
      </c>
      <c r="E12" s="5">
        <v>2.8005999999999998</v>
      </c>
      <c r="F12" s="5">
        <v>2.8132333333333337</v>
      </c>
      <c r="G12" s="5"/>
      <c r="H12" s="5"/>
    </row>
    <row r="13" spans="2:8" x14ac:dyDescent="0.35">
      <c r="B13" s="1">
        <v>0.1</v>
      </c>
      <c r="C13" s="5">
        <v>3.6711</v>
      </c>
      <c r="D13" s="5">
        <v>3.6679000000000004</v>
      </c>
      <c r="E13" s="5">
        <v>3.7018000000000004</v>
      </c>
      <c r="F13" s="5">
        <v>3.6802666666666664</v>
      </c>
      <c r="G13" s="5"/>
      <c r="H13" s="5"/>
    </row>
    <row r="14" spans="2:8" x14ac:dyDescent="0.35">
      <c r="B14" s="1">
        <v>0.15</v>
      </c>
      <c r="C14" s="5">
        <v>4.7907000000000002</v>
      </c>
      <c r="D14" s="5">
        <v>4.7293000000000003</v>
      </c>
      <c r="E14" s="5">
        <v>4.7584999999999997</v>
      </c>
      <c r="F14" s="5">
        <v>4.7595000000000001</v>
      </c>
      <c r="G14" s="5"/>
      <c r="H14" s="5"/>
    </row>
    <row r="15" spans="2:8" x14ac:dyDescent="0.35">
      <c r="B15" s="1">
        <v>0.2</v>
      </c>
      <c r="C15" s="5">
        <v>5.9623999999999997</v>
      </c>
      <c r="D15" s="5">
        <v>5.9560000000000004</v>
      </c>
      <c r="E15" s="5">
        <v>5.9083000000000006</v>
      </c>
      <c r="F15" s="5">
        <v>5.9422333333333333</v>
      </c>
      <c r="G15" s="5"/>
      <c r="H15" s="5"/>
    </row>
    <row r="16" spans="2:8" x14ac:dyDescent="0.35">
      <c r="B16" s="1">
        <v>0.25</v>
      </c>
      <c r="C16" s="5">
        <v>7.2084000000000001</v>
      </c>
      <c r="D16" s="5">
        <v>7.2590000000000003</v>
      </c>
      <c r="E16" s="5">
        <v>7.2225000000000001</v>
      </c>
      <c r="F16" s="5">
        <v>7.2299666666666669</v>
      </c>
      <c r="G16" s="5"/>
      <c r="H16" s="5"/>
    </row>
    <row r="17" spans="1:8" x14ac:dyDescent="0.35">
      <c r="B17" s="1">
        <v>0.3</v>
      </c>
      <c r="C17" s="5">
        <v>8.5495999999999999</v>
      </c>
      <c r="D17" s="5">
        <v>8.5298999999999996</v>
      </c>
      <c r="E17" s="5">
        <v>8.5495999999999999</v>
      </c>
      <c r="F17" s="5">
        <v>8.5430333333333337</v>
      </c>
      <c r="G17" s="5"/>
      <c r="H17" s="5"/>
    </row>
    <row r="19" spans="1:8" x14ac:dyDescent="0.35">
      <c r="B19" t="s">
        <v>10</v>
      </c>
    </row>
    <row r="20" spans="1:8" x14ac:dyDescent="0.35">
      <c r="B20" s="1" t="s">
        <v>25</v>
      </c>
      <c r="C20" s="5" t="s">
        <v>4</v>
      </c>
      <c r="D20" s="5" t="s">
        <v>5</v>
      </c>
      <c r="E20" s="5" t="s">
        <v>6</v>
      </c>
      <c r="F20" s="5" t="s">
        <v>7</v>
      </c>
      <c r="G20" s="5" t="s">
        <v>8</v>
      </c>
      <c r="H20" s="5" t="s">
        <v>9</v>
      </c>
    </row>
    <row r="21" spans="1:8" x14ac:dyDescent="0.35">
      <c r="B21" s="1">
        <v>0.02</v>
      </c>
      <c r="C21" s="5">
        <v>3.8906000000000001</v>
      </c>
      <c r="D21" s="5">
        <v>3.9592000000000001</v>
      </c>
      <c r="E21" s="5">
        <v>3.9069000000000003</v>
      </c>
      <c r="F21" s="5">
        <v>3.9188999999999998</v>
      </c>
      <c r="G21" s="5"/>
      <c r="H21" s="5"/>
    </row>
    <row r="22" spans="1:8" x14ac:dyDescent="0.35">
      <c r="B22" s="1">
        <v>0.06</v>
      </c>
      <c r="C22" s="5">
        <v>4.3013000000000003</v>
      </c>
      <c r="D22" s="5">
        <v>4.2355</v>
      </c>
      <c r="E22" s="5">
        <v>4.2435</v>
      </c>
      <c r="F22" s="5">
        <v>4.2600999999999996</v>
      </c>
      <c r="G22" s="5"/>
      <c r="H22" s="5"/>
    </row>
    <row r="23" spans="1:8" x14ac:dyDescent="0.35">
      <c r="B23" s="1">
        <v>0.1</v>
      </c>
      <c r="C23" s="5">
        <v>4.8858999999999995</v>
      </c>
      <c r="D23" s="5">
        <v>4.8582999999999998</v>
      </c>
      <c r="E23" s="5">
        <v>4.8988000000000005</v>
      </c>
      <c r="F23" s="5">
        <v>4.8810000000000002</v>
      </c>
      <c r="G23" s="5"/>
      <c r="H23" s="5"/>
    </row>
    <row r="24" spans="1:8" x14ac:dyDescent="0.35">
      <c r="B24" s="1">
        <v>0.14000000000000001</v>
      </c>
      <c r="C24" s="5">
        <v>5.7176999999999998</v>
      </c>
      <c r="D24" s="5">
        <v>5.6896000000000004</v>
      </c>
      <c r="E24" s="5">
        <v>5.7263999999999999</v>
      </c>
      <c r="F24" s="5">
        <v>5.7112333333333325</v>
      </c>
      <c r="G24" s="5"/>
      <c r="H24" s="5"/>
    </row>
    <row r="26" spans="1:8" x14ac:dyDescent="0.35">
      <c r="B26" t="s">
        <v>13</v>
      </c>
    </row>
    <row r="27" spans="1:8" x14ac:dyDescent="0.35">
      <c r="B27" s="1" t="s">
        <v>14</v>
      </c>
      <c r="C27" s="5" t="s">
        <v>4</v>
      </c>
      <c r="D27" s="5" t="s">
        <v>5</v>
      </c>
      <c r="E27" s="5" t="s">
        <v>6</v>
      </c>
      <c r="F27" s="5" t="s">
        <v>7</v>
      </c>
      <c r="G27" s="6" t="s">
        <v>15</v>
      </c>
    </row>
    <row r="28" spans="1:8" x14ac:dyDescent="0.35">
      <c r="B28" s="1" t="s">
        <v>19</v>
      </c>
      <c r="C28" s="5">
        <v>3.0929000000000002</v>
      </c>
      <c r="D28" s="5">
        <v>3.0985999999999998</v>
      </c>
      <c r="E28" s="5">
        <v>3.1209000000000002</v>
      </c>
      <c r="F28" s="5">
        <v>3.1041333333333334</v>
      </c>
      <c r="G28" s="5"/>
    </row>
    <row r="29" spans="1:8" x14ac:dyDescent="0.35">
      <c r="B29" s="1" t="s">
        <v>18</v>
      </c>
      <c r="C29" s="5">
        <v>2.5981999999999998</v>
      </c>
      <c r="D29" s="5">
        <v>2.6421000000000001</v>
      </c>
      <c r="E29" s="5">
        <v>2.633</v>
      </c>
      <c r="F29" s="5">
        <v>2.6244333333333332</v>
      </c>
      <c r="G29" s="5"/>
    </row>
    <row r="30" spans="1:8" x14ac:dyDescent="0.35">
      <c r="B30" s="1" t="s">
        <v>17</v>
      </c>
      <c r="C30" s="5">
        <v>2.7884000000000002</v>
      </c>
      <c r="D30" s="5">
        <v>2.7583000000000002</v>
      </c>
      <c r="E30" s="5">
        <v>2.7435</v>
      </c>
      <c r="F30" s="5">
        <v>2.7634000000000003</v>
      </c>
      <c r="G30" s="5"/>
    </row>
    <row r="31" spans="1:8" x14ac:dyDescent="0.35">
      <c r="A31" s="2"/>
      <c r="B31" s="1" t="s">
        <v>16</v>
      </c>
      <c r="C31" s="5">
        <v>3.14</v>
      </c>
      <c r="D31" s="5">
        <v>3.0853000000000002</v>
      </c>
      <c r="E31" s="5">
        <v>3.1225999999999998</v>
      </c>
      <c r="F31" s="5">
        <v>3.1159666666666666</v>
      </c>
      <c r="G31" s="5"/>
      <c r="H31" s="7"/>
    </row>
    <row r="32" spans="1:8" x14ac:dyDescent="0.35">
      <c r="A32" s="2"/>
      <c r="B32" s="3"/>
      <c r="C32" s="8"/>
      <c r="D32" s="8"/>
      <c r="E32" s="8"/>
      <c r="F32" s="8"/>
      <c r="G32" s="8"/>
      <c r="H32" s="7"/>
    </row>
  </sheetData>
  <mergeCells count="1">
    <mergeCell ref="C8:G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4CA84-9657-4240-B7C3-F34FEC75001F}">
  <dimension ref="A1:Y32"/>
  <sheetViews>
    <sheetView tabSelected="1" topLeftCell="A15" workbookViewId="0">
      <selection activeCell="J17" sqref="J17"/>
    </sheetView>
  </sheetViews>
  <sheetFormatPr defaultRowHeight="14.5" x14ac:dyDescent="0.35"/>
  <cols>
    <col min="1" max="1" width="2" customWidth="1"/>
    <col min="2" max="2" width="10.90625" customWidth="1"/>
    <col min="3" max="3" width="4.453125" style="9" customWidth="1"/>
    <col min="4" max="4" width="4.90625" style="9" customWidth="1"/>
    <col min="5" max="5" width="4.54296875" style="9" customWidth="1"/>
    <col min="6" max="6" width="6.81640625" style="9" customWidth="1"/>
    <col min="7" max="7" width="7.7265625" style="9" customWidth="1"/>
    <col min="8" max="8" width="7.90625" style="12" customWidth="1"/>
    <col min="9" max="9" width="1" style="18" customWidth="1"/>
    <col min="10" max="10" width="2.36328125" style="18" customWidth="1"/>
    <col min="11" max="11" width="2.1796875" style="18" customWidth="1"/>
    <col min="12" max="12" width="2.08984375" style="9" customWidth="1"/>
    <col min="13" max="13" width="2.7265625" style="9" customWidth="1"/>
    <col min="14" max="14" width="9.26953125" customWidth="1"/>
    <col min="17" max="17" width="11.81640625" bestFit="1" customWidth="1"/>
    <col min="19" max="19" width="7.1796875" customWidth="1"/>
    <col min="21" max="21" width="11.54296875" customWidth="1"/>
  </cols>
  <sheetData>
    <row r="1" spans="1:25" x14ac:dyDescent="0.35">
      <c r="H1" s="12">
        <v>2.57</v>
      </c>
      <c r="I1" s="18" t="s">
        <v>35</v>
      </c>
    </row>
    <row r="2" spans="1:25" x14ac:dyDescent="0.35">
      <c r="H2" s="12">
        <v>2.78</v>
      </c>
      <c r="I2" s="18" t="s">
        <v>24</v>
      </c>
    </row>
    <row r="3" spans="1:25" x14ac:dyDescent="0.35">
      <c r="H3" s="12">
        <v>3.1880000000000002</v>
      </c>
      <c r="I3" s="18" t="s">
        <v>43</v>
      </c>
    </row>
    <row r="4" spans="1:25" x14ac:dyDescent="0.35">
      <c r="B4" t="s">
        <v>12</v>
      </c>
      <c r="H4" s="12">
        <v>4.3</v>
      </c>
      <c r="I4" s="18" t="s">
        <v>28</v>
      </c>
    </row>
    <row r="5" spans="1:25" x14ac:dyDescent="0.35">
      <c r="B5" s="27" t="s">
        <v>0</v>
      </c>
      <c r="C5" s="28">
        <v>0.1</v>
      </c>
      <c r="D5" s="28">
        <v>0.15</v>
      </c>
      <c r="E5" s="28">
        <v>0.2</v>
      </c>
      <c r="F5" s="28">
        <v>0.25</v>
      </c>
      <c r="G5" s="28">
        <v>0.3</v>
      </c>
    </row>
    <row r="6" spans="1:25" x14ac:dyDescent="0.35">
      <c r="B6" s="27" t="s">
        <v>1</v>
      </c>
      <c r="C6" s="28">
        <v>0.89</v>
      </c>
      <c r="D6" s="28">
        <v>0.59</v>
      </c>
      <c r="E6" s="28">
        <v>0.44</v>
      </c>
      <c r="F6" s="28">
        <v>0.37</v>
      </c>
      <c r="G6" s="28">
        <v>0.3</v>
      </c>
    </row>
    <row r="7" spans="1:25" x14ac:dyDescent="0.35">
      <c r="B7" s="27" t="s">
        <v>2</v>
      </c>
      <c r="C7" s="28">
        <f>ABS(C6*C5/PI())</f>
        <v>2.8329579870357374E-2</v>
      </c>
      <c r="D7" s="28">
        <f t="shared" ref="D7:G7" si="0">ABS(D6*D5/PI())</f>
        <v>2.8170424927265476E-2</v>
      </c>
      <c r="E7" s="28">
        <f t="shared" si="0"/>
        <v>2.8011269984173581E-2</v>
      </c>
      <c r="F7" s="28">
        <f t="shared" si="0"/>
        <v>2.9443664472000638E-2</v>
      </c>
      <c r="G7" s="28">
        <f t="shared" si="0"/>
        <v>2.8647889756541159E-2</v>
      </c>
      <c r="H7" s="12">
        <f>AVERAGE(C7:G7)</f>
        <v>2.8520565802067643E-2</v>
      </c>
      <c r="I7" s="18" t="s">
        <v>20</v>
      </c>
    </row>
    <row r="8" spans="1:25" x14ac:dyDescent="0.35">
      <c r="B8" s="27" t="s">
        <v>21</v>
      </c>
      <c r="C8" s="28">
        <f>(C7-$H$7)^2</f>
        <v>3.6475626111239581E-8</v>
      </c>
      <c r="D8" s="28">
        <f t="shared" ref="D8:G8" si="1">(D7-$H$7)^2</f>
        <v>1.2259863220722678E-7</v>
      </c>
      <c r="E8" s="28">
        <f t="shared" si="1"/>
        <v>2.5938223012438094E-7</v>
      </c>
      <c r="F8" s="28">
        <f t="shared" si="1"/>
        <v>8.5211115443206471E-7</v>
      </c>
      <c r="G8" s="28">
        <f t="shared" si="1"/>
        <v>1.621138938277403E-8</v>
      </c>
      <c r="H8" s="12">
        <f>SQRT(SUM(C8:G8)/(5*4))</f>
        <v>2.5365124011698486E-4</v>
      </c>
      <c r="I8" s="18" t="s">
        <v>22</v>
      </c>
    </row>
    <row r="9" spans="1:25" x14ac:dyDescent="0.35">
      <c r="B9" s="27" t="s">
        <v>3</v>
      </c>
      <c r="C9" s="30" t="s">
        <v>26</v>
      </c>
      <c r="D9" s="30"/>
      <c r="E9" s="30"/>
      <c r="F9" s="30"/>
      <c r="G9" s="30"/>
      <c r="H9" s="12">
        <f>H2*H8</f>
        <v>7.0515044752521782E-4</v>
      </c>
      <c r="I9" s="18" t="s">
        <v>23</v>
      </c>
    </row>
    <row r="11" spans="1:25" x14ac:dyDescent="0.35">
      <c r="B11" t="s">
        <v>11</v>
      </c>
      <c r="G11" s="9" t="s">
        <v>29</v>
      </c>
      <c r="H11" s="12" t="s">
        <v>30</v>
      </c>
      <c r="R11" s="33"/>
      <c r="S11" s="33"/>
      <c r="T11" s="33"/>
      <c r="U11" s="33"/>
      <c r="V11" s="33"/>
      <c r="W11" s="33"/>
      <c r="X11" s="33"/>
      <c r="Y11" s="33"/>
    </row>
    <row r="12" spans="1:25" x14ac:dyDescent="0.35">
      <c r="B12" s="27" t="s">
        <v>25</v>
      </c>
      <c r="C12" s="28" t="s">
        <v>4</v>
      </c>
      <c r="D12" s="28" t="s">
        <v>5</v>
      </c>
      <c r="E12" s="28" t="s">
        <v>6</v>
      </c>
      <c r="F12" s="28" t="s">
        <v>7</v>
      </c>
      <c r="G12" s="28" t="s">
        <v>8</v>
      </c>
      <c r="H12" s="29" t="s">
        <v>9</v>
      </c>
      <c r="I12" s="18" t="s">
        <v>32</v>
      </c>
      <c r="J12" s="19" t="s">
        <v>33</v>
      </c>
      <c r="K12" s="19" t="s">
        <v>34</v>
      </c>
      <c r="L12" s="9" t="s">
        <v>36</v>
      </c>
      <c r="M12" s="9" t="s">
        <v>42</v>
      </c>
      <c r="N12" s="20" t="s">
        <v>38</v>
      </c>
      <c r="O12" s="20" t="s">
        <v>49</v>
      </c>
      <c r="P12" s="24" t="s">
        <v>39</v>
      </c>
      <c r="Q12" s="24" t="s">
        <v>40</v>
      </c>
      <c r="R12" s="17"/>
      <c r="S12" s="33"/>
      <c r="T12" s="33"/>
      <c r="U12" s="33"/>
      <c r="V12" s="33"/>
      <c r="W12" s="33"/>
      <c r="X12" s="33"/>
      <c r="Y12" s="33"/>
    </row>
    <row r="13" spans="1:25" x14ac:dyDescent="0.35">
      <c r="A13">
        <v>1</v>
      </c>
      <c r="B13" s="27">
        <v>0.05</v>
      </c>
      <c r="C13" s="28">
        <v>2.8016000000000001</v>
      </c>
      <c r="D13" s="28">
        <v>2.8374999999999999</v>
      </c>
      <c r="E13" s="28">
        <v>2.8005999999999998</v>
      </c>
      <c r="F13" s="28">
        <v>2.8132333333333337</v>
      </c>
      <c r="G13" s="29">
        <f>B13^2</f>
        <v>2.5000000000000005E-3</v>
      </c>
      <c r="H13" s="28">
        <f>F13^2</f>
        <v>7.9142817877777798</v>
      </c>
      <c r="I13" s="18">
        <f>G13-$G$19</f>
        <v>-3.5416666666666666E-2</v>
      </c>
      <c r="J13" s="18">
        <f>H13-$H$19</f>
        <v>-26.198627928703701</v>
      </c>
      <c r="K13" s="18">
        <f>I13^2</f>
        <v>1.2543402777777776E-3</v>
      </c>
      <c r="L13" s="9">
        <f>J13*I13</f>
        <v>0.92786807247492276</v>
      </c>
      <c r="M13" s="9">
        <f>(H13-($N$13*G13+$O$13))^2</f>
        <v>9.1425275563611959E-3</v>
      </c>
      <c r="N13" s="21">
        <f>L19/K19</f>
        <v>742.42572688901316</v>
      </c>
      <c r="O13" s="21">
        <f>H19-G19*N13</f>
        <v>5.9626009052730673</v>
      </c>
      <c r="P13" s="25">
        <f>N13*H7/(8*PI()^2)</f>
        <v>0.26817693162236667</v>
      </c>
      <c r="Q13" s="25">
        <f>O13*H7/(4*PI()^2)</f>
        <v>4.3075878363356334E-3</v>
      </c>
      <c r="R13" s="33"/>
      <c r="S13" s="33"/>
      <c r="T13" s="33"/>
      <c r="U13" s="33"/>
      <c r="V13" s="33"/>
      <c r="W13" s="33"/>
      <c r="X13" s="33"/>
      <c r="Y13" s="33"/>
    </row>
    <row r="14" spans="1:25" x14ac:dyDescent="0.35">
      <c r="A14">
        <v>2</v>
      </c>
      <c r="B14" s="27">
        <v>0.1</v>
      </c>
      <c r="C14" s="28">
        <v>3.6711</v>
      </c>
      <c r="D14" s="28">
        <v>3.6679000000000004</v>
      </c>
      <c r="E14" s="28">
        <v>3.7018000000000004</v>
      </c>
      <c r="F14" s="28">
        <v>3.6802666666666664</v>
      </c>
      <c r="G14" s="29">
        <f t="shared" ref="G14:G18" si="2">B14^2</f>
        <v>1.0000000000000002E-2</v>
      </c>
      <c r="H14" s="28">
        <f t="shared" ref="H14:H18" si="3">F14^2</f>
        <v>13.544362737777776</v>
      </c>
      <c r="I14" s="18">
        <f t="shared" ref="I14:I18" si="4">G14-$G$19</f>
        <v>-2.7916666666666666E-2</v>
      </c>
      <c r="J14" s="18">
        <f t="shared" ref="J14:J18" si="5">H14-$H$19</f>
        <v>-20.568546978703708</v>
      </c>
      <c r="K14" s="18">
        <f t="shared" ref="K14:K18" si="6">I14^2</f>
        <v>7.7934027777777778E-4</v>
      </c>
      <c r="L14" s="9">
        <f t="shared" ref="L14:L18" si="7">J14*I14</f>
        <v>0.57420526982214515</v>
      </c>
      <c r="M14" s="9">
        <f t="shared" ref="M14:M17" si="8">(H14-($N$13*G14+$O$13))^2</f>
        <v>2.4807687559417663E-2</v>
      </c>
      <c r="P14" s="32">
        <v>0.26</v>
      </c>
      <c r="Q14" s="32">
        <f>(0.62^2*0.135)/12</f>
        <v>4.3245000000000002E-3</v>
      </c>
      <c r="R14" s="33"/>
      <c r="S14" s="33"/>
      <c r="T14" s="33"/>
      <c r="U14" s="33"/>
      <c r="V14" s="33"/>
      <c r="W14" s="33"/>
      <c r="X14" s="33"/>
      <c r="Y14" s="33"/>
    </row>
    <row r="15" spans="1:25" x14ac:dyDescent="0.35">
      <c r="A15">
        <v>3</v>
      </c>
      <c r="B15" s="27">
        <v>0.15</v>
      </c>
      <c r="C15" s="28">
        <v>4.7907000000000002</v>
      </c>
      <c r="D15" s="28">
        <v>4.7293000000000003</v>
      </c>
      <c r="E15" s="28">
        <v>4.7584999999999997</v>
      </c>
      <c r="F15" s="28">
        <v>4.7595000000000001</v>
      </c>
      <c r="G15" s="29">
        <f t="shared" si="2"/>
        <v>2.2499999999999999E-2</v>
      </c>
      <c r="H15" s="28">
        <f t="shared" si="3"/>
        <v>22.652840250000001</v>
      </c>
      <c r="I15" s="18">
        <f t="shared" si="4"/>
        <v>-1.5416666666666669E-2</v>
      </c>
      <c r="J15" s="18">
        <f t="shared" si="5"/>
        <v>-11.460069466481482</v>
      </c>
      <c r="K15" s="18">
        <f t="shared" si="6"/>
        <v>2.3767361111111116E-4</v>
      </c>
      <c r="L15" s="9">
        <f t="shared" si="7"/>
        <v>0.17667607094158955</v>
      </c>
      <c r="M15" s="9">
        <f t="shared" si="8"/>
        <v>2.0562155495160601E-4</v>
      </c>
      <c r="N15" t="s">
        <v>22</v>
      </c>
      <c r="R15" s="33"/>
      <c r="S15" s="33"/>
      <c r="T15" s="33"/>
      <c r="U15" s="33"/>
      <c r="V15" s="33"/>
      <c r="W15" s="33"/>
      <c r="X15" s="33"/>
      <c r="Y15" s="33"/>
    </row>
    <row r="16" spans="1:25" x14ac:dyDescent="0.35">
      <c r="A16">
        <v>4</v>
      </c>
      <c r="B16" s="27">
        <v>0.2</v>
      </c>
      <c r="C16" s="28">
        <v>5.9623999999999997</v>
      </c>
      <c r="D16" s="28">
        <v>5.9560000000000004</v>
      </c>
      <c r="E16" s="28">
        <v>5.9083000000000006</v>
      </c>
      <c r="F16" s="28">
        <v>5.9422333333333333</v>
      </c>
      <c r="G16" s="29">
        <f t="shared" si="2"/>
        <v>4.0000000000000008E-2</v>
      </c>
      <c r="H16" s="28">
        <f t="shared" si="3"/>
        <v>35.310136987777774</v>
      </c>
      <c r="I16" s="18">
        <f t="shared" si="4"/>
        <v>2.0833333333333398E-3</v>
      </c>
      <c r="J16" s="18">
        <f t="shared" si="5"/>
        <v>1.1972272712962919</v>
      </c>
      <c r="K16" s="18">
        <f t="shared" si="6"/>
        <v>4.3402777777778049E-6</v>
      </c>
      <c r="L16" s="9">
        <f t="shared" si="7"/>
        <v>2.4942234818672825E-3</v>
      </c>
      <c r="M16" s="9">
        <f t="shared" si="8"/>
        <v>0.12214535219511943</v>
      </c>
      <c r="N16">
        <f>1/K19*M19/4</f>
        <v>9.1965233415612087</v>
      </c>
      <c r="O16">
        <f>(1/6+G19^2/K19)*M19/(6-1)</f>
        <v>1.743507550170979E-2</v>
      </c>
      <c r="R16" s="33"/>
      <c r="S16" s="33"/>
      <c r="T16" s="33"/>
      <c r="U16" s="33"/>
      <c r="V16" s="33"/>
      <c r="W16" s="33"/>
      <c r="X16" s="33"/>
      <c r="Y16" s="33"/>
    </row>
    <row r="17" spans="1:25" x14ac:dyDescent="0.35">
      <c r="A17">
        <v>5</v>
      </c>
      <c r="B17" s="27">
        <v>0.25</v>
      </c>
      <c r="C17" s="28">
        <v>7.2084000000000001</v>
      </c>
      <c r="D17" s="28">
        <v>7.2590000000000003</v>
      </c>
      <c r="E17" s="28">
        <v>7.2225000000000001</v>
      </c>
      <c r="F17" s="28">
        <v>7.2299666666666669</v>
      </c>
      <c r="G17" s="29">
        <f t="shared" si="2"/>
        <v>6.25E-2</v>
      </c>
      <c r="H17" s="28">
        <f t="shared" si="3"/>
        <v>52.272418001111113</v>
      </c>
      <c r="I17" s="18">
        <f t="shared" si="4"/>
        <v>2.4583333333333332E-2</v>
      </c>
      <c r="J17" s="18">
        <f t="shared" si="5"/>
        <v>18.159508284629631</v>
      </c>
      <c r="K17" s="18">
        <f t="shared" si="6"/>
        <v>6.0434027777777775E-4</v>
      </c>
      <c r="L17" s="9">
        <f t="shared" si="7"/>
        <v>0.44642124533047839</v>
      </c>
      <c r="M17" s="9">
        <f t="shared" si="8"/>
        <v>8.4255573395637592E-3</v>
      </c>
      <c r="N17" s="21" t="s">
        <v>23</v>
      </c>
      <c r="O17" s="21"/>
      <c r="P17" s="25"/>
      <c r="Q17" s="25"/>
      <c r="R17" s="33"/>
      <c r="S17" s="33"/>
      <c r="T17" s="33"/>
      <c r="U17" s="33"/>
      <c r="V17" s="33"/>
      <c r="W17" s="33"/>
      <c r="X17" s="33"/>
      <c r="Y17" s="33"/>
    </row>
    <row r="18" spans="1:25" x14ac:dyDescent="0.35">
      <c r="A18">
        <v>6</v>
      </c>
      <c r="B18" s="27">
        <v>0.3</v>
      </c>
      <c r="C18" s="28">
        <v>8.5495999999999999</v>
      </c>
      <c r="D18" s="28">
        <v>8.5298999999999996</v>
      </c>
      <c r="E18" s="28">
        <v>8.5495999999999999</v>
      </c>
      <c r="F18" s="28">
        <v>8.5430333333333337</v>
      </c>
      <c r="G18" s="29">
        <f t="shared" si="2"/>
        <v>0.09</v>
      </c>
      <c r="H18" s="28">
        <f t="shared" si="3"/>
        <v>72.983418534444453</v>
      </c>
      <c r="I18" s="18">
        <f t="shared" si="4"/>
        <v>5.2083333333333329E-2</v>
      </c>
      <c r="J18" s="18">
        <f t="shared" si="5"/>
        <v>38.870508817962971</v>
      </c>
      <c r="K18" s="18">
        <f t="shared" si="6"/>
        <v>2.7126736111111106E-3</v>
      </c>
      <c r="L18" s="9">
        <f t="shared" si="7"/>
        <v>2.0245056676022379</v>
      </c>
      <c r="M18" s="9">
        <f>(H18-($N$13*G18+$O$13))^2</f>
        <v>4.1007144714761842E-2</v>
      </c>
      <c r="N18" s="21">
        <f>N16*$H$1</f>
        <v>23.635064987812306</v>
      </c>
      <c r="O18" s="21">
        <f>O16*$H$1</f>
        <v>4.4808144039394156E-2</v>
      </c>
      <c r="P18" s="25">
        <f>(N18/N13+H9/H7)*P13</f>
        <v>1.5167873137585974E-2</v>
      </c>
      <c r="Q18" s="25">
        <f>Q13*(2*O18/O13+H9/H7)</f>
        <v>1.7124389345102628E-4</v>
      </c>
      <c r="R18" s="33"/>
      <c r="S18" s="33"/>
      <c r="T18" s="33"/>
      <c r="U18" s="33"/>
      <c r="V18" s="33"/>
      <c r="W18" s="33"/>
      <c r="X18" s="33"/>
      <c r="Y18" s="33"/>
    </row>
    <row r="19" spans="1:25" x14ac:dyDescent="0.35">
      <c r="B19" s="2"/>
      <c r="C19" s="11"/>
      <c r="D19" s="11"/>
      <c r="E19" s="11"/>
      <c r="F19" s="9" t="s">
        <v>31</v>
      </c>
      <c r="G19" s="13">
        <f>AVERAGE(G13:G18)</f>
        <v>3.7916666666666668E-2</v>
      </c>
      <c r="H19" s="13">
        <f>AVERAGE(H13:H18)</f>
        <v>34.112909716481482</v>
      </c>
      <c r="I19" s="18">
        <f>SUM(I13:I18)</f>
        <v>0</v>
      </c>
      <c r="J19" s="18">
        <f>SUM(J13:J18)</f>
        <v>0</v>
      </c>
      <c r="K19" s="18">
        <f>SUM(K13:K18)</f>
        <v>5.5927083333333332E-3</v>
      </c>
      <c r="L19" s="9">
        <f>SUM(L13:L18)</f>
        <v>4.1521705496532411</v>
      </c>
      <c r="M19" s="9">
        <f>SUM(M13:M18)</f>
        <v>0.20573389092017552</v>
      </c>
      <c r="N19" t="s">
        <v>37</v>
      </c>
      <c r="R19" s="33"/>
      <c r="S19" s="33"/>
      <c r="T19" s="33"/>
      <c r="U19" s="33"/>
      <c r="V19" s="33"/>
      <c r="W19" s="33"/>
      <c r="X19" s="33"/>
      <c r="Y19" s="33"/>
    </row>
    <row r="20" spans="1:25" x14ac:dyDescent="0.35">
      <c r="B20" t="s">
        <v>10</v>
      </c>
      <c r="G20" s="9" t="s">
        <v>29</v>
      </c>
      <c r="H20" s="12" t="s">
        <v>30</v>
      </c>
      <c r="K20" s="18" t="s">
        <v>41</v>
      </c>
      <c r="R20" s="33"/>
      <c r="S20" s="33"/>
      <c r="T20" s="33"/>
      <c r="U20" s="33"/>
      <c r="V20" s="33"/>
      <c r="W20" s="33"/>
      <c r="X20" s="33"/>
      <c r="Y20" s="33"/>
    </row>
    <row r="21" spans="1:25" x14ac:dyDescent="0.35">
      <c r="B21" s="27" t="s">
        <v>25</v>
      </c>
      <c r="C21" s="28" t="s">
        <v>4</v>
      </c>
      <c r="D21" s="28" t="s">
        <v>5</v>
      </c>
      <c r="E21" s="28" t="s">
        <v>6</v>
      </c>
      <c r="F21" s="28" t="s">
        <v>7</v>
      </c>
      <c r="G21" s="28" t="s">
        <v>8</v>
      </c>
      <c r="H21" s="29" t="s">
        <v>9</v>
      </c>
      <c r="I21" s="18" t="s">
        <v>32</v>
      </c>
      <c r="J21" s="19" t="s">
        <v>33</v>
      </c>
      <c r="K21" s="19" t="s">
        <v>34</v>
      </c>
      <c r="L21" s="9" t="s">
        <v>36</v>
      </c>
      <c r="M21" s="9" t="s">
        <v>42</v>
      </c>
      <c r="N21" s="22" t="s">
        <v>38</v>
      </c>
      <c r="O21" s="22" t="s">
        <v>49</v>
      </c>
      <c r="P21" s="26" t="s">
        <v>39</v>
      </c>
      <c r="Q21" s="34" t="s">
        <v>46</v>
      </c>
      <c r="R21" s="35" t="s">
        <v>48</v>
      </c>
      <c r="S21" s="33"/>
      <c r="T21" s="33"/>
      <c r="U21" s="33"/>
      <c r="V21" s="33"/>
      <c r="W21" s="33"/>
      <c r="X21" s="33"/>
      <c r="Y21" s="33"/>
    </row>
    <row r="22" spans="1:25" x14ac:dyDescent="0.35">
      <c r="B22" s="27">
        <v>0.02</v>
      </c>
      <c r="C22" s="28">
        <v>3.8906000000000001</v>
      </c>
      <c r="D22" s="28">
        <v>3.9592000000000001</v>
      </c>
      <c r="E22" s="28">
        <v>3.9069000000000003</v>
      </c>
      <c r="F22" s="28">
        <v>3.9188999999999998</v>
      </c>
      <c r="G22" s="31">
        <f>B22^2</f>
        <v>4.0000000000000002E-4</v>
      </c>
      <c r="H22" s="29">
        <f>F22^2</f>
        <v>15.357777209999998</v>
      </c>
      <c r="I22" s="18">
        <f>G22-$G$26</f>
        <v>-8.0000000000000019E-3</v>
      </c>
      <c r="J22" s="18">
        <f>H22-$H$26</f>
        <v>-7.1293668919444428</v>
      </c>
      <c r="K22" s="18">
        <f>I22^2</f>
        <v>6.4000000000000024E-5</v>
      </c>
      <c r="L22" s="9">
        <f>J22*I22</f>
        <v>5.7034935135555555E-2</v>
      </c>
      <c r="M22" s="9">
        <f>(H22-($N$22*G22+$O$22))^2</f>
        <v>4.6358140346086331E-3</v>
      </c>
      <c r="N22" s="21">
        <f>L26/K26</f>
        <v>899.68171305390149</v>
      </c>
      <c r="O22" s="21">
        <f>H26-N22*G26</f>
        <v>14.929817712291667</v>
      </c>
      <c r="P22" s="25">
        <f>N22*H7/(4*PI()^2)</f>
        <v>0.64996099274350294</v>
      </c>
      <c r="Q22" s="36">
        <f>O22*H7/(4*PI()^2)</f>
        <v>1.0785813472657805E-2</v>
      </c>
      <c r="R22" s="37">
        <f>2*(Q22-Q13)</f>
        <v>1.2956451272644344E-2</v>
      </c>
      <c r="S22" s="33"/>
      <c r="T22" s="33"/>
      <c r="U22" s="33"/>
      <c r="V22" s="33"/>
      <c r="W22" s="33"/>
      <c r="X22" s="33"/>
      <c r="Y22" s="33"/>
    </row>
    <row r="23" spans="1:25" x14ac:dyDescent="0.35">
      <c r="B23" s="27">
        <v>0.06</v>
      </c>
      <c r="C23" s="28">
        <v>4.3013000000000003</v>
      </c>
      <c r="D23" s="28">
        <v>4.2355</v>
      </c>
      <c r="E23" s="28">
        <v>4.2435</v>
      </c>
      <c r="F23" s="28">
        <v>4.2600999999999996</v>
      </c>
      <c r="G23" s="31">
        <f t="shared" ref="G23:G25" si="9">B23^2</f>
        <v>3.5999999999999999E-3</v>
      </c>
      <c r="H23" s="29">
        <f t="shared" ref="H23:H25" si="10">F23^2</f>
        <v>18.148452009999996</v>
      </c>
      <c r="I23" s="18">
        <f t="shared" ref="I23:I25" si="11">G23-$G$26</f>
        <v>-4.8000000000000013E-3</v>
      </c>
      <c r="J23" s="18">
        <f t="shared" ref="J23:J25" si="12">H23-$H$26</f>
        <v>-4.3386920919444449</v>
      </c>
      <c r="K23" s="18">
        <f t="shared" ref="K23:K26" si="13">I23^2</f>
        <v>2.3040000000000013E-5</v>
      </c>
      <c r="L23" s="9">
        <f t="shared" ref="L23:L26" si="14">J23*I23</f>
        <v>2.0825722041333341E-2</v>
      </c>
      <c r="M23" s="9">
        <f t="shared" ref="M23:M25" si="15">(H23-($N$22*G23+$O$22))^2</f>
        <v>4.0884311393138097E-4</v>
      </c>
      <c r="N23" t="s">
        <v>22</v>
      </c>
      <c r="P23" s="32"/>
      <c r="R23" s="32">
        <f>0.16^2*0.495</f>
        <v>1.2672000000000001E-2</v>
      </c>
      <c r="S23" s="33"/>
      <c r="T23" s="33"/>
      <c r="U23" s="33"/>
      <c r="V23" s="33"/>
      <c r="W23" s="33"/>
      <c r="X23" s="33"/>
      <c r="Y23" s="33"/>
    </row>
    <row r="24" spans="1:25" x14ac:dyDescent="0.35">
      <c r="B24" s="27">
        <v>0.1</v>
      </c>
      <c r="C24" s="28">
        <v>4.8858999999999995</v>
      </c>
      <c r="D24" s="28">
        <v>4.8582999999999998</v>
      </c>
      <c r="E24" s="28">
        <v>4.8988000000000005</v>
      </c>
      <c r="F24" s="28">
        <v>4.8810000000000002</v>
      </c>
      <c r="G24" s="31">
        <f t="shared" si="9"/>
        <v>1.0000000000000002E-2</v>
      </c>
      <c r="H24" s="29">
        <f t="shared" si="10"/>
        <v>23.824161000000004</v>
      </c>
      <c r="I24" s="18">
        <f t="shared" si="11"/>
        <v>1.6000000000000007E-3</v>
      </c>
      <c r="J24" s="18">
        <f t="shared" si="12"/>
        <v>1.3370168980555626</v>
      </c>
      <c r="K24" s="18">
        <f t="shared" si="13"/>
        <v>2.5600000000000022E-6</v>
      </c>
      <c r="L24" s="9">
        <f t="shared" si="14"/>
        <v>2.1392270368889013E-3</v>
      </c>
      <c r="M24" s="9">
        <f t="shared" si="15"/>
        <v>1.0500888464486852E-2</v>
      </c>
      <c r="N24">
        <f>1/K26*(M26/2)</f>
        <v>43.079099470300562</v>
      </c>
      <c r="O24">
        <f>(1/4+G26^2/K26)*M26/2</f>
        <v>5.3555936461477677E-3</v>
      </c>
      <c r="R24" s="33"/>
      <c r="S24" s="33"/>
      <c r="T24" s="33"/>
      <c r="U24" s="33"/>
      <c r="V24" s="33"/>
      <c r="W24" s="33"/>
      <c r="X24" s="33"/>
      <c r="Y24" s="33"/>
    </row>
    <row r="25" spans="1:25" x14ac:dyDescent="0.35">
      <c r="B25" s="27">
        <v>0.14000000000000001</v>
      </c>
      <c r="C25" s="28">
        <v>5.7176999999999998</v>
      </c>
      <c r="D25" s="28">
        <v>5.6896000000000004</v>
      </c>
      <c r="E25" s="28">
        <v>5.7263999999999999</v>
      </c>
      <c r="F25" s="28">
        <v>5.7112333333333325</v>
      </c>
      <c r="G25" s="31">
        <f t="shared" si="9"/>
        <v>1.9600000000000003E-2</v>
      </c>
      <c r="H25" s="29">
        <f t="shared" si="10"/>
        <v>32.618186187777766</v>
      </c>
      <c r="I25" s="18">
        <f t="shared" si="11"/>
        <v>1.1200000000000002E-2</v>
      </c>
      <c r="J25" s="18">
        <f t="shared" si="12"/>
        <v>10.131042085833325</v>
      </c>
      <c r="K25" s="18">
        <f t="shared" si="13"/>
        <v>1.2544000000000005E-4</v>
      </c>
      <c r="L25" s="9">
        <f t="shared" si="14"/>
        <v>0.11346767136133326</v>
      </c>
      <c r="M25" s="9">
        <f t="shared" si="15"/>
        <v>2.9819134871600064E-3</v>
      </c>
      <c r="N25" s="21" t="s">
        <v>23</v>
      </c>
      <c r="O25" s="21"/>
      <c r="P25" s="25"/>
      <c r="Q25" s="25"/>
      <c r="R25" s="36"/>
      <c r="S25" s="33"/>
      <c r="T25" s="33"/>
      <c r="U25" s="33"/>
      <c r="V25" s="33"/>
      <c r="W25" s="33"/>
      <c r="X25" s="33"/>
      <c r="Y25" s="33"/>
    </row>
    <row r="26" spans="1:25" x14ac:dyDescent="0.35">
      <c r="B26" s="2"/>
      <c r="C26" s="11"/>
      <c r="D26" s="11"/>
      <c r="E26" s="11"/>
      <c r="F26" s="11"/>
      <c r="G26" s="11">
        <f>AVERAGE(G22:G25)</f>
        <v>8.4000000000000012E-3</v>
      </c>
      <c r="H26" s="11">
        <f>AVERAGE(H22:H25)</f>
        <v>22.487144101944441</v>
      </c>
      <c r="I26" s="18">
        <f>SUM(I22:I25)</f>
        <v>0</v>
      </c>
      <c r="J26" s="18">
        <f>SUM(J22:J25)</f>
        <v>0</v>
      </c>
      <c r="K26" s="18">
        <f>SUM(K22:K25)</f>
        <v>2.1504000000000008E-4</v>
      </c>
      <c r="L26" s="18">
        <f>SUM(L22:L25)</f>
        <v>0.19346755557511106</v>
      </c>
      <c r="M26" s="18">
        <f>SUM(M22:M25)</f>
        <v>1.8527459100186872E-2</v>
      </c>
      <c r="N26" s="23">
        <f>N24*$H$3</f>
        <v>137.33616911131821</v>
      </c>
      <c r="O26" s="23">
        <f>O24*$H$3</f>
        <v>1.7073632543919085E-2</v>
      </c>
      <c r="P26" s="25">
        <f>(N26/N22+H9/H7)*P22</f>
        <v>0.11528618640051833</v>
      </c>
      <c r="Q26" s="25">
        <f>Q22*(2*O26/O22+H9/H7)</f>
        <v>2.91340627617284E-4</v>
      </c>
      <c r="R26" s="36">
        <f>Q26+Q18</f>
        <v>4.6258452106831029E-4</v>
      </c>
      <c r="S26" s="33"/>
      <c r="T26" s="33"/>
      <c r="U26" s="33"/>
      <c r="V26" s="33"/>
      <c r="W26" s="33"/>
      <c r="X26" s="33"/>
      <c r="Y26" s="33"/>
    </row>
    <row r="27" spans="1:25" x14ac:dyDescent="0.35">
      <c r="B27" t="s">
        <v>13</v>
      </c>
      <c r="K27" s="18" t="s">
        <v>41</v>
      </c>
      <c r="R27" s="33"/>
      <c r="S27" s="33"/>
      <c r="T27" s="33"/>
      <c r="U27" s="33"/>
      <c r="V27" s="33"/>
      <c r="W27" s="33"/>
      <c r="X27" s="33"/>
      <c r="Y27" s="33"/>
    </row>
    <row r="28" spans="1:25" x14ac:dyDescent="0.35">
      <c r="B28" s="27" t="s">
        <v>14</v>
      </c>
      <c r="C28" s="28" t="s">
        <v>4</v>
      </c>
      <c r="D28" s="28" t="s">
        <v>5</v>
      </c>
      <c r="E28" s="28" t="s">
        <v>6</v>
      </c>
      <c r="F28" s="28" t="s">
        <v>7</v>
      </c>
      <c r="G28" s="28" t="s">
        <v>15</v>
      </c>
      <c r="H28" s="12" t="s">
        <v>45</v>
      </c>
      <c r="N28" s="12" t="s">
        <v>46</v>
      </c>
      <c r="O28" s="18" t="s">
        <v>47</v>
      </c>
      <c r="P28" s="18" t="s">
        <v>40</v>
      </c>
      <c r="Q28" s="9" t="s">
        <v>44</v>
      </c>
      <c r="R28" t="s">
        <v>47</v>
      </c>
      <c r="S28" t="s">
        <v>39</v>
      </c>
      <c r="T28" t="s">
        <v>50</v>
      </c>
      <c r="U28" s="32" t="s">
        <v>51</v>
      </c>
      <c r="V28" s="36" t="s">
        <v>52</v>
      </c>
    </row>
    <row r="29" spans="1:25" x14ac:dyDescent="0.35">
      <c r="B29" s="27" t="s">
        <v>19</v>
      </c>
      <c r="C29" s="28">
        <v>3.0929000000000002</v>
      </c>
      <c r="D29" s="28">
        <v>3.0985999999999998</v>
      </c>
      <c r="E29" s="28">
        <v>3.1209000000000002</v>
      </c>
      <c r="F29" s="28">
        <v>3.1041333333333334</v>
      </c>
      <c r="G29" s="28"/>
      <c r="H29" s="12">
        <f>SQRT(((F29-C29)^2 + (F29-D29)^2 + (F29-E29)^2)/6)*$H$4</f>
        <v>3.6736140394863573E-2</v>
      </c>
      <c r="N29" s="12">
        <f>F29^2*0.028/(4*PI()^2)</f>
        <v>6.8340638101293131E-3</v>
      </c>
      <c r="O29" s="18">
        <f>(2*H29/F29)*N29</f>
        <v>1.6175666483164385E-4</v>
      </c>
      <c r="P29" s="18">
        <f>$Q$14</f>
        <v>4.3245000000000002E-3</v>
      </c>
      <c r="Q29" s="18">
        <f>N29-P29</f>
        <v>2.5095638101293128E-3</v>
      </c>
      <c r="R29">
        <v>1.6175666483164385E-4</v>
      </c>
      <c r="S29">
        <v>0.42499999999999999</v>
      </c>
      <c r="T29">
        <f>0.22/2</f>
        <v>0.11</v>
      </c>
      <c r="U29" s="32">
        <f>T29^2*0.5*S29</f>
        <v>2.5712499999999998E-3</v>
      </c>
      <c r="V29" s="36">
        <v>2.5095638101293128E-3</v>
      </c>
    </row>
    <row r="30" spans="1:25" x14ac:dyDescent="0.35">
      <c r="B30" s="27" t="s">
        <v>18</v>
      </c>
      <c r="C30" s="28">
        <v>2.5981999999999998</v>
      </c>
      <c r="D30" s="28">
        <v>2.6421000000000001</v>
      </c>
      <c r="E30" s="28">
        <v>2.633</v>
      </c>
      <c r="F30" s="28">
        <v>2.6244333333333332</v>
      </c>
      <c r="G30" s="28"/>
      <c r="H30" s="12">
        <f>SQRT(((F30-C30)^2 + (F30-D30)^2 + (F30-E30)^2)/6)*$H$4</f>
        <v>5.7521686441820784E-2</v>
      </c>
      <c r="N30" s="12">
        <f>F30^2*0.028/(4*PI()^2)</f>
        <v>4.8850541813465391E-3</v>
      </c>
      <c r="O30" s="18">
        <f>(2*H30/F30)*N30</f>
        <v>2.1413884003204845E-4</v>
      </c>
      <c r="P30" s="18">
        <f t="shared" ref="P30:P32" si="16">$Q$14</f>
        <v>4.3245000000000002E-3</v>
      </c>
      <c r="Q30" s="18">
        <f t="shared" ref="Q30:Q32" si="17">N30-P30</f>
        <v>5.6055418134653891E-4</v>
      </c>
      <c r="R30">
        <v>2.1413884003204845E-4</v>
      </c>
      <c r="S30">
        <v>0.42499999999999999</v>
      </c>
      <c r="T30">
        <f>0.09/2</f>
        <v>4.4999999999999998E-2</v>
      </c>
      <c r="U30" s="32">
        <f>T30^2*S30</f>
        <v>8.6062499999999995E-4</v>
      </c>
      <c r="V30" s="36">
        <v>5.6055418134653891E-4</v>
      </c>
    </row>
    <row r="31" spans="1:25" x14ac:dyDescent="0.35">
      <c r="B31" s="27" t="s">
        <v>17</v>
      </c>
      <c r="C31" s="28">
        <v>2.7884000000000002</v>
      </c>
      <c r="D31" s="28">
        <v>2.7583000000000002</v>
      </c>
      <c r="E31" s="28">
        <v>2.7435</v>
      </c>
      <c r="F31" s="28">
        <v>2.7634000000000003</v>
      </c>
      <c r="G31" s="28"/>
      <c r="H31" s="12">
        <f t="shared" ref="H30:H32" si="18">SQRT(((F31-C31)^2 + (F31-D31)^2 + (F31-E31)^2)/6)*$H$4</f>
        <v>5.6802875220655455E-2</v>
      </c>
      <c r="N31" s="12">
        <f>F31^2*0.028/(4*PI()^2)</f>
        <v>5.4160891103294832E-3</v>
      </c>
      <c r="O31" s="18">
        <f>(2*H31/F31)*N31</f>
        <v>2.2266008100021452E-4</v>
      </c>
      <c r="P31" s="18">
        <f t="shared" si="16"/>
        <v>4.3245000000000002E-3</v>
      </c>
      <c r="Q31" s="18">
        <f t="shared" si="17"/>
        <v>1.091589110329483E-3</v>
      </c>
      <c r="R31">
        <v>2.2266008100021452E-4</v>
      </c>
      <c r="S31">
        <v>0.42499999999999999</v>
      </c>
      <c r="T31">
        <f>0.09/2</f>
        <v>4.4999999999999998E-2</v>
      </c>
      <c r="U31" s="32">
        <f>T31^2*S31*0.5</f>
        <v>4.3031249999999998E-4</v>
      </c>
      <c r="V31" s="36">
        <v>1.091589110329483E-3</v>
      </c>
    </row>
    <row r="32" spans="1:25" x14ac:dyDescent="0.35">
      <c r="A32" s="2"/>
      <c r="B32" s="27" t="s">
        <v>16</v>
      </c>
      <c r="C32" s="28">
        <v>3.14</v>
      </c>
      <c r="D32" s="28">
        <v>3.0853000000000002</v>
      </c>
      <c r="E32" s="28">
        <v>3.1225999999999998</v>
      </c>
      <c r="F32" s="28">
        <v>3.1159666666666666</v>
      </c>
      <c r="G32" s="28"/>
      <c r="H32" s="12">
        <f t="shared" si="18"/>
        <v>6.9380884575251892E-2</v>
      </c>
      <c r="N32" s="12">
        <f>F32^2*0.028/(4*PI()^2)</f>
        <v>6.8862676873799357E-3</v>
      </c>
      <c r="O32" s="18">
        <f>(2*H32/F32)*N32</f>
        <v>3.0666267947179201E-4</v>
      </c>
      <c r="P32" s="18">
        <f t="shared" si="16"/>
        <v>4.3245000000000002E-3</v>
      </c>
      <c r="Q32" s="18">
        <f t="shared" si="17"/>
        <v>2.5617676873799355E-3</v>
      </c>
      <c r="R32">
        <v>3.0666267947179201E-4</v>
      </c>
      <c r="S32">
        <v>1.19</v>
      </c>
      <c r="T32">
        <f>0.146/2</f>
        <v>7.2999999999999995E-2</v>
      </c>
      <c r="U32" s="32">
        <f>2/5*T32^2*S32</f>
        <v>2.536604E-3</v>
      </c>
      <c r="V32" s="36">
        <v>2.5617676873799355E-3</v>
      </c>
    </row>
  </sheetData>
  <mergeCells count="1">
    <mergeCell ref="C9:G9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Снятые измерения</vt:lpstr>
      <vt:lpstr>Рассчёты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Сенина</dc:creator>
  <cp:lastModifiedBy>Мария Сенина</cp:lastModifiedBy>
  <dcterms:created xsi:type="dcterms:W3CDTF">2020-11-10T18:14:54Z</dcterms:created>
  <dcterms:modified xsi:type="dcterms:W3CDTF">2020-11-25T07:11:38Z</dcterms:modified>
</cp:coreProperties>
</file>