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O">Sheet1!$I$3</definedName>
    <definedName name="МИНИМАЛЬНЫЙ_СРОК_ЗАЙМА">Sheet1!$K$6</definedName>
    <definedName name="П">Sheet1!$I$4</definedName>
    <definedName name="ПРОДЛЕНИЕ">Sheet1!$I$9</definedName>
    <definedName name="ПРОДЛЕНИЕ1">Sheet1!$I$9</definedName>
    <definedName name="ПРОДЛЕНИЕ1ДНЕЙ">Sheet1!$I$9</definedName>
    <definedName name="ПРОДЛЕНИЕ2">Sheet1!$I$10</definedName>
    <definedName name="ПРОДЛЕНИЕ2_ДНЕЙ">Sheet1!$I$10</definedName>
    <definedName name="ПРОДЛЕНИЕ2ДНЕЙ">Sheet1!$I$10</definedName>
    <definedName name="ПРОСРОЧКА">Sheet1!$I$8</definedName>
    <definedName name="ПРОСРОЧКА_дней">Sheet1!$I$8</definedName>
    <definedName name="СЗ">Sheet1!$I$2</definedName>
    <definedName name="СРОК_ЗАЙМА">Sheet1!$I$6</definedName>
    <definedName name="СУММА_ПРОДЛЕНИЯ_СИТУАЦИЯ5">Sheet1!$C$15</definedName>
    <definedName name="ФАКТИЧЕСКИЙ_СРОК">Sheet1!$K$4</definedName>
    <definedName name="ФАКТИЧЕСКИЙ_СРОК_ПОЛЬЗОВАНИЯ_ПРОДЛЕНИЕМ1">Sheet1!$K$11</definedName>
    <definedName name="ФАКТИЧЕСКИЙ_СРОК_ПОЛЬЗОВАНИЯ1_ДНЕЙ">Sheet1!$K$4</definedName>
    <definedName name="ФАКТИЧЕСКИЙ_СРОК_ПОЛЬЗОВАНИЯ2_ДНЕЙ">Sheet1!$K$5</definedName>
    <definedName name="ЧАСТ_ПОГАШЕНИЕ1">Sheet1!$K$2</definedName>
    <definedName name="ЧАСТ_ПОГАШЕНИЕ2">Sheet1!$K$3</definedName>
    <definedName name="Ш">Sheet1!$I$5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F40" i="1" s="1"/>
  <c r="B40" i="1"/>
  <c r="B37" i="1"/>
  <c r="D37" i="1"/>
  <c r="F37" i="1" s="1"/>
  <c r="F34" i="1"/>
  <c r="C34" i="1"/>
  <c r="B34" i="1"/>
  <c r="E31" i="1"/>
  <c r="B31" i="1" s="1"/>
  <c r="D31" i="1" s="1"/>
  <c r="C31" i="1" s="1"/>
  <c r="E28" i="1"/>
  <c r="B28" i="1" s="1"/>
  <c r="D28" i="1" s="1"/>
  <c r="C28" i="1"/>
  <c r="F25" i="1"/>
  <c r="B25" i="1" s="1"/>
  <c r="D25" i="1"/>
  <c r="C25" i="1"/>
  <c r="B22" i="1"/>
  <c r="C22" i="1"/>
  <c r="D22" i="1"/>
  <c r="G19" i="1"/>
  <c r="F19" i="1"/>
  <c r="B19" i="1" s="1"/>
  <c r="B4" i="1"/>
  <c r="D4" i="1"/>
  <c r="B7" i="1"/>
  <c r="D7" i="1"/>
  <c r="B10" i="1"/>
  <c r="D10" i="1"/>
  <c r="D13" i="1"/>
  <c r="D16" i="1"/>
  <c r="D19" i="1"/>
  <c r="C19" i="1"/>
  <c r="C16" i="1"/>
  <c r="C13" i="1"/>
  <c r="C10" i="1"/>
  <c r="F16" i="1"/>
  <c r="B16" i="1" s="1"/>
  <c r="F13" i="1"/>
  <c r="B13" i="1" s="1"/>
  <c r="A34" i="1" l="1"/>
  <c r="A40" i="1"/>
  <c r="A37" i="1"/>
  <c r="A28" i="1"/>
  <c r="A31" i="1"/>
  <c r="A25" i="1"/>
  <c r="A22" i="1"/>
  <c r="A4" i="1"/>
  <c r="A7" i="1"/>
  <c r="A13" i="1"/>
  <c r="A19" i="1"/>
  <c r="A16" i="1"/>
  <c r="A10" i="1"/>
</calcChain>
</file>

<file path=xl/comments1.xml><?xml version="1.0" encoding="utf-8"?>
<comments xmlns="http://schemas.openxmlformats.org/spreadsheetml/2006/main">
  <authors>
    <author>Владислав Романчук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Сумма Займа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Основной процент(комиссия)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Процент продления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 Штрафной процент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  <charset val="204"/>
          </rPr>
          <t>Владислав Романчук: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платежей за продление</t>
        </r>
      </text>
    </comment>
  </commentList>
</comments>
</file>

<file path=xl/sharedStrings.xml><?xml version="1.0" encoding="utf-8"?>
<sst xmlns="http://schemas.openxmlformats.org/spreadsheetml/2006/main" count="123" uniqueCount="39">
  <si>
    <t>О%</t>
  </si>
  <si>
    <t>П%</t>
  </si>
  <si>
    <t>Ш%</t>
  </si>
  <si>
    <t>Просрочка(дней)</t>
  </si>
  <si>
    <t>Срок займа(дней)</t>
  </si>
  <si>
    <t>СЗ (руб.)</t>
  </si>
  <si>
    <t>Частичное погашение2(руб.)</t>
  </si>
  <si>
    <t>Частичное погашение1(руб.)</t>
  </si>
  <si>
    <t>Начисляем штрафы из непогашенной суммы займа</t>
  </si>
  <si>
    <t>Начисляем проценты из непогашенной суммы займа</t>
  </si>
  <si>
    <t>Схема списания поступающих средств: Комиссия-Основной-Штрафы</t>
  </si>
  <si>
    <t>Минимальный срок займа</t>
  </si>
  <si>
    <t>Ситуация 3: Погашение невовремя (на 5 дней позже)</t>
  </si>
  <si>
    <t>Моделируем ситуации:</t>
  </si>
  <si>
    <t>Продление1(дней)</t>
  </si>
  <si>
    <t>Продление2(дней)</t>
  </si>
  <si>
    <t>Комиссия</t>
  </si>
  <si>
    <t>Штраф</t>
  </si>
  <si>
    <t>Неоплаченая сумма по займу</t>
  </si>
  <si>
    <t>Сумма платежей за продления</t>
  </si>
  <si>
    <t>Параметры расчета:</t>
  </si>
  <si>
    <t>Сумма погашений до</t>
  </si>
  <si>
    <t>Стоимость продлений до</t>
  </si>
  <si>
    <t>Ситуация 4: Просрочка, а потом продление, а потом полное погашение</t>
  </si>
  <si>
    <t>Общая сумма к оплате</t>
  </si>
  <si>
    <t>Ситуация 5: Просрочка, а потом продление с переплатой, а потом полное погашение</t>
  </si>
  <si>
    <t xml:space="preserve">Ситуация 2: Погашение вовремя </t>
  </si>
  <si>
    <t>Ситуация 6: Просрочка, а потом продление, а потом просрочка, а потом продление с переплатой</t>
  </si>
  <si>
    <t>Ситуация 1: Полное погашение менее чем через минимальный срок займа (4 дня)</t>
  </si>
  <si>
    <t>Ситуация 7: Полное Досрочное погашение позднее чем минимальный срок займа</t>
  </si>
  <si>
    <t>Фактический Срок пользования1</t>
  </si>
  <si>
    <t>Фактический Срок пользования2</t>
  </si>
  <si>
    <t>Ситуация 8: Продление до окончания срока займа</t>
  </si>
  <si>
    <t>Ситуация 9: Досрочное частичное погашение</t>
  </si>
  <si>
    <t xml:space="preserve">Ситуация 9: Досрочное частичное погашение,  просрочка </t>
  </si>
  <si>
    <t>Ситуация 10: Продление после ситуации 9</t>
  </si>
  <si>
    <t>Фактический срок пользования продлением1(дней)</t>
  </si>
  <si>
    <t>Ситуация 11: Продление с переплатой за счет не полного использования продления, а затем досрочное погашение</t>
  </si>
  <si>
    <t>Ситуация 12: Продление с переплатой, а затем досрочное погашение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</si>
</sst>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/>
    <xf numFmtId="0" fontId="6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2" xfId="0" applyFill="1" applyBorder="1"/>
    <xf numFmtId="0" fontId="0" fillId="0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0" fillId="0" borderId="8" xfId="0" applyBorder="1"/>
    <xf numFmtId="0" fontId="0" fillId="0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tabSelected="1" topLeftCell="A16" workbookViewId="0">
      <selection activeCell="I43" sqref="I43"/>
    </sheetView>
  </sheetViews>
  <sheetFormatPr defaultRowHeight="15" x14ac:dyDescent="0.25"/>
  <cols>
    <col min="1" max="1" width="12.85546875" style="1" customWidth="1"/>
    <col min="2" max="2" width="10.7109375" style="1" bestFit="1" customWidth="1"/>
    <col min="3" max="3" width="11" customWidth="1"/>
    <col min="4" max="4" width="15.7109375" customWidth="1"/>
    <col min="5" max="5" width="17.85546875" style="2" customWidth="1"/>
    <col min="6" max="6" width="11.28515625" bestFit="1" customWidth="1"/>
    <col min="7" max="7" width="16.140625" customWidth="1"/>
    <col min="8" max="8" width="18.7109375" bestFit="1" customWidth="1"/>
    <col min="9" max="9" width="6.140625" bestFit="1" customWidth="1"/>
    <col min="10" max="10" width="30.42578125" bestFit="1" customWidth="1"/>
  </cols>
  <sheetData>
    <row r="1" spans="1:11" ht="21" x14ac:dyDescent="0.35">
      <c r="A1" s="5" t="s">
        <v>13</v>
      </c>
      <c r="B1" s="5"/>
      <c r="C1" s="5"/>
      <c r="D1" s="5"/>
      <c r="E1" s="5"/>
      <c r="F1" s="5"/>
      <c r="G1" s="5"/>
      <c r="H1" s="15" t="s">
        <v>20</v>
      </c>
      <c r="I1" s="16"/>
      <c r="J1" s="16"/>
      <c r="K1" s="16"/>
    </row>
    <row r="2" spans="1:11" ht="15.75" x14ac:dyDescent="0.25">
      <c r="A2" s="6" t="s">
        <v>28</v>
      </c>
      <c r="B2" s="6"/>
      <c r="C2" s="6"/>
      <c r="D2" s="6"/>
      <c r="E2" s="6"/>
      <c r="F2" s="6"/>
      <c r="G2" s="6"/>
      <c r="H2" s="17" t="s">
        <v>5</v>
      </c>
      <c r="I2" s="18">
        <v>1000</v>
      </c>
      <c r="J2" s="27" t="s">
        <v>7</v>
      </c>
      <c r="K2" s="18">
        <v>100</v>
      </c>
    </row>
    <row r="3" spans="1:11" ht="47.25" x14ac:dyDescent="0.25">
      <c r="A3" s="7" t="s">
        <v>24</v>
      </c>
      <c r="B3" s="7" t="s">
        <v>16</v>
      </c>
      <c r="C3" s="8" t="s">
        <v>17</v>
      </c>
      <c r="D3" s="8" t="s">
        <v>18</v>
      </c>
      <c r="E3" s="8" t="s">
        <v>21</v>
      </c>
      <c r="F3" s="8" t="s">
        <v>22</v>
      </c>
      <c r="G3" s="8" t="s">
        <v>19</v>
      </c>
      <c r="H3" s="17" t="s">
        <v>0</v>
      </c>
      <c r="I3" s="19">
        <v>0.02</v>
      </c>
      <c r="J3" s="27" t="s">
        <v>6</v>
      </c>
      <c r="K3" s="18">
        <v>200</v>
      </c>
    </row>
    <row r="4" spans="1:11" ht="30" x14ac:dyDescent="0.25">
      <c r="A4" s="9">
        <f>D4 +B4 + C4</f>
        <v>1080</v>
      </c>
      <c r="B4" s="9">
        <f xml:space="preserve"> СЗ*O*МИНИМАЛЬНЫЙ_СРОК_ЗАЙМА   -E4  +F4   -G4</f>
        <v>80</v>
      </c>
      <c r="C4" s="9">
        <v>0</v>
      </c>
      <c r="D4" s="9">
        <f>СЗ</f>
        <v>1000</v>
      </c>
      <c r="E4" s="9">
        <v>0</v>
      </c>
      <c r="F4" s="9">
        <v>0</v>
      </c>
      <c r="G4" s="9">
        <v>0</v>
      </c>
      <c r="H4" s="17" t="s">
        <v>1</v>
      </c>
      <c r="I4" s="19">
        <v>1.4999999999999999E-2</v>
      </c>
      <c r="J4" s="27" t="s">
        <v>30</v>
      </c>
      <c r="K4" s="18">
        <v>3</v>
      </c>
    </row>
    <row r="5" spans="1:11" ht="30" x14ac:dyDescent="0.25">
      <c r="A5" s="6" t="s">
        <v>26</v>
      </c>
      <c r="B5" s="6"/>
      <c r="C5" s="6"/>
      <c r="D5" s="6"/>
      <c r="E5" s="6"/>
      <c r="F5" s="6"/>
      <c r="G5" s="6"/>
      <c r="H5" s="17" t="s">
        <v>2</v>
      </c>
      <c r="I5" s="19">
        <v>0.02</v>
      </c>
      <c r="J5" s="28" t="s">
        <v>31</v>
      </c>
      <c r="K5" s="29">
        <v>7</v>
      </c>
    </row>
    <row r="6" spans="1:11" ht="47.25" x14ac:dyDescent="0.25">
      <c r="A6" s="7" t="s">
        <v>24</v>
      </c>
      <c r="B6" s="7" t="s">
        <v>16</v>
      </c>
      <c r="C6" s="8" t="s">
        <v>17</v>
      </c>
      <c r="D6" s="8" t="s">
        <v>18</v>
      </c>
      <c r="E6" s="8" t="s">
        <v>21</v>
      </c>
      <c r="F6" s="8" t="s">
        <v>22</v>
      </c>
      <c r="G6" s="8" t="s">
        <v>19</v>
      </c>
      <c r="H6" s="17" t="s">
        <v>4</v>
      </c>
      <c r="I6" s="18">
        <v>10</v>
      </c>
      <c r="J6" s="27" t="s">
        <v>11</v>
      </c>
      <c r="K6" s="18">
        <v>4</v>
      </c>
    </row>
    <row r="7" spans="1:11" x14ac:dyDescent="0.25">
      <c r="A7" s="9">
        <f>D7 +B7 + C7</f>
        <v>1200</v>
      </c>
      <c r="B7" s="9">
        <f>СЗ*O*СРОК_ЗАЙМА -E7  +F7   -G7</f>
        <v>200</v>
      </c>
      <c r="C7" s="3">
        <v>0</v>
      </c>
      <c r="D7" s="9">
        <f>СЗ</f>
        <v>1000</v>
      </c>
      <c r="E7" s="9">
        <v>0</v>
      </c>
      <c r="F7" s="9">
        <v>0</v>
      </c>
      <c r="G7" s="9">
        <v>0</v>
      </c>
      <c r="H7" s="21"/>
      <c r="I7" s="22"/>
      <c r="J7" s="23"/>
      <c r="K7" s="20"/>
    </row>
    <row r="8" spans="1:11" ht="30" x14ac:dyDescent="0.25">
      <c r="A8" s="6" t="s">
        <v>12</v>
      </c>
      <c r="B8" s="6"/>
      <c r="C8" s="6"/>
      <c r="D8" s="6"/>
      <c r="E8" s="6"/>
      <c r="F8" s="6"/>
      <c r="G8" s="6"/>
      <c r="H8" s="17" t="s">
        <v>3</v>
      </c>
      <c r="I8" s="18">
        <v>5</v>
      </c>
      <c r="J8" s="27" t="s">
        <v>8</v>
      </c>
      <c r="K8" s="20"/>
    </row>
    <row r="9" spans="1:11" ht="47.25" x14ac:dyDescent="0.25">
      <c r="A9" s="7" t="s">
        <v>24</v>
      </c>
      <c r="B9" s="7" t="s">
        <v>16</v>
      </c>
      <c r="C9" s="8" t="s">
        <v>17</v>
      </c>
      <c r="D9" s="8" t="s">
        <v>18</v>
      </c>
      <c r="E9" s="8" t="s">
        <v>21</v>
      </c>
      <c r="F9" s="8" t="s">
        <v>22</v>
      </c>
      <c r="G9" s="8" t="s">
        <v>19</v>
      </c>
      <c r="H9" s="17" t="s">
        <v>14</v>
      </c>
      <c r="I9" s="18">
        <v>5</v>
      </c>
      <c r="J9" s="27" t="s">
        <v>9</v>
      </c>
      <c r="K9" s="20"/>
    </row>
    <row r="10" spans="1:11" ht="45" x14ac:dyDescent="0.25">
      <c r="A10" s="9">
        <f>СЗ+B10+C10</f>
        <v>1300</v>
      </c>
      <c r="B10" s="9">
        <f>СЗ*O*СРОК_ЗАЙМА -E10  +F10   -G10</f>
        <v>200</v>
      </c>
      <c r="C10" s="9">
        <f>СЗ*Ш*ПРОСРОЧКА_дней</f>
        <v>100</v>
      </c>
      <c r="D10" s="9">
        <f>СЗ</f>
        <v>1000</v>
      </c>
      <c r="E10" s="9">
        <v>0</v>
      </c>
      <c r="F10" s="9">
        <v>0</v>
      </c>
      <c r="G10" s="9">
        <v>0</v>
      </c>
      <c r="H10" s="17" t="s">
        <v>15</v>
      </c>
      <c r="I10" s="18">
        <v>5</v>
      </c>
      <c r="J10" s="27" t="s">
        <v>10</v>
      </c>
      <c r="K10" s="20"/>
    </row>
    <row r="11" spans="1:11" ht="30" x14ac:dyDescent="0.25">
      <c r="A11" s="11" t="s">
        <v>23</v>
      </c>
      <c r="B11" s="12"/>
      <c r="C11" s="12"/>
      <c r="D11" s="12"/>
      <c r="E11" s="12"/>
      <c r="F11" s="12"/>
      <c r="G11" s="13"/>
      <c r="H11" s="3"/>
      <c r="J11" s="31" t="s">
        <v>36</v>
      </c>
      <c r="K11" s="20">
        <v>3</v>
      </c>
    </row>
    <row r="12" spans="1:11" ht="47.25" x14ac:dyDescent="0.25">
      <c r="A12" s="7" t="s">
        <v>24</v>
      </c>
      <c r="B12" s="7" t="s">
        <v>16</v>
      </c>
      <c r="C12" s="8" t="s">
        <v>17</v>
      </c>
      <c r="D12" s="8" t="s">
        <v>18</v>
      </c>
      <c r="E12" s="8" t="s">
        <v>21</v>
      </c>
      <c r="F12" s="8" t="s">
        <v>22</v>
      </c>
      <c r="G12" s="8" t="s">
        <v>19</v>
      </c>
    </row>
    <row r="13" spans="1:11" ht="35.25" customHeight="1" x14ac:dyDescent="0.25">
      <c r="A13" s="9">
        <f>D13 +B13 + C13</f>
        <v>1300</v>
      </c>
      <c r="B13" s="9">
        <f>СЗ*O*СРОК_ЗАЙМА  -E13  +F13   -G13</f>
        <v>200</v>
      </c>
      <c r="C13" s="14">
        <f>СЗ*Ш*ПРОСРОЧКА_дней</f>
        <v>100</v>
      </c>
      <c r="D13" s="9">
        <f>СЗ</f>
        <v>1000</v>
      </c>
      <c r="E13" s="9">
        <v>0</v>
      </c>
      <c r="F13" s="9">
        <f>СЗ*П*ПРОДЛЕНИЕ1ДНЕЙ</f>
        <v>75</v>
      </c>
      <c r="G13" s="9">
        <v>75</v>
      </c>
      <c r="H13" s="10"/>
    </row>
    <row r="14" spans="1:11" ht="15.75" x14ac:dyDescent="0.25">
      <c r="A14" s="11" t="s">
        <v>25</v>
      </c>
      <c r="B14" s="12"/>
      <c r="C14" s="12"/>
      <c r="D14" s="12"/>
      <c r="E14" s="12"/>
      <c r="F14" s="12"/>
      <c r="G14" s="13"/>
    </row>
    <row r="15" spans="1:11" ht="47.25" x14ac:dyDescent="0.25">
      <c r="A15" s="7" t="s">
        <v>24</v>
      </c>
      <c r="B15" s="7" t="s">
        <v>16</v>
      </c>
      <c r="C15" s="8" t="s">
        <v>17</v>
      </c>
      <c r="D15" s="8" t="s">
        <v>18</v>
      </c>
      <c r="E15" s="8" t="s">
        <v>21</v>
      </c>
      <c r="F15" s="8" t="s">
        <v>22</v>
      </c>
      <c r="G15" s="8" t="s">
        <v>19</v>
      </c>
    </row>
    <row r="16" spans="1:11" x14ac:dyDescent="0.25">
      <c r="A16" s="9">
        <f>D16 +B16 + C16</f>
        <v>1275</v>
      </c>
      <c r="B16" s="9">
        <f>СЗ*O*СРОК_ЗАЙМА   -E16  +F16   -G16</f>
        <v>175</v>
      </c>
      <c r="C16" s="14">
        <f>СЗ*Ш*ПРОСРОЧКА_дней</f>
        <v>100</v>
      </c>
      <c r="D16" s="9">
        <f>СЗ</f>
        <v>1000</v>
      </c>
      <c r="E16" s="9">
        <v>0</v>
      </c>
      <c r="F16" s="9">
        <f>СЗ*П*ПРОДЛЕНИЕ1ДНЕЙ</f>
        <v>75</v>
      </c>
      <c r="G16" s="9">
        <v>100</v>
      </c>
    </row>
    <row r="17" spans="1:9" ht="31.5" customHeight="1" x14ac:dyDescent="0.25">
      <c r="A17" s="24" t="s">
        <v>27</v>
      </c>
      <c r="B17" s="25"/>
      <c r="C17" s="25"/>
      <c r="D17" s="25"/>
      <c r="E17" s="25"/>
      <c r="F17" s="25"/>
      <c r="G17" s="26"/>
    </row>
    <row r="18" spans="1:9" ht="47.25" x14ac:dyDescent="0.25">
      <c r="A18" s="7" t="s">
        <v>24</v>
      </c>
      <c r="B18" s="7" t="s">
        <v>16</v>
      </c>
      <c r="C18" s="8" t="s">
        <v>17</v>
      </c>
      <c r="D18" s="8" t="s">
        <v>18</v>
      </c>
      <c r="E18" s="8" t="s">
        <v>21</v>
      </c>
      <c r="F18" s="8" t="s">
        <v>22</v>
      </c>
      <c r="G18" s="8" t="s">
        <v>19</v>
      </c>
    </row>
    <row r="19" spans="1:9" x14ac:dyDescent="0.25">
      <c r="A19" s="9">
        <f>D19 +B19 + C19</f>
        <v>1250</v>
      </c>
      <c r="B19" s="9">
        <f>СЗ*O*СРОК_ЗАЙМА   -E19  +F19   -G19</f>
        <v>150</v>
      </c>
      <c r="C19" s="14">
        <f>СЗ*Ш*ПРОСРОЧКА_дней</f>
        <v>100</v>
      </c>
      <c r="D19" s="9">
        <f>СЗ</f>
        <v>1000</v>
      </c>
      <c r="E19" s="9">
        <v>0</v>
      </c>
      <c r="F19" s="9">
        <f>СЗ*П*ПРОДЛЕНИЕ1ДНЕЙ + СЗ*П*ПРОДЛЕНИЕ2_ДНЕЙ</f>
        <v>150</v>
      </c>
      <c r="G19" s="9">
        <f>100+100</f>
        <v>200</v>
      </c>
    </row>
    <row r="20" spans="1:9" ht="44.25" customHeight="1" x14ac:dyDescent="0.25">
      <c r="A20" s="24" t="s">
        <v>29</v>
      </c>
      <c r="B20" s="25"/>
      <c r="C20" s="25"/>
      <c r="D20" s="25"/>
      <c r="E20" s="25"/>
      <c r="F20" s="25"/>
      <c r="G20" s="26"/>
    </row>
    <row r="21" spans="1:9" ht="47.25" x14ac:dyDescent="0.25">
      <c r="A21" s="7" t="s">
        <v>24</v>
      </c>
      <c r="B21" s="7" t="s">
        <v>16</v>
      </c>
      <c r="C21" s="8" t="s">
        <v>17</v>
      </c>
      <c r="D21" s="8" t="s">
        <v>18</v>
      </c>
      <c r="E21" s="8" t="s">
        <v>21</v>
      </c>
      <c r="F21" s="8" t="s">
        <v>22</v>
      </c>
      <c r="G21" s="8" t="s">
        <v>19</v>
      </c>
    </row>
    <row r="22" spans="1:9" x14ac:dyDescent="0.25">
      <c r="A22" s="9">
        <f>D22 +B22 + C22</f>
        <v>1140</v>
      </c>
      <c r="B22" s="9">
        <f>СЗ*O*MAX(МИНИМАЛЬНЫЙ_СРОК_ЗАЙМА,ФАКТИЧЕСКИЙ_СРОК_ПОЛЬЗОВАНИЯ2_ДНЕЙ)   -E22  +F22   -G22</f>
        <v>140</v>
      </c>
      <c r="C22" s="14">
        <f>СЗ*Ш*0</f>
        <v>0</v>
      </c>
      <c r="D22" s="9">
        <f>СЗ</f>
        <v>1000</v>
      </c>
      <c r="E22" s="9">
        <v>0</v>
      </c>
      <c r="F22" s="9">
        <v>0</v>
      </c>
      <c r="G22" s="9">
        <v>0</v>
      </c>
    </row>
    <row r="23" spans="1:9" ht="15.75" x14ac:dyDescent="0.25">
      <c r="A23" s="24" t="s">
        <v>32</v>
      </c>
      <c r="B23" s="25"/>
      <c r="C23" s="25"/>
      <c r="D23" s="25"/>
      <c r="E23" s="25"/>
      <c r="F23" s="25"/>
      <c r="G23" s="26"/>
    </row>
    <row r="24" spans="1:9" ht="47.25" x14ac:dyDescent="0.25">
      <c r="A24" s="7" t="s">
        <v>24</v>
      </c>
      <c r="B24" s="7" t="s">
        <v>16</v>
      </c>
      <c r="C24" s="8" t="s">
        <v>17</v>
      </c>
      <c r="D24" s="8" t="s">
        <v>18</v>
      </c>
      <c r="E24" s="8" t="s">
        <v>21</v>
      </c>
      <c r="F24" s="8" t="s">
        <v>22</v>
      </c>
      <c r="G24" s="8" t="s">
        <v>19</v>
      </c>
    </row>
    <row r="25" spans="1:9" x14ac:dyDescent="0.25">
      <c r="A25" s="9">
        <f>D25 +B25 + C25</f>
        <v>1140</v>
      </c>
      <c r="B25" s="9">
        <f>СЗ*O*MAX(МИНИМАЛЬНЫЙ_СРОК_ЗАЙМА,ФАКТИЧЕСКИЙ_СРОК_ПОЛЬЗОВАНИЯ2_ДНЕЙ)   -E25  +F25   -G25</f>
        <v>140</v>
      </c>
      <c r="C25" s="14">
        <f>СЗ*Ш*0</f>
        <v>0</v>
      </c>
      <c r="D25" s="9">
        <f>СЗ</f>
        <v>1000</v>
      </c>
      <c r="E25" s="9">
        <v>0</v>
      </c>
      <c r="F25" s="9">
        <f>СЗ *П*ПРОДЛЕНИЕ1ДНЕЙ</f>
        <v>75</v>
      </c>
      <c r="G25" s="9">
        <v>75</v>
      </c>
    </row>
    <row r="26" spans="1:9" ht="15.75" x14ac:dyDescent="0.25">
      <c r="A26" s="24" t="s">
        <v>33</v>
      </c>
      <c r="B26" s="25"/>
      <c r="C26" s="25"/>
      <c r="D26" s="25"/>
      <c r="E26" s="25"/>
      <c r="F26" s="25"/>
      <c r="G26" s="26"/>
    </row>
    <row r="27" spans="1:9" ht="47.25" x14ac:dyDescent="0.25">
      <c r="A27" s="7" t="s">
        <v>24</v>
      </c>
      <c r="B27" s="7" t="s">
        <v>16</v>
      </c>
      <c r="C27" s="8" t="s">
        <v>17</v>
      </c>
      <c r="D27" s="8" t="s">
        <v>18</v>
      </c>
      <c r="E27" s="8" t="s">
        <v>21</v>
      </c>
      <c r="F27" s="8" t="s">
        <v>22</v>
      </c>
      <c r="G27" s="8" t="s">
        <v>19</v>
      </c>
    </row>
    <row r="28" spans="1:9" x14ac:dyDescent="0.25">
      <c r="A28" s="9">
        <f>D28 +IF(B28&lt;0,0,B28) + C28</f>
        <v>140</v>
      </c>
      <c r="B28" s="9">
        <f>СЗ*O*MAX(МИНИМАЛЬНЫЙ_СРОК_ЗАЙМА,ФАКТИЧЕСКИЙ_СРОК_ПОЛЬЗОВАНИЯ2_ДНЕЙ)   -E28  +F28   -G28</f>
        <v>-860</v>
      </c>
      <c r="C28" s="14">
        <f>СЗ*Ш*0</f>
        <v>0</v>
      </c>
      <c r="D28" s="9">
        <f>IF(B28&lt;0,СЗ+B28,СЗ)</f>
        <v>140</v>
      </c>
      <c r="E28" s="9">
        <f>1000</f>
        <v>1000</v>
      </c>
      <c r="F28" s="9"/>
      <c r="G28" s="9">
        <v>0</v>
      </c>
    </row>
    <row r="29" spans="1:9" ht="15.75" x14ac:dyDescent="0.25">
      <c r="A29" s="24" t="s">
        <v>34</v>
      </c>
      <c r="B29" s="25"/>
      <c r="C29" s="25"/>
      <c r="D29" s="25"/>
      <c r="E29" s="25"/>
      <c r="F29" s="25"/>
      <c r="G29" s="26"/>
    </row>
    <row r="30" spans="1:9" ht="47.25" x14ac:dyDescent="0.25">
      <c r="A30" s="7" t="s">
        <v>24</v>
      </c>
      <c r="B30" s="7" t="s">
        <v>16</v>
      </c>
      <c r="C30" s="8" t="s">
        <v>17</v>
      </c>
      <c r="D30" s="8" t="s">
        <v>18</v>
      </c>
      <c r="E30" s="8" t="s">
        <v>21</v>
      </c>
      <c r="F30" s="8" t="s">
        <v>22</v>
      </c>
      <c r="G30" s="8" t="s">
        <v>19</v>
      </c>
    </row>
    <row r="31" spans="1:9" x14ac:dyDescent="0.25">
      <c r="A31" s="9">
        <f>D31 +IF(B31&lt;0,0,B31) + C31</f>
        <v>154</v>
      </c>
      <c r="B31" s="9">
        <f>СЗ*O*MAX(МИНИМАЛЬНЫЙ_СРОК_ЗАЙМА,ФАКТИЧЕСКИЙ_СРОК_ПОЛЬЗОВАНИЯ2_ДНЕЙ)   -E31  +F31   -G31</f>
        <v>-860</v>
      </c>
      <c r="C31" s="14">
        <f>D31*Ш*ПРОСРОЧКА_дней</f>
        <v>14.000000000000002</v>
      </c>
      <c r="D31" s="9">
        <f>IF(B31&lt;0,СЗ+B31,СЗ)</f>
        <v>140</v>
      </c>
      <c r="E31" s="9">
        <f>1000</f>
        <v>1000</v>
      </c>
      <c r="F31" s="9"/>
      <c r="G31" s="9">
        <v>0</v>
      </c>
    </row>
    <row r="32" spans="1:9" ht="15.75" x14ac:dyDescent="0.25">
      <c r="A32" s="24" t="s">
        <v>35</v>
      </c>
      <c r="B32" s="25"/>
      <c r="C32" s="25"/>
      <c r="D32" s="25"/>
      <c r="E32" s="25"/>
      <c r="F32" s="25"/>
      <c r="G32" s="26"/>
      <c r="H32" s="32"/>
      <c r="I32" s="4"/>
    </row>
    <row r="33" spans="1:10" ht="47.25" x14ac:dyDescent="0.25">
      <c r="A33" s="7" t="s">
        <v>24</v>
      </c>
      <c r="B33" s="7" t="s">
        <v>16</v>
      </c>
      <c r="C33" s="8" t="s">
        <v>17</v>
      </c>
      <c r="D33" s="8" t="s">
        <v>18</v>
      </c>
      <c r="E33" s="8" t="s">
        <v>21</v>
      </c>
      <c r="F33" s="8" t="s">
        <v>22</v>
      </c>
      <c r="G33" s="8" t="s">
        <v>19</v>
      </c>
      <c r="H33" s="33"/>
      <c r="I33" s="30"/>
      <c r="J33" s="4"/>
    </row>
    <row r="34" spans="1:10" x14ac:dyDescent="0.25">
      <c r="A34" s="9">
        <f>D34 +IF(B34&lt;0,0,B34) + C34  -E34 +F34   -G34</f>
        <v>154</v>
      </c>
      <c r="B34" s="9">
        <f>0</f>
        <v>0</v>
      </c>
      <c r="C34" s="14">
        <f>14</f>
        <v>14</v>
      </c>
      <c r="D34" s="9">
        <v>140</v>
      </c>
      <c r="E34" s="9">
        <v>0</v>
      </c>
      <c r="F34" s="9">
        <f>D34*П*ПРОДЛЕНИЕ2_ДНЕЙ</f>
        <v>10.5</v>
      </c>
      <c r="G34" s="9">
        <v>10.5</v>
      </c>
      <c r="H34" s="32"/>
      <c r="I34" s="4"/>
      <c r="J34" s="4"/>
    </row>
    <row r="35" spans="1:10" ht="33.75" customHeight="1" x14ac:dyDescent="0.25">
      <c r="A35" s="24" t="s">
        <v>37</v>
      </c>
      <c r="B35" s="25"/>
      <c r="C35" s="25"/>
      <c r="D35" s="25"/>
      <c r="E35" s="25"/>
      <c r="F35" s="25"/>
      <c r="G35" s="26"/>
      <c r="H35" s="32"/>
      <c r="I35" s="4"/>
      <c r="J35" s="4"/>
    </row>
    <row r="36" spans="1:10" ht="47.25" x14ac:dyDescent="0.25">
      <c r="A36" s="7" t="s">
        <v>24</v>
      </c>
      <c r="B36" s="7" t="s">
        <v>16</v>
      </c>
      <c r="C36" s="8" t="s">
        <v>17</v>
      </c>
      <c r="D36" s="8" t="s">
        <v>18</v>
      </c>
      <c r="E36" s="8" t="s">
        <v>21</v>
      </c>
      <c r="F36" s="8" t="s">
        <v>22</v>
      </c>
      <c r="G36" s="8" t="s">
        <v>19</v>
      </c>
      <c r="H36" s="33"/>
      <c r="I36" s="30"/>
      <c r="J36" s="4"/>
    </row>
    <row r="37" spans="1:10" x14ac:dyDescent="0.25">
      <c r="A37" s="9">
        <f>D37 +IF(B37&lt;0,0,B37) + C37  -E37 +F37   -G37</f>
        <v>1050</v>
      </c>
      <c r="B37" s="9">
        <f>СЗ*O*MAX(ФАКТИЧЕСКИЙ_СРОК_ПОЛЬЗОВАНИЯ1_ДНЕЙ, МИНИМАЛЬНЫЙ_СРОК_ЗАЙМА)</f>
        <v>80</v>
      </c>
      <c r="C37" s="14">
        <v>0</v>
      </c>
      <c r="D37" s="9">
        <f>СЗ</f>
        <v>1000</v>
      </c>
      <c r="E37" s="9">
        <v>0</v>
      </c>
      <c r="F37" s="9">
        <f>D37*П*ФАКТИЧЕСКИЙ_СРОК_ПОЛЬЗОВАНИЯ1_ДНЕЙ</f>
        <v>45</v>
      </c>
      <c r="G37" s="9">
        <v>75</v>
      </c>
      <c r="H37" s="32"/>
      <c r="I37" s="4"/>
      <c r="J37" s="4"/>
    </row>
    <row r="38" spans="1:10" ht="15.75" customHeight="1" x14ac:dyDescent="0.25">
      <c r="A38" s="24" t="s">
        <v>38</v>
      </c>
      <c r="B38" s="25"/>
      <c r="C38" s="25"/>
      <c r="D38" s="25"/>
      <c r="E38" s="25"/>
      <c r="F38" s="25"/>
      <c r="G38" s="26"/>
      <c r="H38" s="32"/>
      <c r="I38" s="4"/>
      <c r="J38" s="4"/>
    </row>
    <row r="39" spans="1:10" ht="47.25" x14ac:dyDescent="0.25">
      <c r="A39" s="7" t="s">
        <v>24</v>
      </c>
      <c r="B39" s="7" t="s">
        <v>16</v>
      </c>
      <c r="C39" s="8" t="s">
        <v>17</v>
      </c>
      <c r="D39" s="8" t="s">
        <v>18</v>
      </c>
      <c r="E39" s="8" t="s">
        <v>21</v>
      </c>
      <c r="F39" s="8" t="s">
        <v>22</v>
      </c>
      <c r="G39" s="8" t="s">
        <v>19</v>
      </c>
      <c r="H39" s="32"/>
      <c r="I39" s="4"/>
      <c r="J39" s="4"/>
    </row>
    <row r="40" spans="1:10" x14ac:dyDescent="0.25">
      <c r="A40" s="9">
        <f>D40 +IF(B40&lt;0,0,B40) + C40  -E40 +F40   -G40</f>
        <v>1048</v>
      </c>
      <c r="B40" s="9">
        <f>СЗ*O*MAX(ФАКТИЧЕСКИЙ_СРОК_ПОЛЬЗОВАНИЯ1_ДНЕЙ, МИНИМАЛЬНЫЙ_СРОК_ЗАЙМА)</f>
        <v>80</v>
      </c>
      <c r="C40" s="14">
        <v>0</v>
      </c>
      <c r="D40" s="9">
        <f>СЗ</f>
        <v>1000</v>
      </c>
      <c r="E40" s="9">
        <v>0</v>
      </c>
      <c r="F40" s="9">
        <f>D40*П*ФАКТИЧЕСКИЙ_СРОК_ПОЛЬЗОВАНИЯ_ПРОДЛЕНИЕМ1</f>
        <v>45</v>
      </c>
      <c r="G40" s="9">
        <v>77</v>
      </c>
      <c r="H40" s="32"/>
      <c r="I40" s="4"/>
      <c r="J40" s="4"/>
    </row>
    <row r="41" spans="1:10" x14ac:dyDescent="0.25">
      <c r="A41" s="4"/>
      <c r="B41" s="4"/>
      <c r="C41" s="4"/>
      <c r="I41" s="4"/>
      <c r="J41" s="4"/>
    </row>
    <row r="42" spans="1:10" x14ac:dyDescent="0.25">
      <c r="A42" s="4"/>
      <c r="B42" s="4"/>
      <c r="C42" s="4"/>
      <c r="I42" s="4"/>
      <c r="J42" s="4"/>
    </row>
    <row r="43" spans="1:10" x14ac:dyDescent="0.25">
      <c r="A43" s="4"/>
      <c r="B43" s="4"/>
      <c r="C43" s="4"/>
      <c r="I43" s="4"/>
      <c r="J43" s="4"/>
    </row>
    <row r="44" spans="1:10" x14ac:dyDescent="0.25">
      <c r="A44" s="4"/>
      <c r="B44" s="4"/>
      <c r="C44" s="4"/>
    </row>
    <row r="45" spans="1:10" x14ac:dyDescent="0.25">
      <c r="A45" s="4"/>
      <c r="B45" s="4"/>
      <c r="C45" s="4"/>
    </row>
    <row r="46" spans="1:10" x14ac:dyDescent="0.25">
      <c r="A46" s="4"/>
      <c r="B46" s="4"/>
      <c r="C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</sheetData>
  <mergeCells count="15">
    <mergeCell ref="A29:G29"/>
    <mergeCell ref="A32:G32"/>
    <mergeCell ref="A35:G35"/>
    <mergeCell ref="A38:G38"/>
    <mergeCell ref="A11:G11"/>
    <mergeCell ref="A14:G14"/>
    <mergeCell ref="A17:G17"/>
    <mergeCell ref="A20:G20"/>
    <mergeCell ref="A23:G23"/>
    <mergeCell ref="A26:G26"/>
    <mergeCell ref="A1:G1"/>
    <mergeCell ref="A2:G2"/>
    <mergeCell ref="A5:G5"/>
    <mergeCell ref="A8:G8"/>
    <mergeCell ref="H1:K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Sheet1</vt:lpstr>
      <vt:lpstr>O</vt:lpstr>
      <vt:lpstr>МИНИМАЛЬНЫЙ_СРОК_ЗАЙМА</vt:lpstr>
      <vt:lpstr>П</vt:lpstr>
      <vt:lpstr>ПРОДЛЕНИЕ</vt:lpstr>
      <vt:lpstr>ПРОДЛЕНИЕ1</vt:lpstr>
      <vt:lpstr>ПРОДЛЕНИЕ1ДНЕЙ</vt:lpstr>
      <vt:lpstr>ПРОДЛЕНИЕ2</vt:lpstr>
      <vt:lpstr>ПРОДЛЕНИЕ2_ДНЕЙ</vt:lpstr>
      <vt:lpstr>ПРОДЛЕНИЕ2ДНЕЙ</vt:lpstr>
      <vt:lpstr>ПРОСРОЧКА</vt:lpstr>
      <vt:lpstr>ПРОСРОЧКА_дней</vt:lpstr>
      <vt:lpstr>СЗ</vt:lpstr>
      <vt:lpstr>СРОК_ЗАЙМА</vt:lpstr>
      <vt:lpstr>СУММА_ПРОДЛЕНИЯ_СИТУАЦИЯ5</vt:lpstr>
      <vt:lpstr>ФАКТИЧЕСКИЙ_СРОК</vt:lpstr>
      <vt:lpstr>ФАКТИЧЕСКИЙ_СРОК_ПОЛЬЗОВАНИЯ_ПРОДЛЕНИЕМ1</vt:lpstr>
      <vt:lpstr>ФАКТИЧЕСКИЙ_СРОК_ПОЛЬЗОВАНИЯ1_ДНЕЙ</vt:lpstr>
      <vt:lpstr>ФАКТИЧЕСКИЙ_СРОК_ПОЛЬЗОВАНИЯ2_ДНЕЙ</vt:lpstr>
      <vt:lpstr>ЧАСТ_ПОГАШЕНИЕ1</vt:lpstr>
      <vt:lpstr>ЧАСТ_ПОГАШЕНИЕ2</vt:lpstr>
      <vt:lpstr>Ш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Романчук</dc:creator>
  <cp:lastModifiedBy>Владислав Романчук</cp:lastModifiedBy>
  <dcterms:created xsi:type="dcterms:W3CDTF">2014-10-09T20:53:08Z</dcterms:created>
  <dcterms:modified xsi:type="dcterms:W3CDTF">2014-10-10T02:44:19Z</dcterms:modified>
</cp:coreProperties>
</file>